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20" windowWidth="27555" windowHeight="13335" tabRatio="895" firstSheet="7" activeTab="8"/>
  </bookViews>
  <sheets>
    <sheet name="Бурмистровский" sheetId="1" r:id="rId1"/>
    <sheet name="Быстровский" sheetId="2" r:id="rId2"/>
    <sheet name="Верх-Коенский" sheetId="3" r:id="rId3"/>
    <sheet name="Гилевский" sheetId="4" r:id="rId4"/>
    <sheet name="Гусельниковский" sheetId="5" r:id="rId5"/>
    <sheet name="Евсинский" sheetId="6" r:id="rId6"/>
    <sheet name="Легостаевский" sheetId="7" r:id="rId7"/>
    <sheet name="Листвянский" sheetId="8" r:id="rId8"/>
    <sheet name="Мичуринский" sheetId="9" r:id="rId9"/>
    <sheet name="Морозовский" sheetId="10" r:id="rId10"/>
    <sheet name="Преображенкий" sheetId="11" r:id="rId11"/>
    <sheet name="Промышленный" sheetId="12" r:id="rId12"/>
    <sheet name="Совхозный газ" sheetId="13" r:id="rId13"/>
    <sheet name="Совхозный уголь" sheetId="21" r:id="rId14"/>
    <sheet name="Степной" sheetId="14" r:id="rId15"/>
    <sheet name="Тальменский" sheetId="15" r:id="rId16"/>
    <sheet name="Улыбинский" sheetId="16" r:id="rId17"/>
    <sheet name="Усть-Чемской" sheetId="17" r:id="rId18"/>
    <sheet name="Чернореченский газ" sheetId="18" r:id="rId19"/>
    <sheet name="Чернореченский уголь" sheetId="20" r:id="rId20"/>
    <sheet name="Шибковский" sheetId="19"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calcPr calcId="145621"/>
</workbook>
</file>

<file path=xl/calcChain.xml><?xml version="1.0" encoding="utf-8"?>
<calcChain xmlns="http://schemas.openxmlformats.org/spreadsheetml/2006/main">
  <c r="C225" i="9" l="1"/>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B146" i="9"/>
  <c r="B147" i="9" s="1"/>
  <c r="B148" i="9" s="1"/>
  <c r="B149" i="9" s="1"/>
  <c r="B150" i="9" s="1"/>
  <c r="B151" i="9" s="1"/>
  <c r="B152" i="9" s="1"/>
  <c r="B153" i="9" s="1"/>
  <c r="B154" i="9" s="1"/>
  <c r="B155" i="9" s="1"/>
  <c r="B156" i="9" s="1"/>
  <c r="B157" i="9" s="1"/>
  <c r="B158" i="9" s="1"/>
  <c r="B159" i="9" s="1"/>
  <c r="B160" i="9" s="1"/>
  <c r="B161" i="9" s="1"/>
  <c r="B162" i="9" s="1"/>
  <c r="C145" i="9"/>
  <c r="C142" i="9"/>
  <c r="C140" i="9"/>
  <c r="C139" i="9"/>
  <c r="C138" i="9"/>
  <c r="C137" i="9"/>
  <c r="C135" i="9"/>
  <c r="C134" i="9"/>
  <c r="C133" i="9"/>
  <c r="C132" i="9"/>
  <c r="C131" i="9"/>
  <c r="C130" i="9"/>
  <c r="C127" i="9"/>
  <c r="C124" i="9"/>
  <c r="C123" i="9"/>
  <c r="C122" i="9"/>
  <c r="C121" i="9"/>
  <c r="C120" i="9"/>
  <c r="C119" i="9"/>
  <c r="C118" i="9"/>
  <c r="C117" i="9"/>
  <c r="C116" i="9"/>
  <c r="C115" i="9"/>
  <c r="C114" i="9"/>
  <c r="C113" i="9"/>
  <c r="C112" i="9"/>
  <c r="C111" i="9"/>
  <c r="C110" i="9"/>
  <c r="C109" i="9"/>
  <c r="C108" i="9"/>
  <c r="C107" i="9"/>
  <c r="C106" i="9"/>
  <c r="C105" i="9"/>
  <c r="C104" i="9"/>
  <c r="C103" i="9"/>
  <c r="C102" i="9"/>
  <c r="C99" i="9"/>
  <c r="C98" i="9"/>
  <c r="C97" i="9"/>
  <c r="C96" i="9"/>
  <c r="C95" i="9"/>
  <c r="C94" i="9"/>
  <c r="C93" i="9"/>
  <c r="C92" i="9"/>
  <c r="C91"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3" i="9"/>
  <c r="C42" i="9"/>
  <c r="C41" i="9"/>
  <c r="C40" i="9"/>
  <c r="C39" i="9"/>
  <c r="C38" i="9"/>
  <c r="C37" i="9"/>
  <c r="C36" i="9"/>
  <c r="C35" i="9"/>
  <c r="C34" i="9"/>
  <c r="B34" i="9"/>
  <c r="C33" i="9"/>
  <c r="B33" i="9"/>
  <c r="C32" i="9"/>
  <c r="B32" i="9"/>
  <c r="C31" i="9"/>
  <c r="B31" i="9"/>
  <c r="C30" i="9"/>
  <c r="C29" i="9"/>
  <c r="C28" i="9"/>
  <c r="C23" i="9"/>
  <c r="C22" i="9"/>
  <c r="C21" i="9"/>
  <c r="C20" i="9"/>
  <c r="C19" i="9"/>
  <c r="C18" i="9"/>
  <c r="C17" i="9" s="1"/>
  <c r="C13" i="9"/>
  <c r="B13" i="9"/>
  <c r="C12" i="9"/>
  <c r="B12" i="9"/>
  <c r="C11" i="9"/>
  <c r="B11" i="9"/>
  <c r="C10" i="9"/>
  <c r="B10" i="9"/>
  <c r="C9" i="9"/>
  <c r="B9" i="9"/>
  <c r="C8" i="9"/>
  <c r="B8" i="9"/>
  <c r="C7" i="9"/>
  <c r="B7" i="9"/>
  <c r="C6" i="9"/>
  <c r="B6" i="9"/>
  <c r="C5" i="9"/>
  <c r="B5" i="9"/>
  <c r="C4" i="9"/>
  <c r="B4" i="9"/>
  <c r="B225" i="9" l="1"/>
  <c r="B163" i="9"/>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C223" i="19" l="1"/>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B144" i="19"/>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C143" i="19"/>
  <c r="C140" i="19"/>
  <c r="C138" i="19"/>
  <c r="C137" i="19"/>
  <c r="C136" i="19"/>
  <c r="C135" i="19"/>
  <c r="C125" i="19"/>
  <c r="C122" i="19"/>
  <c r="C121" i="19"/>
  <c r="C120" i="19"/>
  <c r="C119" i="19"/>
  <c r="C118" i="19"/>
  <c r="C117" i="19"/>
  <c r="C116" i="19"/>
  <c r="C115" i="19"/>
  <c r="C114" i="19"/>
  <c r="C113" i="19"/>
  <c r="C112" i="19"/>
  <c r="C111" i="19"/>
  <c r="C110" i="19"/>
  <c r="C109" i="19"/>
  <c r="C108" i="19"/>
  <c r="C107" i="19"/>
  <c r="C106" i="19"/>
  <c r="C105" i="19"/>
  <c r="C104" i="19"/>
  <c r="C103" i="19"/>
  <c r="C102" i="19"/>
  <c r="C101" i="19"/>
  <c r="C100" i="19"/>
  <c r="C99" i="19"/>
  <c r="C98" i="19"/>
  <c r="C97" i="19"/>
  <c r="C96" i="19"/>
  <c r="C93" i="19"/>
  <c r="C92" i="19"/>
  <c r="C91" i="19"/>
  <c r="C90" i="19"/>
  <c r="C89" i="19"/>
  <c r="C88" i="19"/>
  <c r="C87" i="19"/>
  <c r="C86" i="19"/>
  <c r="C85" i="19"/>
  <c r="C82" i="19"/>
  <c r="C81" i="19"/>
  <c r="C80" i="19"/>
  <c r="C79" i="19"/>
  <c r="C78" i="19"/>
  <c r="C77" i="19"/>
  <c r="C76" i="19"/>
  <c r="C75" i="19"/>
  <c r="C74" i="19"/>
  <c r="C73" i="19"/>
  <c r="C72" i="19"/>
  <c r="C71" i="19"/>
  <c r="C70" i="19"/>
  <c r="C69" i="19"/>
  <c r="C68" i="19"/>
  <c r="C67" i="19"/>
  <c r="C66" i="19"/>
  <c r="C65" i="19"/>
  <c r="C64" i="19"/>
  <c r="C63" i="19"/>
  <c r="C62" i="19"/>
  <c r="C61" i="19"/>
  <c r="C60" i="19"/>
  <c r="C59" i="19"/>
  <c r="C58" i="19"/>
  <c r="C57" i="19"/>
  <c r="C56" i="19"/>
  <c r="C55" i="19"/>
  <c r="C54" i="19"/>
  <c r="C53" i="19"/>
  <c r="C52" i="19"/>
  <c r="C51" i="19"/>
  <c r="C50" i="19"/>
  <c r="C49" i="19"/>
  <c r="C48" i="19"/>
  <c r="C47" i="19"/>
  <c r="C46" i="19"/>
  <c r="C45" i="19"/>
  <c r="C44" i="19"/>
  <c r="C43" i="19"/>
  <c r="C42" i="19"/>
  <c r="C41" i="19"/>
  <c r="C38" i="19"/>
  <c r="C37" i="19"/>
  <c r="C36" i="19"/>
  <c r="C35" i="19"/>
  <c r="C34" i="19"/>
  <c r="C33" i="19"/>
  <c r="C32" i="19"/>
  <c r="C31" i="19"/>
  <c r="C30" i="19"/>
  <c r="C29" i="19"/>
  <c r="C28" i="19"/>
  <c r="C23" i="19"/>
  <c r="C22" i="19"/>
  <c r="C21" i="19"/>
  <c r="C20" i="19"/>
  <c r="C19" i="19"/>
  <c r="C18" i="19"/>
  <c r="C17" i="19" s="1"/>
  <c r="C13" i="19"/>
  <c r="B13" i="19"/>
  <c r="C12" i="19"/>
  <c r="B12" i="19"/>
  <c r="C11" i="19"/>
  <c r="B11" i="19"/>
  <c r="C10" i="19"/>
  <c r="B10" i="19"/>
  <c r="C9" i="19"/>
  <c r="B9" i="19"/>
  <c r="C8" i="19"/>
  <c r="B8" i="19"/>
  <c r="C7" i="19"/>
  <c r="B7" i="19"/>
  <c r="C6" i="19"/>
  <c r="B6" i="19"/>
  <c r="C5" i="19"/>
  <c r="B5" i="19"/>
  <c r="C4" i="19"/>
  <c r="B4" i="19"/>
  <c r="C223" i="20" l="1"/>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B144" i="20"/>
  <c r="B145" i="20" s="1"/>
  <c r="B146" i="20" s="1"/>
  <c r="B147" i="20" s="1"/>
  <c r="B148" i="20" s="1"/>
  <c r="B149" i="20" s="1"/>
  <c r="B150" i="20" s="1"/>
  <c r="B151" i="20" s="1"/>
  <c r="B152" i="20" s="1"/>
  <c r="B153" i="20" s="1"/>
  <c r="B154" i="20" s="1"/>
  <c r="B155" i="20" s="1"/>
  <c r="B156" i="20" s="1"/>
  <c r="B157" i="20" s="1"/>
  <c r="B158" i="20" s="1"/>
  <c r="B159" i="20" s="1"/>
  <c r="B160" i="20" s="1"/>
  <c r="B161" i="20" s="1"/>
  <c r="B162" i="20" s="1"/>
  <c r="B163" i="20" s="1"/>
  <c r="B164" i="20" s="1"/>
  <c r="B165" i="20" s="1"/>
  <c r="B166" i="20" s="1"/>
  <c r="B167" i="20" s="1"/>
  <c r="B168" i="20" s="1"/>
  <c r="B169" i="20" s="1"/>
  <c r="B170" i="20" s="1"/>
  <c r="B171" i="20" s="1"/>
  <c r="B172" i="20" s="1"/>
  <c r="B173" i="20" s="1"/>
  <c r="B174" i="20" s="1"/>
  <c r="B175" i="20" s="1"/>
  <c r="B176" i="20" s="1"/>
  <c r="B177" i="20" s="1"/>
  <c r="B178" i="20" s="1"/>
  <c r="B179" i="20" s="1"/>
  <c r="B180" i="20" s="1"/>
  <c r="B181" i="20" s="1"/>
  <c r="B182" i="20" s="1"/>
  <c r="B183" i="20" s="1"/>
  <c r="B184" i="20" s="1"/>
  <c r="B185" i="20" s="1"/>
  <c r="B186" i="20" s="1"/>
  <c r="B187" i="20" s="1"/>
  <c r="B188" i="20" s="1"/>
  <c r="B189" i="20" s="1"/>
  <c r="B190" i="20" s="1"/>
  <c r="B191" i="20" s="1"/>
  <c r="B192" i="20" s="1"/>
  <c r="B193" i="20" s="1"/>
  <c r="B194" i="20" s="1"/>
  <c r="B195" i="20" s="1"/>
  <c r="B196" i="20" s="1"/>
  <c r="B197" i="20" s="1"/>
  <c r="B198" i="20" s="1"/>
  <c r="B199" i="20" s="1"/>
  <c r="B200" i="20" s="1"/>
  <c r="B201" i="20" s="1"/>
  <c r="B202" i="20" s="1"/>
  <c r="B203" i="20" s="1"/>
  <c r="B204" i="20" s="1"/>
  <c r="B205" i="20" s="1"/>
  <c r="B206" i="20" s="1"/>
  <c r="B207" i="20" s="1"/>
  <c r="B208" i="20" s="1"/>
  <c r="B209" i="20" s="1"/>
  <c r="B210" i="20" s="1"/>
  <c r="B211" i="20" s="1"/>
  <c r="B212" i="20" s="1"/>
  <c r="B213" i="20" s="1"/>
  <c r="B214" i="20" s="1"/>
  <c r="B215" i="20" s="1"/>
  <c r="B216" i="20" s="1"/>
  <c r="B217" i="20" s="1"/>
  <c r="B218" i="20" s="1"/>
  <c r="B219" i="20" s="1"/>
  <c r="B220" i="20" s="1"/>
  <c r="B221" i="20" s="1"/>
  <c r="B222" i="20" s="1"/>
  <c r="B223" i="20" s="1"/>
  <c r="C143" i="20"/>
  <c r="C140" i="20"/>
  <c r="C138" i="20"/>
  <c r="C137" i="20"/>
  <c r="C136" i="20"/>
  <c r="C135" i="20"/>
  <c r="C125"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3" i="20"/>
  <c r="C92" i="20"/>
  <c r="C91" i="20"/>
  <c r="C90" i="20"/>
  <c r="C89" i="20"/>
  <c r="C88" i="20"/>
  <c r="C87" i="20"/>
  <c r="C86" i="20"/>
  <c r="C85"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38" i="20"/>
  <c r="C37" i="20"/>
  <c r="C36" i="20"/>
  <c r="C35" i="20"/>
  <c r="C34" i="20"/>
  <c r="C33" i="20"/>
  <c r="C32" i="20"/>
  <c r="C31" i="20"/>
  <c r="C30" i="20"/>
  <c r="C29" i="20"/>
  <c r="C28" i="20"/>
  <c r="C23" i="20"/>
  <c r="C22" i="20"/>
  <c r="C21" i="20"/>
  <c r="C20" i="20"/>
  <c r="C19" i="20"/>
  <c r="C18" i="20"/>
  <c r="C17" i="20" s="1"/>
  <c r="C13" i="20"/>
  <c r="B13" i="20"/>
  <c r="C12" i="20"/>
  <c r="B12" i="20"/>
  <c r="C11" i="20"/>
  <c r="B11" i="20"/>
  <c r="C10" i="20"/>
  <c r="B10" i="20"/>
  <c r="C9" i="20"/>
  <c r="B9" i="20"/>
  <c r="C8" i="20"/>
  <c r="B8" i="20"/>
  <c r="C7" i="20"/>
  <c r="B7" i="20"/>
  <c r="C6" i="20"/>
  <c r="B6" i="20"/>
  <c r="C5" i="20"/>
  <c r="B5" i="20"/>
  <c r="C4" i="20"/>
  <c r="B4" i="20"/>
  <c r="C223" i="17" l="1"/>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7" i="17" s="1"/>
  <c r="C13" i="17"/>
  <c r="B13" i="17"/>
  <c r="C12" i="17"/>
  <c r="B12" i="17"/>
  <c r="C11" i="17"/>
  <c r="B11" i="17"/>
  <c r="C10" i="17"/>
  <c r="B10" i="17"/>
  <c r="C9" i="17"/>
  <c r="B9" i="17"/>
  <c r="C8" i="17"/>
  <c r="B8" i="17"/>
  <c r="C7" i="17"/>
  <c r="B7" i="17"/>
  <c r="C6" i="17"/>
  <c r="B6" i="17"/>
  <c r="C5" i="17"/>
  <c r="B5" i="17"/>
  <c r="C4" i="17"/>
  <c r="B4" i="17"/>
  <c r="C223" i="16" l="1"/>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B144" i="16"/>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C143" i="16"/>
  <c r="C140" i="16"/>
  <c r="C138" i="16"/>
  <c r="C137" i="16"/>
  <c r="C136" i="16"/>
  <c r="C135" i="16"/>
  <c r="C125"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3" i="16"/>
  <c r="C92" i="16"/>
  <c r="C91" i="16"/>
  <c r="C90" i="16"/>
  <c r="C89" i="16"/>
  <c r="C88" i="16"/>
  <c r="C87" i="16"/>
  <c r="C86" i="16"/>
  <c r="C85"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38" i="16"/>
  <c r="C37" i="16"/>
  <c r="C36" i="16"/>
  <c r="C35" i="16"/>
  <c r="C34" i="16"/>
  <c r="C33" i="16"/>
  <c r="C32" i="16"/>
  <c r="C31" i="16"/>
  <c r="C30" i="16"/>
  <c r="C29" i="16"/>
  <c r="C28" i="16"/>
  <c r="C23" i="16"/>
  <c r="C22" i="16"/>
  <c r="C21" i="16"/>
  <c r="C20" i="16"/>
  <c r="C19" i="16"/>
  <c r="C18" i="16"/>
  <c r="C17" i="16" s="1"/>
  <c r="C13" i="16"/>
  <c r="B13" i="16"/>
  <c r="C12" i="16"/>
  <c r="B12" i="16"/>
  <c r="C11" i="16"/>
  <c r="B11" i="16"/>
  <c r="C10" i="16"/>
  <c r="B10" i="16"/>
  <c r="C9" i="16"/>
  <c r="B9" i="16"/>
  <c r="C8" i="16"/>
  <c r="B8" i="16"/>
  <c r="C7" i="16"/>
  <c r="B7" i="16"/>
  <c r="C6" i="16"/>
  <c r="B6" i="16"/>
  <c r="C5" i="16"/>
  <c r="B5" i="16"/>
  <c r="C4" i="16"/>
  <c r="B4" i="16"/>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s="1"/>
  <c r="C13" i="14"/>
  <c r="B13" i="14"/>
  <c r="C12" i="14"/>
  <c r="B12" i="14"/>
  <c r="C11" i="14"/>
  <c r="B11" i="14"/>
  <c r="C10" i="14"/>
  <c r="B10" i="14"/>
  <c r="C9" i="14"/>
  <c r="B9" i="14"/>
  <c r="C8" i="14"/>
  <c r="B8" i="14"/>
  <c r="C7" i="14"/>
  <c r="B7" i="14"/>
  <c r="C6" i="14"/>
  <c r="B6" i="14"/>
  <c r="C5" i="14"/>
  <c r="B5" i="14"/>
  <c r="C4" i="14"/>
  <c r="B4" i="14"/>
  <c r="C223" i="21" l="1"/>
  <c r="C222" i="21"/>
  <c r="C221" i="21"/>
  <c r="C220" i="21"/>
  <c r="C219" i="21"/>
  <c r="C218" i="21"/>
  <c r="C217" i="21"/>
  <c r="C216" i="21"/>
  <c r="C215" i="21"/>
  <c r="C214" i="21"/>
  <c r="C213" i="21"/>
  <c r="C212" i="21"/>
  <c r="C211" i="21"/>
  <c r="C210" i="21"/>
  <c r="C209" i="21"/>
  <c r="C208" i="21"/>
  <c r="C207" i="21"/>
  <c r="C206" i="21"/>
  <c r="C205" i="21"/>
  <c r="C204" i="21"/>
  <c r="C203" i="21"/>
  <c r="C202" i="21"/>
  <c r="C201" i="21"/>
  <c r="C200" i="21"/>
  <c r="C199" i="21"/>
  <c r="C198" i="21"/>
  <c r="C197" i="21"/>
  <c r="C196" i="21"/>
  <c r="C195" i="21"/>
  <c r="C194" i="21"/>
  <c r="C193" i="21"/>
  <c r="C192" i="21"/>
  <c r="C191" i="21"/>
  <c r="C190" i="21"/>
  <c r="C189" i="21"/>
  <c r="C188" i="21"/>
  <c r="C187" i="21"/>
  <c r="C186" i="21"/>
  <c r="C185" i="21"/>
  <c r="C184" i="21"/>
  <c r="C183" i="21"/>
  <c r="C182" i="21"/>
  <c r="C181" i="21"/>
  <c r="C180" i="21"/>
  <c r="C179" i="21"/>
  <c r="C178" i="21"/>
  <c r="C177" i="21"/>
  <c r="C176" i="21"/>
  <c r="C175" i="21"/>
  <c r="C174" i="21"/>
  <c r="C173" i="21"/>
  <c r="C172" i="21"/>
  <c r="C171" i="21"/>
  <c r="C170" i="21"/>
  <c r="C169" i="21"/>
  <c r="C168" i="21"/>
  <c r="C167" i="21"/>
  <c r="C166" i="21"/>
  <c r="C165" i="21"/>
  <c r="C164" i="21"/>
  <c r="C163" i="21"/>
  <c r="C162" i="21"/>
  <c r="C161" i="21"/>
  <c r="C160" i="21"/>
  <c r="C159" i="21"/>
  <c r="C158" i="21"/>
  <c r="C157" i="21"/>
  <c r="C156" i="21"/>
  <c r="C155" i="21"/>
  <c r="C154" i="21"/>
  <c r="C153" i="21"/>
  <c r="C152" i="21"/>
  <c r="C151" i="21"/>
  <c r="C150" i="21"/>
  <c r="C149" i="21"/>
  <c r="C148" i="21"/>
  <c r="C147" i="21"/>
  <c r="C146" i="21"/>
  <c r="C145" i="21"/>
  <c r="C144" i="21"/>
  <c r="B144" i="21"/>
  <c r="B145" i="21" s="1"/>
  <c r="B146" i="21" s="1"/>
  <c r="B147" i="21" s="1"/>
  <c r="B148" i="21" s="1"/>
  <c r="B149" i="21" s="1"/>
  <c r="B150" i="21" s="1"/>
  <c r="B151" i="21" s="1"/>
  <c r="B152" i="21" s="1"/>
  <c r="B153" i="21" s="1"/>
  <c r="B154" i="21" s="1"/>
  <c r="B155" i="21" s="1"/>
  <c r="B156" i="21" s="1"/>
  <c r="B157" i="21" s="1"/>
  <c r="B158" i="21" s="1"/>
  <c r="B159" i="21" s="1"/>
  <c r="B160" i="21" s="1"/>
  <c r="B161" i="21" s="1"/>
  <c r="B162" i="21" s="1"/>
  <c r="B163" i="21" s="1"/>
  <c r="B164" i="21" s="1"/>
  <c r="B165" i="21" s="1"/>
  <c r="B166" i="21" s="1"/>
  <c r="B167" i="21" s="1"/>
  <c r="B168" i="21" s="1"/>
  <c r="B169" i="21" s="1"/>
  <c r="B170" i="21" s="1"/>
  <c r="B171" i="21" s="1"/>
  <c r="B172" i="21" s="1"/>
  <c r="B173" i="21" s="1"/>
  <c r="B174" i="21" s="1"/>
  <c r="B175" i="21" s="1"/>
  <c r="B176" i="21" s="1"/>
  <c r="B177" i="21" s="1"/>
  <c r="B178" i="21" s="1"/>
  <c r="B179" i="21" s="1"/>
  <c r="B180" i="21" s="1"/>
  <c r="B181" i="21" s="1"/>
  <c r="B182" i="21" s="1"/>
  <c r="B183" i="21" s="1"/>
  <c r="B184" i="21" s="1"/>
  <c r="B185" i="21" s="1"/>
  <c r="B186" i="21" s="1"/>
  <c r="B187" i="21" s="1"/>
  <c r="B188" i="21" s="1"/>
  <c r="B189" i="21" s="1"/>
  <c r="B190" i="21" s="1"/>
  <c r="B191" i="21" s="1"/>
  <c r="B192" i="21" s="1"/>
  <c r="B193" i="21" s="1"/>
  <c r="B194" i="21" s="1"/>
  <c r="B195" i="21" s="1"/>
  <c r="B196" i="21" s="1"/>
  <c r="B197" i="21" s="1"/>
  <c r="B198" i="21" s="1"/>
  <c r="B199" i="21" s="1"/>
  <c r="B200" i="21" s="1"/>
  <c r="B201" i="21" s="1"/>
  <c r="B202" i="21" s="1"/>
  <c r="B203" i="21" s="1"/>
  <c r="B204" i="21" s="1"/>
  <c r="B205" i="21" s="1"/>
  <c r="B206" i="21" s="1"/>
  <c r="B207" i="21" s="1"/>
  <c r="B208" i="21" s="1"/>
  <c r="B209" i="21" s="1"/>
  <c r="B210" i="21" s="1"/>
  <c r="B211" i="21" s="1"/>
  <c r="B212" i="21" s="1"/>
  <c r="B213" i="21" s="1"/>
  <c r="B214" i="21" s="1"/>
  <c r="B215" i="21" s="1"/>
  <c r="B216" i="21" s="1"/>
  <c r="B217" i="21" s="1"/>
  <c r="B218" i="21" s="1"/>
  <c r="B219" i="21" s="1"/>
  <c r="B220" i="21" s="1"/>
  <c r="B221" i="21" s="1"/>
  <c r="B222" i="21" s="1"/>
  <c r="B223" i="21" s="1"/>
  <c r="C143" i="21"/>
  <c r="C140" i="21"/>
  <c r="C138" i="21"/>
  <c r="C137" i="21"/>
  <c r="C136" i="21"/>
  <c r="C135" i="21"/>
  <c r="C125" i="21"/>
  <c r="C122" i="21"/>
  <c r="C121" i="21"/>
  <c r="C120" i="21"/>
  <c r="C119" i="21"/>
  <c r="C118" i="21"/>
  <c r="C117" i="21"/>
  <c r="C116" i="21"/>
  <c r="C115" i="21"/>
  <c r="C114" i="21"/>
  <c r="C113" i="21"/>
  <c r="C112" i="21"/>
  <c r="C111" i="21"/>
  <c r="C110" i="21"/>
  <c r="C109" i="21"/>
  <c r="C108" i="21"/>
  <c r="C107" i="21"/>
  <c r="C106" i="21"/>
  <c r="C105" i="21"/>
  <c r="C104" i="21"/>
  <c r="C103" i="21"/>
  <c r="C102" i="21"/>
  <c r="C101" i="21"/>
  <c r="C100" i="21"/>
  <c r="C99" i="21"/>
  <c r="C98" i="21"/>
  <c r="C97" i="21"/>
  <c r="C96" i="21"/>
  <c r="C93" i="21"/>
  <c r="C92" i="21"/>
  <c r="C91" i="21"/>
  <c r="C90" i="21"/>
  <c r="C89" i="21"/>
  <c r="C88" i="21"/>
  <c r="C87" i="21"/>
  <c r="C86" i="21"/>
  <c r="C85" i="21"/>
  <c r="C82" i="21"/>
  <c r="C81" i="21"/>
  <c r="C80" i="21"/>
  <c r="C79" i="21"/>
  <c r="C78" i="21"/>
  <c r="C77" i="21"/>
  <c r="C76" i="21"/>
  <c r="C75" i="21"/>
  <c r="C74" i="21"/>
  <c r="C73" i="21"/>
  <c r="C72" i="21"/>
  <c r="C71" i="21"/>
  <c r="C70" i="21"/>
  <c r="C69" i="21"/>
  <c r="C68" i="21"/>
  <c r="C67" i="21"/>
  <c r="C66" i="21"/>
  <c r="C65" i="21"/>
  <c r="C64" i="21"/>
  <c r="C63" i="21"/>
  <c r="C62" i="21"/>
  <c r="C61" i="21"/>
  <c r="C60" i="21"/>
  <c r="C59" i="21"/>
  <c r="C58" i="21"/>
  <c r="C57" i="21"/>
  <c r="C56" i="21"/>
  <c r="C55" i="21"/>
  <c r="C54" i="21"/>
  <c r="C53" i="21"/>
  <c r="C52" i="21"/>
  <c r="C51" i="21"/>
  <c r="C50" i="21"/>
  <c r="C49" i="21"/>
  <c r="C48" i="21"/>
  <c r="C47" i="21"/>
  <c r="C46" i="21"/>
  <c r="C45" i="21"/>
  <c r="C44" i="21"/>
  <c r="C43" i="21"/>
  <c r="C42" i="21"/>
  <c r="C41" i="21"/>
  <c r="C38" i="21"/>
  <c r="C37" i="21"/>
  <c r="C36" i="21"/>
  <c r="C35" i="21"/>
  <c r="C34" i="21"/>
  <c r="C33" i="21"/>
  <c r="C32" i="21"/>
  <c r="C31" i="21"/>
  <c r="C30" i="21"/>
  <c r="C29" i="21"/>
  <c r="C28" i="21"/>
  <c r="C23" i="21"/>
  <c r="C22" i="21"/>
  <c r="C21" i="21"/>
  <c r="C20" i="21"/>
  <c r="C19" i="21"/>
  <c r="C18" i="21"/>
  <c r="C17" i="21" s="1"/>
  <c r="C13" i="21"/>
  <c r="B13" i="21"/>
  <c r="C12" i="21"/>
  <c r="B12" i="21"/>
  <c r="C11" i="21"/>
  <c r="B11" i="21"/>
  <c r="C10" i="21"/>
  <c r="B10" i="21"/>
  <c r="C9" i="21"/>
  <c r="B9" i="21"/>
  <c r="C8" i="21"/>
  <c r="B8" i="21"/>
  <c r="C7" i="21"/>
  <c r="B7" i="21"/>
  <c r="C6" i="21"/>
  <c r="B6" i="21"/>
  <c r="C5" i="21"/>
  <c r="B5" i="21"/>
  <c r="C4" i="21"/>
  <c r="B4" i="21"/>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23" i="8" l="1"/>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C140" i="5"/>
  <c r="C138" i="5"/>
  <c r="C137" i="5"/>
  <c r="C136" i="5"/>
  <c r="C135" i="5"/>
  <c r="C125"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3" i="5"/>
  <c r="C92" i="5"/>
  <c r="C91" i="5"/>
  <c r="C90" i="5"/>
  <c r="C89" i="5"/>
  <c r="C88" i="5"/>
  <c r="C87" i="5"/>
  <c r="C86" i="5"/>
  <c r="C85"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38" i="5"/>
  <c r="C37" i="5"/>
  <c r="C36" i="5"/>
  <c r="C35" i="5"/>
  <c r="C34" i="5"/>
  <c r="C33" i="5"/>
  <c r="C32" i="5"/>
  <c r="C31" i="5"/>
  <c r="C30" i="5"/>
  <c r="C29"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7" i="4" s="1"/>
  <c r="C13" i="4"/>
  <c r="B13" i="4"/>
  <c r="C12" i="4"/>
  <c r="B12" i="4"/>
  <c r="C11" i="4"/>
  <c r="B11" i="4"/>
  <c r="C10" i="4"/>
  <c r="B10" i="4"/>
  <c r="C9" i="4"/>
  <c r="B9" i="4"/>
  <c r="C8" i="4"/>
  <c r="B8" i="4"/>
  <c r="C7" i="4"/>
  <c r="B7" i="4"/>
  <c r="C6" i="4"/>
  <c r="B6" i="4"/>
  <c r="C5" i="4"/>
  <c r="B5" i="4"/>
  <c r="C4" i="4"/>
  <c r="B4" i="4"/>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7" i="2" s="1"/>
  <c r="C13" i="2"/>
  <c r="B13" i="2"/>
  <c r="C12" i="2"/>
  <c r="B12" i="2"/>
  <c r="C11" i="2"/>
  <c r="B11" i="2"/>
  <c r="C10" i="2"/>
  <c r="B10" i="2"/>
  <c r="C9" i="2"/>
  <c r="B9" i="2"/>
  <c r="C8" i="2"/>
  <c r="B8" i="2"/>
  <c r="C7" i="2"/>
  <c r="B7" i="2"/>
  <c r="C6" i="2"/>
  <c r="B6" i="2"/>
  <c r="C5" i="2"/>
  <c r="B5" i="2"/>
  <c r="C4" i="2"/>
  <c r="B4" i="2"/>
  <c r="C223" i="1" l="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9" i="1"/>
  <c r="C18" i="1"/>
  <c r="C17" i="1" s="1"/>
  <c r="C13" i="1"/>
  <c r="B13" i="1"/>
  <c r="C12" i="1"/>
  <c r="B12" i="1"/>
  <c r="C11" i="1"/>
  <c r="B11" i="1"/>
  <c r="C10" i="1"/>
  <c r="B10" i="1"/>
  <c r="C9" i="1"/>
  <c r="B9" i="1"/>
  <c r="C8" i="1"/>
  <c r="B8" i="1"/>
  <c r="C7" i="1"/>
  <c r="B7" i="1"/>
  <c r="C6" i="1"/>
  <c r="B6" i="1"/>
  <c r="C5" i="1"/>
  <c r="B5" i="1"/>
  <c r="C4" i="1"/>
  <c r="B4" i="1"/>
  <c r="C225" i="18" l="1"/>
  <c r="C224" i="18"/>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B146" i="18"/>
  <c r="B147" i="18" s="1"/>
  <c r="B148" i="18" s="1"/>
  <c r="B149" i="18" s="1"/>
  <c r="B150" i="18" s="1"/>
  <c r="B151" i="18" s="1"/>
  <c r="B152" i="18" s="1"/>
  <c r="B153" i="18" s="1"/>
  <c r="B154" i="18" s="1"/>
  <c r="B155" i="18" s="1"/>
  <c r="B156" i="18" s="1"/>
  <c r="B157" i="18" s="1"/>
  <c r="B158" i="18" s="1"/>
  <c r="B159" i="18" s="1"/>
  <c r="B160" i="18" s="1"/>
  <c r="B161" i="18" s="1"/>
  <c r="B162" i="18" s="1"/>
  <c r="C145" i="18"/>
  <c r="C142" i="18"/>
  <c r="C140" i="18"/>
  <c r="C139" i="18"/>
  <c r="C138" i="18"/>
  <c r="C137" i="18"/>
  <c r="C135" i="18"/>
  <c r="C134" i="18"/>
  <c r="C133" i="18"/>
  <c r="C132" i="18"/>
  <c r="C131" i="18"/>
  <c r="C130" i="18"/>
  <c r="C127"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99" i="18"/>
  <c r="C98" i="18"/>
  <c r="C97" i="18"/>
  <c r="C96" i="18"/>
  <c r="C95" i="18"/>
  <c r="C94" i="18"/>
  <c r="C93" i="18"/>
  <c r="C92" i="18"/>
  <c r="C91" i="18"/>
  <c r="C88" i="18"/>
  <c r="C87" i="18"/>
  <c r="C86" i="18"/>
  <c r="C85" i="18"/>
  <c r="C84" i="18"/>
  <c r="C83"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3" i="18"/>
  <c r="C42" i="18"/>
  <c r="C41" i="18"/>
  <c r="C40" i="18"/>
  <c r="C39" i="18"/>
  <c r="C38" i="18"/>
  <c r="C37" i="18"/>
  <c r="C36" i="18"/>
  <c r="C35" i="18"/>
  <c r="C34" i="18"/>
  <c r="B34" i="18"/>
  <c r="C33" i="18"/>
  <c r="B33" i="18"/>
  <c r="C32" i="18"/>
  <c r="B32" i="18"/>
  <c r="C31" i="18"/>
  <c r="B31" i="18"/>
  <c r="C30" i="18"/>
  <c r="C29" i="18"/>
  <c r="C28" i="18"/>
  <c r="C23" i="18"/>
  <c r="C22" i="18"/>
  <c r="C21" i="18"/>
  <c r="C20" i="18"/>
  <c r="C19" i="18"/>
  <c r="C18" i="18"/>
  <c r="C13" i="18"/>
  <c r="B13" i="18"/>
  <c r="C12" i="18"/>
  <c r="B12" i="18"/>
  <c r="C11" i="18"/>
  <c r="B11" i="18"/>
  <c r="C10" i="18"/>
  <c r="B10" i="18"/>
  <c r="C9" i="18"/>
  <c r="B9" i="18"/>
  <c r="C8" i="18"/>
  <c r="B8" i="18"/>
  <c r="C7" i="18"/>
  <c r="B7" i="18"/>
  <c r="C6" i="18"/>
  <c r="B6" i="18"/>
  <c r="C5" i="18"/>
  <c r="B5" i="18"/>
  <c r="C4" i="18"/>
  <c r="B4" i="18"/>
  <c r="C17" i="18" l="1"/>
  <c r="B225" i="18"/>
  <c r="B163" i="18"/>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B224" i="18" s="1"/>
  <c r="C225" i="15" l="1"/>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B146" i="15"/>
  <c r="B147" i="15" s="1"/>
  <c r="B148" i="15" s="1"/>
  <c r="B149" i="15" s="1"/>
  <c r="B150" i="15" s="1"/>
  <c r="B151" i="15" s="1"/>
  <c r="B152" i="15" s="1"/>
  <c r="B153" i="15" s="1"/>
  <c r="B154" i="15" s="1"/>
  <c r="B155" i="15" s="1"/>
  <c r="B156" i="15" s="1"/>
  <c r="B157" i="15" s="1"/>
  <c r="B158" i="15" s="1"/>
  <c r="B159" i="15" s="1"/>
  <c r="B160" i="15" s="1"/>
  <c r="B161" i="15" s="1"/>
  <c r="B162" i="15" s="1"/>
  <c r="C145" i="15"/>
  <c r="C142" i="15"/>
  <c r="C140" i="15"/>
  <c r="C139" i="15"/>
  <c r="C138" i="15"/>
  <c r="C137" i="15"/>
  <c r="C135" i="15"/>
  <c r="C134" i="15"/>
  <c r="C133" i="15"/>
  <c r="C132" i="15"/>
  <c r="C131" i="15"/>
  <c r="C130" i="15"/>
  <c r="C127"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99" i="15"/>
  <c r="C98" i="15"/>
  <c r="C97" i="15"/>
  <c r="C96" i="15"/>
  <c r="C95" i="15"/>
  <c r="C94" i="15"/>
  <c r="C93" i="15"/>
  <c r="C92" i="15"/>
  <c r="C91"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3" i="15"/>
  <c r="C42" i="15"/>
  <c r="C41" i="15"/>
  <c r="C40" i="15"/>
  <c r="C39" i="15"/>
  <c r="C38" i="15"/>
  <c r="C37" i="15"/>
  <c r="C36" i="15"/>
  <c r="C35" i="15"/>
  <c r="C34" i="15"/>
  <c r="B34" i="15"/>
  <c r="C33" i="15"/>
  <c r="B33" i="15"/>
  <c r="C32" i="15"/>
  <c r="B32" i="15"/>
  <c r="C31" i="15"/>
  <c r="B31" i="15"/>
  <c r="C30" i="15"/>
  <c r="C29" i="15"/>
  <c r="C28" i="15"/>
  <c r="C23" i="15"/>
  <c r="C22" i="15"/>
  <c r="C21" i="15"/>
  <c r="C20" i="15"/>
  <c r="C19" i="15"/>
  <c r="C18" i="15"/>
  <c r="C17" i="15" s="1"/>
  <c r="C13" i="15"/>
  <c r="B13" i="15"/>
  <c r="C12" i="15"/>
  <c r="B12" i="15"/>
  <c r="C11" i="15"/>
  <c r="B11" i="15"/>
  <c r="C10" i="15"/>
  <c r="B10" i="15"/>
  <c r="C9" i="15"/>
  <c r="B9" i="15"/>
  <c r="C8" i="15"/>
  <c r="B8" i="15"/>
  <c r="C7" i="15"/>
  <c r="B7" i="15"/>
  <c r="C6" i="15"/>
  <c r="B6" i="15"/>
  <c r="C5" i="15"/>
  <c r="B5" i="15"/>
  <c r="C4" i="15"/>
  <c r="B4" i="15"/>
  <c r="B225" i="15" l="1"/>
  <c r="B163" i="15"/>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B224" i="15" s="1"/>
  <c r="C225" i="13" l="1"/>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B146" i="13"/>
  <c r="B147" i="13" s="1"/>
  <c r="B148" i="13" s="1"/>
  <c r="B149" i="13" s="1"/>
  <c r="B150" i="13" s="1"/>
  <c r="B151" i="13" s="1"/>
  <c r="B152" i="13" s="1"/>
  <c r="B153" i="13" s="1"/>
  <c r="B154" i="13" s="1"/>
  <c r="B155" i="13" s="1"/>
  <c r="B156" i="13" s="1"/>
  <c r="B157" i="13" s="1"/>
  <c r="B158" i="13" s="1"/>
  <c r="B159" i="13" s="1"/>
  <c r="B160" i="13" s="1"/>
  <c r="B161" i="13" s="1"/>
  <c r="B162" i="13" s="1"/>
  <c r="C145" i="13"/>
  <c r="C142" i="13"/>
  <c r="C140" i="13"/>
  <c r="C139" i="13"/>
  <c r="C138" i="13"/>
  <c r="C137" i="13"/>
  <c r="C135" i="13"/>
  <c r="C134" i="13"/>
  <c r="C133" i="13"/>
  <c r="C132" i="13"/>
  <c r="C131" i="13"/>
  <c r="C130" i="13"/>
  <c r="C127"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99" i="13"/>
  <c r="C98" i="13"/>
  <c r="C97" i="13"/>
  <c r="C96" i="13"/>
  <c r="C95" i="13"/>
  <c r="C94" i="13"/>
  <c r="C93" i="13"/>
  <c r="C92" i="13"/>
  <c r="C91"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3" i="13"/>
  <c r="C42" i="13"/>
  <c r="C41" i="13"/>
  <c r="C40" i="13"/>
  <c r="C39" i="13"/>
  <c r="C38" i="13"/>
  <c r="C37" i="13"/>
  <c r="C36" i="13"/>
  <c r="C35" i="13"/>
  <c r="C34" i="13"/>
  <c r="B34" i="13"/>
  <c r="C33" i="13"/>
  <c r="B33" i="13"/>
  <c r="C32" i="13"/>
  <c r="B32" i="13"/>
  <c r="C31" i="13"/>
  <c r="B31" i="13"/>
  <c r="C30" i="13"/>
  <c r="C29" i="13"/>
  <c r="C28" i="13"/>
  <c r="C23" i="13"/>
  <c r="C22" i="13"/>
  <c r="C21" i="13"/>
  <c r="C20" i="13"/>
  <c r="C19" i="13"/>
  <c r="C18" i="13"/>
  <c r="C17" i="13" s="1"/>
  <c r="C13" i="13"/>
  <c r="B13" i="13"/>
  <c r="C12" i="13"/>
  <c r="B12" i="13"/>
  <c r="C11" i="13"/>
  <c r="B11" i="13"/>
  <c r="C10" i="13"/>
  <c r="B10" i="13"/>
  <c r="C9" i="13"/>
  <c r="B9" i="13"/>
  <c r="C8" i="13"/>
  <c r="B8" i="13"/>
  <c r="C7" i="13"/>
  <c r="B7" i="13"/>
  <c r="C6" i="13"/>
  <c r="B6" i="13"/>
  <c r="C5" i="13"/>
  <c r="B5" i="13"/>
  <c r="C4" i="13"/>
  <c r="B4" i="13"/>
  <c r="B225" i="13" l="1"/>
  <c r="B163" i="13"/>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C225" i="12" l="1"/>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B146" i="12"/>
  <c r="B147" i="12" s="1"/>
  <c r="B148" i="12" s="1"/>
  <c r="B149" i="12" s="1"/>
  <c r="B150" i="12" s="1"/>
  <c r="B151" i="12" s="1"/>
  <c r="B152" i="12" s="1"/>
  <c r="B153" i="12" s="1"/>
  <c r="B154" i="12" s="1"/>
  <c r="B155" i="12" s="1"/>
  <c r="B156" i="12" s="1"/>
  <c r="B157" i="12" s="1"/>
  <c r="B158" i="12" s="1"/>
  <c r="B159" i="12" s="1"/>
  <c r="B160" i="12" s="1"/>
  <c r="B161" i="12" s="1"/>
  <c r="B162" i="12" s="1"/>
  <c r="C145" i="12"/>
  <c r="C142" i="12"/>
  <c r="C140" i="12"/>
  <c r="C139" i="12"/>
  <c r="C138" i="12"/>
  <c r="C137" i="12"/>
  <c r="C135" i="12"/>
  <c r="C134" i="12"/>
  <c r="C133" i="12"/>
  <c r="C132" i="12"/>
  <c r="C131" i="12"/>
  <c r="C130" i="12"/>
  <c r="C127" i="12"/>
  <c r="C124" i="12"/>
  <c r="C123" i="12"/>
  <c r="C122" i="12"/>
  <c r="C121" i="12"/>
  <c r="C120" i="12"/>
  <c r="C119" i="12"/>
  <c r="C118" i="12"/>
  <c r="C117" i="12"/>
  <c r="C116" i="12"/>
  <c r="C115" i="12"/>
  <c r="C114" i="12"/>
  <c r="C113" i="12"/>
  <c r="C112" i="12"/>
  <c r="C111" i="12"/>
  <c r="C110" i="12"/>
  <c r="C109" i="12"/>
  <c r="C108" i="12"/>
  <c r="C107" i="12"/>
  <c r="C106" i="12"/>
  <c r="C105" i="12"/>
  <c r="C104" i="12"/>
  <c r="C103" i="12"/>
  <c r="C102" i="12"/>
  <c r="C99" i="12"/>
  <c r="C98" i="12"/>
  <c r="C97" i="12"/>
  <c r="C96" i="12"/>
  <c r="C95" i="12"/>
  <c r="C94" i="12"/>
  <c r="C93" i="12"/>
  <c r="C92" i="12"/>
  <c r="C91" i="12"/>
  <c r="C88" i="12"/>
  <c r="C87" i="12"/>
  <c r="C86" i="12"/>
  <c r="C85" i="12"/>
  <c r="C84" i="12"/>
  <c r="C83" i="12"/>
  <c r="C82" i="12"/>
  <c r="C81" i="12"/>
  <c r="C80" i="12"/>
  <c r="C79" i="12"/>
  <c r="C78" i="12"/>
  <c r="C77" i="12"/>
  <c r="C76" i="12"/>
  <c r="C75" i="12"/>
  <c r="C74" i="12"/>
  <c r="C73" i="12"/>
  <c r="C72" i="12"/>
  <c r="C71" i="12"/>
  <c r="C70" i="12"/>
  <c r="C69" i="12"/>
  <c r="C68" i="12"/>
  <c r="C67" i="12"/>
  <c r="C66" i="12"/>
  <c r="C65" i="12"/>
  <c r="C64" i="12"/>
  <c r="C63" i="12"/>
  <c r="C62" i="12"/>
  <c r="C61" i="12"/>
  <c r="C60" i="12"/>
  <c r="C59" i="12"/>
  <c r="C58" i="12"/>
  <c r="C57" i="12"/>
  <c r="C56" i="12"/>
  <c r="C55" i="12"/>
  <c r="C54" i="12"/>
  <c r="C53" i="12"/>
  <c r="C52" i="12"/>
  <c r="C51" i="12"/>
  <c r="C50" i="12"/>
  <c r="C49" i="12"/>
  <c r="C48" i="12"/>
  <c r="C47" i="12"/>
  <c r="C46" i="12"/>
  <c r="C43" i="12"/>
  <c r="C42" i="12"/>
  <c r="C41" i="12"/>
  <c r="C40" i="12"/>
  <c r="C39" i="12"/>
  <c r="C38" i="12"/>
  <c r="C37" i="12"/>
  <c r="C36" i="12"/>
  <c r="C35" i="12"/>
  <c r="C34" i="12"/>
  <c r="B34" i="12"/>
  <c r="C33" i="12"/>
  <c r="B33" i="12"/>
  <c r="C32" i="12"/>
  <c r="B32" i="12"/>
  <c r="C31" i="12"/>
  <c r="B31" i="12"/>
  <c r="C30" i="12"/>
  <c r="C29" i="12"/>
  <c r="C28" i="12"/>
  <c r="C23" i="12"/>
  <c r="C22" i="12"/>
  <c r="C21" i="12"/>
  <c r="C20" i="12"/>
  <c r="C19" i="12"/>
  <c r="C18" i="12"/>
  <c r="C17" i="12" s="1"/>
  <c r="C13" i="12"/>
  <c r="B13" i="12"/>
  <c r="C12" i="12"/>
  <c r="B12" i="12"/>
  <c r="C11" i="12"/>
  <c r="B11" i="12"/>
  <c r="C10" i="12"/>
  <c r="B10" i="12"/>
  <c r="C9" i="12"/>
  <c r="B9" i="12"/>
  <c r="C8" i="12"/>
  <c r="B8" i="12"/>
  <c r="C7" i="12"/>
  <c r="B7" i="12"/>
  <c r="C6" i="12"/>
  <c r="B6" i="12"/>
  <c r="C5" i="12"/>
  <c r="B5" i="12"/>
  <c r="C4" i="12"/>
  <c r="B4" i="12"/>
  <c r="B225" i="12" l="1"/>
  <c r="B163" i="12"/>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C225" i="10" l="1"/>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B146" i="10"/>
  <c r="B147" i="10" s="1"/>
  <c r="B148" i="10" s="1"/>
  <c r="B149" i="10" s="1"/>
  <c r="B150" i="10" s="1"/>
  <c r="B151" i="10" s="1"/>
  <c r="B152" i="10" s="1"/>
  <c r="B153" i="10" s="1"/>
  <c r="B154" i="10" s="1"/>
  <c r="B155" i="10" s="1"/>
  <c r="B156" i="10" s="1"/>
  <c r="B157" i="10" s="1"/>
  <c r="B158" i="10" s="1"/>
  <c r="B159" i="10" s="1"/>
  <c r="B160" i="10" s="1"/>
  <c r="B161" i="10" s="1"/>
  <c r="B162" i="10" s="1"/>
  <c r="C145" i="10"/>
  <c r="C142" i="10"/>
  <c r="C140" i="10"/>
  <c r="C139" i="10"/>
  <c r="C138" i="10"/>
  <c r="C137" i="10"/>
  <c r="C135" i="10"/>
  <c r="C134" i="10"/>
  <c r="C133" i="10"/>
  <c r="C132" i="10"/>
  <c r="C131" i="10"/>
  <c r="C130" i="10"/>
  <c r="C127" i="10"/>
  <c r="C124" i="10"/>
  <c r="C123" i="10"/>
  <c r="C122" i="10"/>
  <c r="C121" i="10"/>
  <c r="C120" i="10"/>
  <c r="C119" i="10"/>
  <c r="C118" i="10"/>
  <c r="C117" i="10"/>
  <c r="C116" i="10"/>
  <c r="C115" i="10"/>
  <c r="C114" i="10"/>
  <c r="C113" i="10"/>
  <c r="C112" i="10"/>
  <c r="C111" i="10"/>
  <c r="C110" i="10"/>
  <c r="C109" i="10"/>
  <c r="C108" i="10"/>
  <c r="C107" i="10"/>
  <c r="C106" i="10"/>
  <c r="C105" i="10"/>
  <c r="C104" i="10"/>
  <c r="C103" i="10"/>
  <c r="C102" i="10"/>
  <c r="C99" i="10"/>
  <c r="C98" i="10"/>
  <c r="C97" i="10"/>
  <c r="C96" i="10"/>
  <c r="C95" i="10"/>
  <c r="C94" i="10"/>
  <c r="C93" i="10"/>
  <c r="C92" i="10"/>
  <c r="C91"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3" i="10"/>
  <c r="C42" i="10"/>
  <c r="C41" i="10"/>
  <c r="C40" i="10"/>
  <c r="C39" i="10"/>
  <c r="C38" i="10"/>
  <c r="C37" i="10"/>
  <c r="C36" i="10"/>
  <c r="C35" i="10"/>
  <c r="C34" i="10"/>
  <c r="B34" i="10"/>
  <c r="C33" i="10"/>
  <c r="B33" i="10"/>
  <c r="C32" i="10"/>
  <c r="B32" i="10"/>
  <c r="C31" i="10"/>
  <c r="B31" i="10"/>
  <c r="C30" i="10"/>
  <c r="C29" i="10"/>
  <c r="C28" i="10"/>
  <c r="C23" i="10"/>
  <c r="C22" i="10"/>
  <c r="C21" i="10"/>
  <c r="C20" i="10"/>
  <c r="C19" i="10"/>
  <c r="C18" i="10"/>
  <c r="C17" i="10" s="1"/>
  <c r="C13" i="10"/>
  <c r="B13" i="10"/>
  <c r="C12" i="10"/>
  <c r="B12" i="10"/>
  <c r="C11" i="10"/>
  <c r="B11" i="10"/>
  <c r="C10" i="10"/>
  <c r="B10" i="10"/>
  <c r="C9" i="10"/>
  <c r="B9" i="10"/>
  <c r="C8" i="10"/>
  <c r="B8" i="10"/>
  <c r="C7" i="10"/>
  <c r="B7" i="10"/>
  <c r="C6" i="10"/>
  <c r="B6" i="10"/>
  <c r="C5" i="10"/>
  <c r="B5" i="10"/>
  <c r="C4" i="10"/>
  <c r="B4" i="10"/>
  <c r="B225" i="10" l="1"/>
  <c r="B163" i="10"/>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C225" i="6" l="1"/>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B146" i="6"/>
  <c r="B147" i="6" s="1"/>
  <c r="B148" i="6" s="1"/>
  <c r="B149" i="6" s="1"/>
  <c r="B150" i="6" s="1"/>
  <c r="B151" i="6" s="1"/>
  <c r="B152" i="6" s="1"/>
  <c r="B153" i="6" s="1"/>
  <c r="B154" i="6" s="1"/>
  <c r="B155" i="6" s="1"/>
  <c r="B156" i="6" s="1"/>
  <c r="B157" i="6" s="1"/>
  <c r="B158" i="6" s="1"/>
  <c r="B159" i="6" s="1"/>
  <c r="B160" i="6" s="1"/>
  <c r="B161" i="6" s="1"/>
  <c r="B162" i="6" s="1"/>
  <c r="C145" i="6"/>
  <c r="C142" i="6"/>
  <c r="C140" i="6"/>
  <c r="C139" i="6"/>
  <c r="C138" i="6"/>
  <c r="C137" i="6"/>
  <c r="C135" i="6"/>
  <c r="C134" i="6"/>
  <c r="C133" i="6"/>
  <c r="C132" i="6"/>
  <c r="C131" i="6"/>
  <c r="C130" i="6"/>
  <c r="C127" i="6"/>
  <c r="C124" i="6"/>
  <c r="C123" i="6"/>
  <c r="C122" i="6"/>
  <c r="C121" i="6"/>
  <c r="C120" i="6"/>
  <c r="C119" i="6"/>
  <c r="C118" i="6"/>
  <c r="C117" i="6"/>
  <c r="C116" i="6"/>
  <c r="C115" i="6"/>
  <c r="C114" i="6"/>
  <c r="C113" i="6"/>
  <c r="C112" i="6"/>
  <c r="C111" i="6"/>
  <c r="C110" i="6"/>
  <c r="C109" i="6"/>
  <c r="C108" i="6"/>
  <c r="C107" i="6"/>
  <c r="C106" i="6"/>
  <c r="C105" i="6"/>
  <c r="C104" i="6"/>
  <c r="C103" i="6"/>
  <c r="C102" i="6"/>
  <c r="C99" i="6"/>
  <c r="C98" i="6"/>
  <c r="C97" i="6"/>
  <c r="C96" i="6"/>
  <c r="C95" i="6"/>
  <c r="C94" i="6"/>
  <c r="C93" i="6"/>
  <c r="C92" i="6"/>
  <c r="C91"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3" i="6"/>
  <c r="C42" i="6"/>
  <c r="C41" i="6"/>
  <c r="C40" i="6"/>
  <c r="C39" i="6"/>
  <c r="C38" i="6"/>
  <c r="C37" i="6"/>
  <c r="C36" i="6"/>
  <c r="C35" i="6"/>
  <c r="C34" i="6"/>
  <c r="B34" i="6"/>
  <c r="C33" i="6"/>
  <c r="B33" i="6"/>
  <c r="C32" i="6"/>
  <c r="B32" i="6"/>
  <c r="C31" i="6"/>
  <c r="B31" i="6"/>
  <c r="C30" i="6"/>
  <c r="C29" i="6"/>
  <c r="C28" i="6"/>
  <c r="C23" i="6"/>
  <c r="C22" i="6"/>
  <c r="C21" i="6"/>
  <c r="C20" i="6"/>
  <c r="C19" i="6"/>
  <c r="C18" i="6"/>
  <c r="C17" i="6"/>
  <c r="C13" i="6"/>
  <c r="B13" i="6"/>
  <c r="C12" i="6"/>
  <c r="B12" i="6"/>
  <c r="C11" i="6"/>
  <c r="B11" i="6"/>
  <c r="C10" i="6"/>
  <c r="B10" i="6"/>
  <c r="C9" i="6"/>
  <c r="B9" i="6"/>
  <c r="C8" i="6"/>
  <c r="B8" i="6"/>
  <c r="C7" i="6"/>
  <c r="B7" i="6"/>
  <c r="C6" i="6"/>
  <c r="B6" i="6"/>
  <c r="C5" i="6"/>
  <c r="B5" i="6"/>
  <c r="C4" i="6"/>
  <c r="B4" i="6"/>
  <c r="B225" i="6" l="1"/>
  <c r="B163" i="6"/>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C225" i="3" l="1"/>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B146" i="3"/>
  <c r="B147" i="3" s="1"/>
  <c r="B148" i="3" s="1"/>
  <c r="B149" i="3" s="1"/>
  <c r="B150" i="3" s="1"/>
  <c r="B151" i="3" s="1"/>
  <c r="B152" i="3" s="1"/>
  <c r="B153" i="3" s="1"/>
  <c r="B154" i="3" s="1"/>
  <c r="B155" i="3" s="1"/>
  <c r="B156" i="3" s="1"/>
  <c r="B157" i="3" s="1"/>
  <c r="B158" i="3" s="1"/>
  <c r="B159" i="3" s="1"/>
  <c r="B160" i="3" s="1"/>
  <c r="B161" i="3" s="1"/>
  <c r="B162" i="3" s="1"/>
  <c r="C145" i="3"/>
  <c r="C142" i="3"/>
  <c r="C140" i="3"/>
  <c r="C139" i="3"/>
  <c r="C138" i="3"/>
  <c r="C137" i="3"/>
  <c r="C135" i="3"/>
  <c r="C134" i="3"/>
  <c r="C133" i="3"/>
  <c r="C132" i="3"/>
  <c r="C131" i="3"/>
  <c r="C130" i="3"/>
  <c r="C127" i="3"/>
  <c r="C124" i="3"/>
  <c r="C123" i="3"/>
  <c r="C122" i="3"/>
  <c r="C121" i="3"/>
  <c r="C120" i="3"/>
  <c r="C119" i="3"/>
  <c r="C118" i="3"/>
  <c r="C117" i="3"/>
  <c r="C116" i="3"/>
  <c r="C115" i="3"/>
  <c r="C114" i="3"/>
  <c r="C113" i="3"/>
  <c r="C112" i="3"/>
  <c r="C111" i="3"/>
  <c r="C110" i="3"/>
  <c r="C109" i="3"/>
  <c r="C108" i="3"/>
  <c r="C107" i="3"/>
  <c r="C106" i="3"/>
  <c r="C105" i="3"/>
  <c r="C104" i="3"/>
  <c r="C103" i="3"/>
  <c r="C102" i="3"/>
  <c r="C99" i="3"/>
  <c r="C98" i="3"/>
  <c r="C97" i="3"/>
  <c r="C96" i="3"/>
  <c r="C95" i="3"/>
  <c r="C94" i="3"/>
  <c r="C93" i="3"/>
  <c r="C92" i="3"/>
  <c r="C91"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3" i="3"/>
  <c r="C42" i="3"/>
  <c r="C41" i="3"/>
  <c r="C40" i="3"/>
  <c r="C39" i="3"/>
  <c r="C38" i="3"/>
  <c r="C37" i="3"/>
  <c r="C36" i="3"/>
  <c r="C35" i="3"/>
  <c r="C34" i="3"/>
  <c r="B34" i="3"/>
  <c r="C33" i="3"/>
  <c r="B33" i="3"/>
  <c r="C32" i="3"/>
  <c r="B32" i="3"/>
  <c r="C31" i="3"/>
  <c r="B31" i="3"/>
  <c r="C30" i="3"/>
  <c r="C29" i="3"/>
  <c r="C28" i="3"/>
  <c r="C23" i="3"/>
  <c r="C22" i="3"/>
  <c r="C21" i="3"/>
  <c r="C20" i="3"/>
  <c r="C19" i="3"/>
  <c r="C18" i="3"/>
  <c r="C17" i="3" s="1"/>
  <c r="C13" i="3"/>
  <c r="B13" i="3"/>
  <c r="C12" i="3"/>
  <c r="B12" i="3"/>
  <c r="C11" i="3"/>
  <c r="B11" i="3"/>
  <c r="C10" i="3"/>
  <c r="B10" i="3"/>
  <c r="C9" i="3"/>
  <c r="B9" i="3"/>
  <c r="C8" i="3"/>
  <c r="B8" i="3"/>
  <c r="C7" i="3"/>
  <c r="B7" i="3"/>
  <c r="C6" i="3"/>
  <c r="B6" i="3"/>
  <c r="C5" i="3"/>
  <c r="B5" i="3"/>
  <c r="C4" i="3"/>
  <c r="B4" i="3"/>
  <c r="B225" i="3" l="1"/>
  <c r="B163" i="3"/>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alcChain>
</file>

<file path=xl/sharedStrings.xml><?xml version="1.0" encoding="utf-8"?>
<sst xmlns="http://schemas.openxmlformats.org/spreadsheetml/2006/main" count="5045" uniqueCount="259">
  <si>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</si>
  <si>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</si>
  <si>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</si>
  <si>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</si>
  <si>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</si>
  <si>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</si>
  <si>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</si>
  <si>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</si>
  <si>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</si>
  <si>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</si>
  <si>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</si>
  <si>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</si>
  <si>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</si>
  <si>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</si>
  <si>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</si>
  <si>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</si>
  <si>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</si>
  <si>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</si>
  <si>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</si>
  <si>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</si>
  <si>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</si>
  <si>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</si>
  <si>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</si>
  <si>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</si>
  <si>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</si>
  <si>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</si>
  <si>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</si>
  <si>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</si>
  <si>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</si>
  <si>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</si>
  <si>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</si>
  <si>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</si>
  <si>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</si>
  <si>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</si>
  <si>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</si>
  <si>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</si>
  <si>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</si>
  <si>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</si>
  <si>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</si>
  <si>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</si>
  <si>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</si>
  <si>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</si>
  <si>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</si>
  <si>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</si>
  <si>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</si>
  <si>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</si>
  <si>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</si>
  <si>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</si>
  <si>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</si>
  <si>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</si>
  <si>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</si>
  <si>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</si>
  <si>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</si>
  <si>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</si>
  <si>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</si>
  <si>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</si>
  <si>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</si>
  <si>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</si>
  <si>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</si>
  <si>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</si>
  <si>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</si>
  <si>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</si>
  <si>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</si>
  <si>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</si>
  <si>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</si>
  <si>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</si>
  <si>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</si>
  <si>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</si>
  <si>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</si>
  <si>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</si>
  <si>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</si>
  <si>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</si>
  <si>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</si>
  <si>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</si>
  <si>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</si>
  <si>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</si>
  <si>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</si>
  <si>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</si>
  <si>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</si>
  <si>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</si>
  <si>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</si>
  <si>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</si>
  <si>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</si>
  <si>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</si>
  <si>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</si>
  <si>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</si>
  <si>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</si>
  <si>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</si>
  <si>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</si>
  <si>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</si>
  <si>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</si>
  <si>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</si>
  <si>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</si>
  <si>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</si>
  <si>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</si>
  <si>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</si>
  <si>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</si>
  <si>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</si>
  <si>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</si>
  <si>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</si>
  <si>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</si>
  <si>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</si>
  <si>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</si>
  <si>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</si>
  <si>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</si>
  <si>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</si>
  <si>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</si>
  <si>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</si>
  <si>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</si>
  <si>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</si>
  <si>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</si>
  <si>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</si>
  <si>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</si>
  <si>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</si>
  <si>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</si>
  <si>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</si>
  <si>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</si>
  <si>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</si>
  <si>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</si>
  <si>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</si>
  <si>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</si>
  <si>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</si>
  <si>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</si>
  <si>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</si>
  <si>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</si>
  <si>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</si>
  <si>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</si>
  <si>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</si>
  <si>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</si>
  <si>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</si>
  <si>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</si>
  <si>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</si>
  <si>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</si>
  <si>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</si>
  <si>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</si>
  <si>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</si>
  <si>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</si>
  <si>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</si>
  <si>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</si>
  <si>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</si>
  <si>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</si>
  <si>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</si>
  <si>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</si>
  <si>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</si>
  <si>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</si>
  <si>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</si>
  <si>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</si>
  <si>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</si>
  <si>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</si>
  <si>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</si>
  <si>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</si>
  <si>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</si>
  <si>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</si>
  <si>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</si>
  <si>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</si>
  <si>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</si>
  <si>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</si>
  <si>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</si>
  <si>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</si>
  <si>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</si>
  <si>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</si>
  <si>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</si>
  <si>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</si>
  <si>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</si>
  <si>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</si>
  <si>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</si>
  <si>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</si>
  <si>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</si>
  <si>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</si>
  <si>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</si>
  <si>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</si>
  <si>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</si>
  <si>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</si>
  <si>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</si>
  <si>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</si>
  <si>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</si>
  <si>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</si>
  <si>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</si>
  <si>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</si>
  <si>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</si>
  <si>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</si>
  <si>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</si>
  <si>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</si>
  <si>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</si>
  <si>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</si>
  <si>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</si>
  <si>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</si>
  <si>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</si>
  <si>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</si>
  <si>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</si>
  <si>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</si>
  <si>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</si>
  <si>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</si>
  <si>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</si>
  <si>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</si>
  <si>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</si>
  <si>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</si>
  <si>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</si>
  <si>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</si>
  <si>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</si>
  <si>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</si>
  <si>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</si>
  <si>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</si>
  <si>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</si>
  <si>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</si>
  <si>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</si>
  <si>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</si>
  <si>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</si>
  <si>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</si>
  <si>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</si>
  <si>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</si>
  <si>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</si>
  <si>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</si>
  <si>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</si>
  <si>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</si>
  <si>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</si>
  <si>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</si>
  <si>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</si>
  <si>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</si>
  <si>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</si>
  <si>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</si>
  <si>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</si>
  <si>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</si>
  <si>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</si>
  <si>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</si>
  <si>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</si>
  <si>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</si>
  <si>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</si>
  <si>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</si>
  <si>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</si>
  <si>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</si>
  <si>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</si>
  <si>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</si>
  <si>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</si>
  <si>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</si>
  <si>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</si>
  <si>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</si>
  <si>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</si>
  <si>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</si>
  <si>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</si>
  <si>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</si>
  <si>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РФ с железнодорожным сообщением, км</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</si>
  <si>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</si>
  <si>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</si>
  <si>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</si>
  <si>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</si>
  <si>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</si>
  <si>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</si>
  <si>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</si>
  <si>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</si>
  <si>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</si>
  <si>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</si>
  <si>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</si>
  <si>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</si>
  <si>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</si>
  <si>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</si>
  <si>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газа, в базовом (2019) году, тыс. руб.</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</si>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</sst>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3" x14ac:knownFonts="1">
    <font>
      <sz val="11"/>
      <color theme="1"/>
      <name val="Calibri"/>
      <family val="2"/>
      <charset val="204"/>
      <scheme val="minor"/>
    </font>
    <font>
      <sz val="11"/>
      <color theme="1"/>
      <name val="Calibri"/>
      <family val="2"/>
      <charset val="204"/>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top style="medium">
        <color auto="1"/>
      </top>
      <bottom/>
      <diagonal/>
    </border>
  </borders>
  <cellStyleXfs count="4">
    <xf numFmtId="0" fontId="0" fillId="0" borderId="0"/>
    <xf numFmtId="9" fontId="1" fillId="0" borderId="0" applyFont="0" applyFill="0" applyBorder="0" applyAlignment="0" applyProtection="0"/>
    <xf numFmtId="0" fontId="1" fillId="0" borderId="0"/>
    <xf numFmtId="0" fontId="28" fillId="0" borderId="0"/>
  </cellStyleXfs>
  <cellXfs count="148">
    <xf numFmtId="0" fontId="0" fillId="0" borderId="0" xfId="0"/>
    <xf numFmtId="10" fontId="2" fillId="2" borderId="0" xfId="2" applyNumberFormat="1" applyFont="1" applyFill="1" applyAlignment="1">
      <alignment wrapText="1"/>
    </xf>
    <xf numFmtId="0" fontId="2" fillId="2" borderId="0" xfId="2" applyFont="1" applyFill="1"/>
    <xf numFmtId="0" fontId="2" fillId="2" borderId="0" xfId="2" applyFont="1" applyFill="1" applyAlignment="1">
      <alignment wrapText="1"/>
    </xf>
    <xf numFmtId="0" fontId="2" fillId="2" borderId="0" xfId="2" applyFont="1" applyFill="1" applyAlignment="1">
      <alignment horizontal="right"/>
    </xf>
    <xf numFmtId="14" fontId="2" fillId="2" borderId="0" xfId="2" applyNumberFormat="1" applyFont="1" applyFill="1" applyAlignment="1">
      <alignment horizontal="center" vertical="center" wrapText="1"/>
    </xf>
    <xf numFmtId="0" fontId="4" fillId="2" borderId="0" xfId="2" applyFont="1" applyFill="1" applyAlignment="1">
      <alignment horizontal="left"/>
    </xf>
    <xf numFmtId="0" fontId="2" fillId="2" borderId="0" xfId="2" applyFont="1" applyFill="1" applyAlignment="1">
      <alignment horizontal="center" vertical="center"/>
    </xf>
    <xf numFmtId="0" fontId="2" fillId="2" borderId="0" xfId="2" applyFont="1" applyFill="1" applyBorder="1" applyAlignment="1">
      <alignment wrapText="1"/>
    </xf>
    <xf numFmtId="0" fontId="2" fillId="2" borderId="0" xfId="2" applyFont="1" applyFill="1" applyBorder="1" applyAlignment="1">
      <alignment horizontal="left" vertical="center" wrapText="1"/>
    </xf>
    <xf numFmtId="0" fontId="2" fillId="2" borderId="0" xfId="2" applyNumberFormat="1" applyFont="1" applyFill="1" applyBorder="1" applyAlignment="1">
      <alignment horizontal="center" vertical="center" wrapText="1"/>
    </xf>
    <xf numFmtId="49" fontId="2" fillId="2" borderId="0" xfId="2" applyNumberFormat="1" applyFont="1" applyFill="1" applyBorder="1" applyAlignment="1">
      <alignment horizontal="center" vertical="center" wrapText="1"/>
    </xf>
    <xf numFmtId="0" fontId="2" fillId="2" borderId="0" xfId="2" applyFont="1" applyFill="1" applyBorder="1" applyAlignment="1">
      <alignment vertical="center" wrapText="1"/>
    </xf>
    <xf numFmtId="0" fontId="2" fillId="2" borderId="0" xfId="2" applyFont="1" applyFill="1" applyBorder="1" applyAlignment="1">
      <alignment horizontal="center" vertical="center" wrapText="1"/>
    </xf>
    <xf numFmtId="1" fontId="2" fillId="2" borderId="0" xfId="2" applyNumberFormat="1" applyFont="1" applyFill="1" applyBorder="1" applyAlignment="1">
      <alignment horizontal="center" vertical="center" wrapText="1"/>
    </xf>
    <xf numFmtId="4" fontId="2" fillId="2" borderId="0" xfId="2" applyNumberFormat="1" applyFont="1" applyFill="1" applyBorder="1" applyAlignment="1">
      <alignment horizontal="center" vertical="center" wrapText="1"/>
    </xf>
    <xf numFmtId="4" fontId="4" fillId="2" borderId="2" xfId="2" applyNumberFormat="1" applyFont="1" applyFill="1" applyBorder="1" applyAlignment="1">
      <alignment horizontal="center" vertical="center" wrapText="1"/>
    </xf>
    <xf numFmtId="4" fontId="4" fillId="0" borderId="3" xfId="2" applyNumberFormat="1" applyFont="1" applyFill="1" applyBorder="1" applyAlignment="1">
      <alignment horizontal="center" vertical="center" wrapText="1"/>
    </xf>
    <xf numFmtId="4" fontId="4" fillId="0" borderId="4" xfId="2" applyNumberFormat="1"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49" fontId="2" fillId="2" borderId="5" xfId="2" applyNumberFormat="1" applyFont="1" applyFill="1" applyBorder="1" applyAlignment="1">
      <alignment horizontal="right" vertical="center" wrapText="1"/>
    </xf>
    <xf numFmtId="0" fontId="4" fillId="2" borderId="6" xfId="2" applyFont="1" applyFill="1" applyBorder="1" applyAlignment="1">
      <alignment vertical="center" wrapText="1"/>
    </xf>
    <xf numFmtId="4" fontId="4" fillId="2" borderId="7" xfId="2" applyNumberFormat="1" applyFont="1" applyFill="1" applyBorder="1" applyAlignment="1">
      <alignment horizontal="center" vertical="center" wrapText="1"/>
    </xf>
    <xf numFmtId="0" fontId="2" fillId="2" borderId="6" xfId="2" applyFont="1" applyFill="1" applyBorder="1" applyAlignment="1">
      <alignment horizontal="left" vertical="center" wrapText="1"/>
    </xf>
    <xf numFmtId="4" fontId="2" fillId="2" borderId="7" xfId="2" applyNumberFormat="1" applyFont="1" applyFill="1" applyBorder="1" applyAlignment="1">
      <alignment horizontal="center" vertical="center" wrapText="1"/>
    </xf>
    <xf numFmtId="49" fontId="2" fillId="2" borderId="8" xfId="2" applyNumberFormat="1" applyFont="1" applyFill="1" applyBorder="1" applyAlignment="1">
      <alignment horizontal="right" vertical="center" wrapText="1"/>
    </xf>
    <xf numFmtId="4" fontId="2" fillId="2" borderId="10" xfId="2" applyNumberFormat="1" applyFont="1" applyFill="1" applyBorder="1" applyAlignment="1">
      <alignment horizontal="center" vertical="center" wrapText="1"/>
    </xf>
    <xf numFmtId="4" fontId="4" fillId="2" borderId="11" xfId="2" applyNumberFormat="1" applyFont="1" applyFill="1" applyBorder="1" applyAlignment="1">
      <alignment horizontal="center" vertical="center" wrapText="1"/>
    </xf>
    <xf numFmtId="4" fontId="4" fillId="2" borderId="3" xfId="2" applyNumberFormat="1" applyFont="1" applyFill="1" applyBorder="1" applyAlignment="1">
      <alignment horizontal="center" vertical="center" wrapText="1"/>
    </xf>
    <xf numFmtId="3" fontId="4" fillId="2" borderId="12" xfId="2" applyNumberFormat="1" applyFont="1" applyFill="1" applyBorder="1" applyAlignment="1">
      <alignment horizontal="center" vertical="center" wrapText="1"/>
    </xf>
    <xf numFmtId="3" fontId="4" fillId="2" borderId="6" xfId="2" applyNumberFormat="1" applyFont="1" applyFill="1" applyBorder="1" applyAlignment="1">
      <alignment horizontal="center" vertical="center" wrapText="1"/>
    </xf>
    <xf numFmtId="0" fontId="2"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10" fillId="2" borderId="12" xfId="2" applyFont="1" applyFill="1" applyBorder="1" applyAlignment="1">
      <alignment horizontal="left" vertical="center" wrapText="1" indent="2"/>
    </xf>
    <xf numFmtId="4" fontId="2" fillId="2" borderId="6" xfId="2" applyNumberFormat="1" applyFont="1" applyFill="1" applyBorder="1" applyAlignment="1">
      <alignment horizontal="center" vertical="center"/>
    </xf>
    <xf numFmtId="3" fontId="2" fillId="2" borderId="6" xfId="2" applyNumberFormat="1" applyFont="1" applyFill="1" applyBorder="1" applyAlignment="1">
      <alignment horizontal="center" vertical="center"/>
    </xf>
    <xf numFmtId="0" fontId="2" fillId="2" borderId="6" xfId="2" applyFont="1" applyFill="1" applyBorder="1" applyAlignment="1">
      <alignment horizontal="left" vertical="center" wrapText="1" indent="2"/>
    </xf>
    <xf numFmtId="164" fontId="2" fillId="2" borderId="6" xfId="2" applyNumberFormat="1" applyFont="1" applyFill="1" applyBorder="1" applyAlignment="1">
      <alignment horizontal="center" vertical="center" wrapText="1"/>
    </xf>
    <xf numFmtId="49" fontId="7" fillId="2" borderId="5" xfId="0" applyNumberFormat="1" applyFont="1" applyFill="1" applyBorder="1" applyAlignment="1">
      <alignment horizontal="right" vertical="center"/>
    </xf>
    <xf numFmtId="0" fontId="14" fillId="0" borderId="6" xfId="0" applyFont="1" applyFill="1" applyBorder="1" applyAlignment="1">
      <alignment horizontal="left" vertical="center" wrapText="1" indent="3"/>
    </xf>
    <xf numFmtId="0" fontId="7" fillId="2" borderId="6" xfId="0" applyFont="1" applyFill="1" applyBorder="1" applyAlignment="1">
      <alignment horizontal="left" vertical="center" wrapText="1" indent="5"/>
    </xf>
    <xf numFmtId="0" fontId="13" fillId="2" borderId="6" xfId="0" applyFont="1" applyFill="1" applyBorder="1" applyAlignment="1">
      <alignment horizontal="left" vertical="center" wrapText="1" indent="5"/>
    </xf>
    <xf numFmtId="0" fontId="10" fillId="2" borderId="14" xfId="2" applyFont="1" applyFill="1" applyBorder="1" applyAlignment="1">
      <alignment horizontal="left" vertical="center" wrapText="1" indent="2"/>
    </xf>
    <xf numFmtId="164" fontId="2" fillId="2" borderId="9" xfId="2" applyNumberFormat="1" applyFont="1" applyFill="1" applyBorder="1" applyAlignment="1">
      <alignment horizontal="center" vertical="center" wrapText="1"/>
    </xf>
    <xf numFmtId="49" fontId="2" fillId="2" borderId="15" xfId="2" applyNumberFormat="1" applyFont="1" applyFill="1" applyBorder="1" applyAlignment="1">
      <alignment horizontal="right" vertical="center" wrapText="1"/>
    </xf>
    <xf numFmtId="0" fontId="2" fillId="0" borderId="0" xfId="2" applyFont="1" applyFill="1" applyBorder="1" applyAlignment="1">
      <alignment horizontal="left" vertical="center" wrapText="1" indent="2"/>
    </xf>
    <xf numFmtId="4" fontId="2" fillId="0" borderId="0"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wrapText="1"/>
    </xf>
    <xf numFmtId="49" fontId="2" fillId="2" borderId="6" xfId="2" applyNumberFormat="1"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2" borderId="12" xfId="2" applyFont="1" applyFill="1" applyBorder="1" applyAlignment="1">
      <alignment horizontal="left" vertical="center" wrapText="1" indent="4"/>
    </xf>
    <xf numFmtId="0" fontId="2" fillId="2" borderId="12" xfId="2" applyFont="1" applyFill="1" applyBorder="1" applyAlignment="1">
      <alignment horizontal="left" vertical="center" wrapText="1" indent="7"/>
    </xf>
    <xf numFmtId="0" fontId="10" fillId="2" borderId="12" xfId="2" applyFont="1" applyFill="1" applyBorder="1" applyAlignment="1">
      <alignment horizontal="left" vertical="center" wrapText="1" indent="7"/>
    </xf>
    <xf numFmtId="0" fontId="13" fillId="2" borderId="6" xfId="0" applyFont="1" applyFill="1" applyBorder="1" applyAlignment="1">
      <alignment horizontal="left" vertical="center" wrapText="1" indent="7"/>
    </xf>
    <xf numFmtId="0" fontId="7" fillId="2" borderId="6" xfId="0" applyFont="1" applyFill="1" applyBorder="1" applyAlignment="1">
      <alignment horizontal="left" vertical="center" wrapText="1" indent="7"/>
    </xf>
    <xf numFmtId="0" fontId="10" fillId="2" borderId="12" xfId="2" applyFont="1" applyFill="1" applyBorder="1" applyAlignment="1">
      <alignment horizontal="left" vertical="center" wrapText="1" indent="4"/>
    </xf>
    <xf numFmtId="49" fontId="2" fillId="2" borderId="5" xfId="2" applyNumberFormat="1" applyFont="1" applyFill="1" applyBorder="1" applyAlignment="1">
      <alignment horizontal="right" vertical="center"/>
    </xf>
    <xf numFmtId="0" fontId="13" fillId="2" borderId="6" xfId="0" applyFont="1" applyFill="1" applyBorder="1" applyAlignment="1">
      <alignment horizontal="left" vertical="center" wrapText="1" indent="4"/>
    </xf>
    <xf numFmtId="0" fontId="13" fillId="2" borderId="6" xfId="0" applyFont="1" applyFill="1" applyBorder="1" applyAlignment="1">
      <alignment horizontal="left" vertical="center" wrapText="1" indent="3"/>
    </xf>
    <xf numFmtId="3" fontId="2" fillId="2" borderId="6" xfId="2" applyNumberFormat="1" applyFont="1" applyFill="1" applyBorder="1" applyAlignment="1">
      <alignment horizontal="center" vertical="center" wrapText="1"/>
    </xf>
    <xf numFmtId="0" fontId="14" fillId="2" borderId="0" xfId="2" applyFont="1" applyFill="1"/>
    <xf numFmtId="0" fontId="7" fillId="2" borderId="6" xfId="0" applyFont="1" applyFill="1" applyBorder="1" applyAlignment="1">
      <alignment horizontal="left" vertical="center" wrapText="1" indent="2"/>
    </xf>
    <xf numFmtId="0" fontId="2" fillId="2" borderId="12" xfId="2" applyFont="1" applyFill="1" applyBorder="1" applyAlignment="1">
      <alignment horizontal="left" vertical="center" wrapText="1" indent="5"/>
    </xf>
    <xf numFmtId="0" fontId="10" fillId="2" borderId="12" xfId="2" applyFont="1" applyFill="1" applyBorder="1" applyAlignment="1">
      <alignment horizontal="left" vertical="center" wrapText="1" indent="5"/>
    </xf>
    <xf numFmtId="165" fontId="2" fillId="2" borderId="6" xfId="2" applyNumberFormat="1" applyFont="1" applyFill="1" applyBorder="1" applyAlignment="1">
      <alignment horizontal="center" vertical="center" wrapText="1"/>
    </xf>
    <xf numFmtId="4" fontId="14" fillId="2" borderId="6" xfId="2" applyNumberFormat="1" applyFont="1" applyFill="1" applyBorder="1" applyAlignment="1">
      <alignment horizontal="center" vertical="center"/>
    </xf>
    <xf numFmtId="0" fontId="2" fillId="2" borderId="12" xfId="2" applyFont="1" applyFill="1" applyBorder="1" applyAlignment="1">
      <alignment horizontal="left" wrapText="1" indent="5"/>
    </xf>
    <xf numFmtId="10" fontId="14" fillId="2" borderId="6" xfId="1" applyNumberFormat="1" applyFont="1" applyFill="1" applyBorder="1" applyAlignment="1">
      <alignment horizontal="center" vertical="center"/>
    </xf>
    <xf numFmtId="0" fontId="13" fillId="2" borderId="12" xfId="2" applyFont="1" applyFill="1" applyBorder="1" applyAlignment="1">
      <alignment horizontal="left" vertical="center" wrapText="1" indent="4"/>
    </xf>
    <xf numFmtId="49" fontId="2" fillId="2" borderId="8" xfId="2" applyNumberFormat="1" applyFont="1" applyFill="1" applyBorder="1" applyAlignment="1">
      <alignment horizontal="right" vertical="center"/>
    </xf>
    <xf numFmtId="0" fontId="10" fillId="2" borderId="14" xfId="2" applyFont="1" applyFill="1" applyBorder="1" applyAlignment="1">
      <alignment horizontal="left" vertical="center" wrapText="1" indent="4"/>
    </xf>
    <xf numFmtId="10" fontId="2" fillId="2" borderId="9" xfId="1" applyNumberFormat="1" applyFont="1" applyFill="1" applyBorder="1" applyAlignment="1">
      <alignment horizontal="center" vertical="center" wrapText="1"/>
    </xf>
    <xf numFmtId="0" fontId="2" fillId="2" borderId="0" xfId="2" applyFont="1" applyFill="1" applyBorder="1" applyAlignment="1">
      <alignment horizontal="left" vertical="center" wrapText="1" indent="2"/>
    </xf>
    <xf numFmtId="49" fontId="14" fillId="2" borderId="2" xfId="2" applyNumberFormat="1" applyFont="1" applyFill="1" applyBorder="1" applyAlignment="1">
      <alignment horizontal="right" vertical="center"/>
    </xf>
    <xf numFmtId="49" fontId="14" fillId="2" borderId="5" xfId="2" applyNumberFormat="1" applyFont="1" applyFill="1" applyBorder="1" applyAlignment="1">
      <alignment horizontal="right" vertical="center"/>
    </xf>
    <xf numFmtId="9" fontId="2" fillId="2" borderId="6" xfId="1" applyFont="1" applyFill="1" applyBorder="1" applyAlignment="1">
      <alignment horizontal="center" vertical="center" wrapText="1"/>
    </xf>
    <xf numFmtId="0" fontId="10" fillId="0" borderId="12" xfId="2" applyFont="1" applyFill="1" applyBorder="1" applyAlignment="1">
      <alignment horizontal="left" vertical="center" wrapText="1" indent="4"/>
    </xf>
    <xf numFmtId="166" fontId="2" fillId="2" borderId="6" xfId="1" applyNumberFormat="1" applyFont="1" applyFill="1" applyBorder="1" applyAlignment="1">
      <alignment horizontal="center" vertical="center" wrapText="1"/>
    </xf>
    <xf numFmtId="49" fontId="14" fillId="2" borderId="8" xfId="2" applyNumberFormat="1" applyFont="1" applyFill="1" applyBorder="1" applyAlignment="1">
      <alignment horizontal="right" vertical="center"/>
    </xf>
    <xf numFmtId="0" fontId="7" fillId="2" borderId="9" xfId="0" applyFont="1" applyFill="1" applyBorder="1" applyAlignment="1">
      <alignment horizontal="left" vertical="center" wrapText="1" indent="4"/>
    </xf>
    <xf numFmtId="4" fontId="2" fillId="2" borderId="9" xfId="2" applyNumberFormat="1" applyFont="1" applyFill="1" applyBorder="1" applyAlignment="1">
      <alignment horizontal="center" vertical="center" wrapText="1"/>
    </xf>
    <xf numFmtId="49" fontId="2" fillId="2" borderId="2" xfId="2" applyNumberFormat="1" applyFont="1" applyFill="1" applyBorder="1" applyAlignment="1">
      <alignment horizontal="right" vertical="center"/>
    </xf>
    <xf numFmtId="0" fontId="2" fillId="2" borderId="6" xfId="2" applyNumberFormat="1" applyFont="1" applyFill="1" applyBorder="1" applyAlignment="1">
      <alignment horizontal="center" vertical="center" wrapText="1"/>
    </xf>
    <xf numFmtId="0" fontId="2" fillId="2" borderId="6" xfId="2" applyFont="1" applyFill="1" applyBorder="1" applyAlignment="1">
      <alignment horizontal="left" vertical="center" wrapText="1" indent="4"/>
    </xf>
    <xf numFmtId="0" fontId="7" fillId="2" borderId="6" xfId="0" applyFont="1" applyFill="1" applyBorder="1" applyAlignment="1">
      <alignment horizontal="left" vertical="center" wrapText="1" indent="6"/>
    </xf>
    <xf numFmtId="0" fontId="7" fillId="2" borderId="9" xfId="0" applyFont="1" applyFill="1" applyBorder="1" applyAlignment="1">
      <alignment horizontal="left" vertical="center" wrapText="1" indent="7"/>
    </xf>
    <xf numFmtId="0" fontId="2" fillId="2" borderId="0" xfId="2" applyFont="1" applyFill="1" applyBorder="1"/>
    <xf numFmtId="0" fontId="2" fillId="2" borderId="14" xfId="2" applyFont="1" applyFill="1" applyBorder="1" applyAlignment="1">
      <alignment horizontal="left" vertical="center" wrapText="1" indent="2"/>
    </xf>
    <xf numFmtId="0" fontId="14" fillId="2" borderId="6" xfId="2" applyFont="1" applyFill="1" applyBorder="1" applyAlignment="1">
      <alignment horizontal="left" vertical="center" wrapText="1" indent="2"/>
    </xf>
    <xf numFmtId="4" fontId="2" fillId="2" borderId="6" xfId="1" applyNumberFormat="1" applyFont="1" applyFill="1" applyBorder="1" applyAlignment="1">
      <alignment horizontal="center" vertical="center" wrapText="1"/>
    </xf>
    <xf numFmtId="0" fontId="14" fillId="2" borderId="9" xfId="2" applyFont="1" applyFill="1" applyBorder="1" applyAlignment="1">
      <alignment horizontal="left" vertical="center" wrapText="1" indent="2"/>
    </xf>
    <xf numFmtId="4" fontId="14" fillId="2" borderId="9" xfId="2" applyNumberFormat="1" applyFont="1" applyFill="1" applyBorder="1" applyAlignment="1">
      <alignment horizontal="center" vertical="center" wrapText="1"/>
    </xf>
    <xf numFmtId="49" fontId="2" fillId="2" borderId="17" xfId="2" applyNumberFormat="1" applyFont="1" applyFill="1" applyBorder="1" applyAlignment="1">
      <alignment horizontal="right" vertical="center"/>
    </xf>
    <xf numFmtId="0" fontId="2" fillId="2" borderId="18" xfId="2" applyFont="1" applyFill="1" applyBorder="1" applyAlignment="1">
      <alignment horizontal="left" vertical="center" wrapText="1" indent="4"/>
    </xf>
    <xf numFmtId="10" fontId="2" fillId="2" borderId="18" xfId="1" applyNumberFormat="1" applyFont="1" applyFill="1" applyBorder="1" applyAlignment="1">
      <alignment horizontal="center" vertical="center" wrapText="1"/>
    </xf>
    <xf numFmtId="0" fontId="2" fillId="2" borderId="9" xfId="2" applyFont="1" applyFill="1" applyBorder="1" applyAlignment="1">
      <alignment horizontal="left" vertical="center" wrapText="1" indent="4"/>
    </xf>
    <xf numFmtId="0" fontId="20" fillId="2" borderId="3" xfId="0" applyFont="1" applyFill="1" applyBorder="1" applyAlignment="1">
      <alignment horizontal="left" vertical="center" wrapText="1"/>
    </xf>
    <xf numFmtId="4" fontId="2" fillId="2" borderId="3" xfId="2" applyNumberFormat="1" applyFont="1" applyFill="1" applyBorder="1" applyAlignment="1">
      <alignment horizontal="center" vertical="center" wrapText="1"/>
    </xf>
    <xf numFmtId="0" fontId="10" fillId="2" borderId="6" xfId="2" applyFont="1" applyFill="1" applyBorder="1" applyAlignment="1">
      <alignment horizontal="left" vertical="center" wrapText="1" indent="4"/>
    </xf>
    <xf numFmtId="0" fontId="10" fillId="2" borderId="9" xfId="2" applyFont="1" applyFill="1" applyBorder="1" applyAlignment="1">
      <alignment horizontal="left" vertical="center" wrapText="1" indent="4"/>
    </xf>
    <xf numFmtId="0" fontId="29" fillId="2" borderId="3" xfId="3" applyFont="1" applyFill="1" applyBorder="1" applyAlignment="1">
      <alignment horizontal="left" vertical="center" wrapText="1"/>
    </xf>
    <xf numFmtId="10" fontId="2" fillId="2" borderId="3" xfId="1" applyNumberFormat="1" applyFont="1" applyFill="1" applyBorder="1" applyAlignment="1">
      <alignment horizontal="center" vertical="center" wrapText="1"/>
    </xf>
    <xf numFmtId="0" fontId="2" fillId="2" borderId="0" xfId="2" applyFont="1" applyFill="1" applyBorder="1" applyAlignment="1">
      <alignment horizontal="right" vertical="center"/>
    </xf>
    <xf numFmtId="0" fontId="2" fillId="2" borderId="20" xfId="2" applyFont="1" applyFill="1" applyBorder="1" applyAlignment="1">
      <alignment horizontal="right" wrapText="1" indent="1"/>
    </xf>
    <xf numFmtId="0" fontId="2" fillId="2" borderId="21" xfId="2" applyFont="1" applyFill="1" applyBorder="1" applyAlignment="1">
      <alignment horizontal="center" vertical="center" wrapText="1"/>
    </xf>
    <xf numFmtId="0" fontId="2" fillId="2" borderId="2" xfId="2" applyFont="1" applyFill="1" applyBorder="1"/>
    <xf numFmtId="10" fontId="14" fillId="2" borderId="4" xfId="2" applyNumberFormat="1" applyFont="1" applyFill="1" applyBorder="1" applyAlignment="1" applyProtection="1">
      <alignment vertical="center"/>
    </xf>
    <xf numFmtId="0" fontId="2" fillId="2" borderId="5" xfId="2" applyFont="1" applyFill="1" applyBorder="1"/>
    <xf numFmtId="10" fontId="14" fillId="2" borderId="7" xfId="2" applyNumberFormat="1" applyFont="1" applyFill="1" applyBorder="1" applyAlignment="1" applyProtection="1">
      <alignment vertical="center"/>
    </xf>
    <xf numFmtId="0" fontId="2" fillId="2" borderId="8" xfId="2" applyFont="1" applyFill="1" applyBorder="1"/>
    <xf numFmtId="10" fontId="14" fillId="2" borderId="10" xfId="2" applyNumberFormat="1" applyFont="1" applyFill="1" applyBorder="1" applyAlignment="1" applyProtection="1">
      <alignment vertical="center"/>
    </xf>
    <xf numFmtId="0" fontId="2" fillId="2" borderId="17" xfId="2" applyFont="1" applyFill="1" applyBorder="1"/>
    <xf numFmtId="10" fontId="14" fillId="2" borderId="19" xfId="2" applyNumberFormat="1" applyFont="1" applyFill="1" applyBorder="1" applyAlignment="1" applyProtection="1">
      <alignment vertical="center"/>
    </xf>
    <xf numFmtId="0" fontId="2" fillId="2" borderId="0" xfId="2" applyFont="1" applyFill="1" applyAlignment="1" applyProtection="1">
      <alignment horizontal="center" vertical="center"/>
    </xf>
    <xf numFmtId="0" fontId="4" fillId="2" borderId="0" xfId="2" applyFont="1" applyFill="1" applyAlignment="1">
      <alignment horizontal="left" vertical="center"/>
    </xf>
    <xf numFmtId="4" fontId="4" fillId="2" borderId="4" xfId="2" applyNumberFormat="1"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165" fontId="2" fillId="2" borderId="6" xfId="2" applyNumberFormat="1" applyFont="1" applyFill="1" applyBorder="1" applyAlignment="1">
      <alignment horizontal="center" vertical="center"/>
    </xf>
    <xf numFmtId="49" fontId="2" fillId="2" borderId="6" xfId="2" applyNumberFormat="1" applyFont="1" applyFill="1" applyBorder="1" applyAlignment="1">
      <alignment horizontal="right" vertical="center" wrapText="1"/>
    </xf>
    <xf numFmtId="49" fontId="7" fillId="2" borderId="6" xfId="0" applyNumberFormat="1" applyFont="1" applyFill="1" applyBorder="1" applyAlignment="1">
      <alignment horizontal="right" vertical="center"/>
    </xf>
    <xf numFmtId="167" fontId="2" fillId="2" borderId="6" xfId="1" applyNumberFormat="1" applyFont="1" applyFill="1" applyBorder="1" applyAlignment="1">
      <alignment horizontal="center" vertical="center" wrapText="1"/>
    </xf>
    <xf numFmtId="167" fontId="2" fillId="2" borderId="6" xfId="2" applyNumberFormat="1" applyFont="1" applyFill="1" applyBorder="1" applyAlignment="1">
      <alignment horizontal="center" vertical="center" wrapText="1"/>
    </xf>
    <xf numFmtId="2" fontId="2" fillId="2" borderId="6" xfId="2" applyNumberFormat="1" applyFont="1" applyFill="1" applyBorder="1" applyAlignment="1">
      <alignment horizontal="center" vertical="center" wrapText="1"/>
    </xf>
    <xf numFmtId="4" fontId="14" fillId="2" borderId="6" xfId="2" applyNumberFormat="1" applyFont="1" applyFill="1" applyBorder="1" applyAlignment="1">
      <alignment horizontal="center" vertical="center" wrapText="1"/>
    </xf>
    <xf numFmtId="10" fontId="2" fillId="2" borderId="3" xfId="2" applyNumberFormat="1" applyFont="1" applyFill="1" applyBorder="1" applyAlignment="1">
      <alignment horizontal="center" vertical="center" wrapText="1"/>
    </xf>
    <xf numFmtId="0" fontId="2" fillId="2" borderId="2" xfId="2" applyFont="1" applyFill="1" applyBorder="1" applyAlignment="1">
      <alignment horizontal="right" wrapText="1" indent="1"/>
    </xf>
    <xf numFmtId="0" fontId="2" fillId="2" borderId="4" xfId="2" applyFont="1" applyFill="1" applyBorder="1" applyAlignment="1">
      <alignment horizontal="center" vertical="center" wrapText="1"/>
    </xf>
    <xf numFmtId="0" fontId="2" fillId="2" borderId="5" xfId="2" applyFont="1" applyFill="1" applyBorder="1" applyProtection="1"/>
    <xf numFmtId="10" fontId="14"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horizontal="right" vertical="center"/>
    </xf>
    <xf numFmtId="10" fontId="2" fillId="2" borderId="7" xfId="2" applyNumberFormat="1" applyFont="1" applyFill="1" applyBorder="1" applyAlignment="1" applyProtection="1">
      <alignment vertical="center"/>
    </xf>
    <xf numFmtId="10" fontId="2" fillId="2" borderId="7" xfId="2" applyNumberFormat="1" applyFont="1" applyFill="1" applyBorder="1" applyAlignment="1" applyProtection="1">
      <alignment vertical="center"/>
      <protection locked="0"/>
    </xf>
    <xf numFmtId="10" fontId="2" fillId="2" borderId="10" xfId="2" applyNumberFormat="1" applyFont="1" applyFill="1" applyBorder="1" applyAlignment="1" applyProtection="1">
      <alignment vertical="center"/>
      <protection locked="0"/>
    </xf>
    <xf numFmtId="0" fontId="2" fillId="2" borderId="22" xfId="2" applyFont="1" applyFill="1" applyBorder="1"/>
    <xf numFmtId="0" fontId="2" fillId="2" borderId="22" xfId="2" applyFont="1" applyFill="1" applyBorder="1" applyAlignment="1">
      <alignment vertical="center"/>
    </xf>
    <xf numFmtId="0" fontId="2" fillId="2" borderId="0" xfId="2" applyFont="1" applyFill="1" applyAlignment="1">
      <alignment vertical="center"/>
    </xf>
    <xf numFmtId="0" fontId="2" fillId="2" borderId="9" xfId="2" applyFont="1" applyFill="1" applyBorder="1" applyAlignment="1">
      <alignment horizontal="left" vertical="center" wrapText="1"/>
    </xf>
    <xf numFmtId="0" fontId="2" fillId="2" borderId="9" xfId="2" applyFont="1" applyFill="1" applyBorder="1" applyAlignment="1">
      <alignment horizontal="left" vertical="center" wrapText="1"/>
    </xf>
    <xf numFmtId="0" fontId="4" fillId="2" borderId="1" xfId="2" applyFont="1" applyFill="1" applyBorder="1" applyAlignment="1">
      <alignment horizontal="left" wrapText="1"/>
    </xf>
    <xf numFmtId="0" fontId="3" fillId="2" borderId="0" xfId="2" applyFont="1" applyFill="1" applyBorder="1" applyAlignment="1">
      <alignment horizontal="center" vertical="center" wrapText="1"/>
    </xf>
    <xf numFmtId="0" fontId="4" fillId="2" borderId="13" xfId="2" applyFont="1" applyFill="1" applyBorder="1" applyAlignment="1">
      <alignment horizontal="left" vertical="center" wrapText="1"/>
    </xf>
    <xf numFmtId="0" fontId="4" fillId="2" borderId="16"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1" xfId="2" applyFont="1" applyFill="1" applyBorder="1" applyAlignment="1">
      <alignment horizont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externalLink" Target="externalLinks/externalLink26.xml"/><Relationship Id="rId50" Type="http://schemas.openxmlformats.org/officeDocument/2006/relationships/externalLink" Target="externalLinks/externalLink29.xml"/><Relationship Id="rId55" Type="http://schemas.openxmlformats.org/officeDocument/2006/relationships/externalLink" Target="externalLinks/externalLink34.xml"/><Relationship Id="rId63" Type="http://schemas.openxmlformats.org/officeDocument/2006/relationships/externalLink" Target="externalLinks/externalLink42.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externalLink" Target="externalLinks/externalLink24.xml"/><Relationship Id="rId53" Type="http://schemas.openxmlformats.org/officeDocument/2006/relationships/externalLink" Target="externalLinks/externalLink32.xml"/><Relationship Id="rId58" Type="http://schemas.openxmlformats.org/officeDocument/2006/relationships/externalLink" Target="externalLinks/externalLink37.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49" Type="http://schemas.openxmlformats.org/officeDocument/2006/relationships/externalLink" Target="externalLinks/externalLink28.xml"/><Relationship Id="rId57" Type="http://schemas.openxmlformats.org/officeDocument/2006/relationships/externalLink" Target="externalLinks/externalLink36.xml"/><Relationship Id="rId61" Type="http://schemas.openxmlformats.org/officeDocument/2006/relationships/externalLink" Target="externalLinks/externalLink4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externalLink" Target="externalLinks/externalLink23.xml"/><Relationship Id="rId52" Type="http://schemas.openxmlformats.org/officeDocument/2006/relationships/externalLink" Target="externalLinks/externalLink31.xml"/><Relationship Id="rId60" Type="http://schemas.openxmlformats.org/officeDocument/2006/relationships/externalLink" Target="externalLinks/externalLink39.xml"/><Relationship Id="rId65" Type="http://schemas.openxmlformats.org/officeDocument/2006/relationships/externalLink" Target="externalLinks/externalLink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 Id="rId48" Type="http://schemas.openxmlformats.org/officeDocument/2006/relationships/externalLink" Target="externalLinks/externalLink27.xml"/><Relationship Id="rId56" Type="http://schemas.openxmlformats.org/officeDocument/2006/relationships/externalLink" Target="externalLinks/externalLink35.xml"/><Relationship Id="rId64" Type="http://schemas.openxmlformats.org/officeDocument/2006/relationships/externalLink" Target="externalLinks/externalLink43.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externalLink" Target="externalLinks/externalLink25.xml"/><Relationship Id="rId59" Type="http://schemas.openxmlformats.org/officeDocument/2006/relationships/externalLink" Target="externalLinks/externalLink38.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20.xml"/><Relationship Id="rId54" Type="http://schemas.openxmlformats.org/officeDocument/2006/relationships/externalLink" Target="externalLinks/externalLink33.xml"/><Relationship Id="rId62" Type="http://schemas.openxmlformats.org/officeDocument/2006/relationships/externalLink" Target="externalLinks/externalLink4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1;&#1091;&#1088;&#1084;&#1080;&#1089;&#1090;&#1088;&#1086;&#1074;&#1086;.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45;&#1074;&#1089;&#1080;&#1085;&#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1;&#1077;&#1075;&#1086;&#1089;&#1090;&#1072;&#1077;&#1074;&#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1;&#1080;&#1089;&#1090;&#1074;&#1103;&#1085;&#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2;&#1080;&#1095;&#1091;&#1088;&#1080;&#1085;&#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2;&#1086;&#1088;&#1086;&#1079;&#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5;&#1088;&#1077;&#1086;&#1073;&#1088;&#1072;&#1078;&#1077;&#1085;&#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5;&#1088;&#1086;&#1084;&#1099;&#1096;&#1083;&#1077;&#1085;&#1085;&#1099;&#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7;&#1086;&#1074;&#1093;&#1086;&#1079;&#1085;&#1099;&#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7;&#1090;&#1077;&#1087;&#1085;&#1086;&#108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8;&#1072;&#1090;&#1100;&#1084;&#1077;&#1085;&#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1;&#1091;&#1088;&#1084;&#1080;&#1089;&#1090;&#1088;&#1086;&#1074;&#1089;&#1082;&#1080;&#108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9;&#1083;&#1099;&#1073;&#1080;&#1085;&#1089;&#1082;&#1080;&#108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9;&#1089;&#1090;&#1100;-&#1063;&#1077;&#1084;&#1089;&#1082;&#1086;&#108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63;&#1077;&#1088;&#1085;&#1086;&#1088;&#1077;&#1095;&#1077;&#1085;&#1089;&#1082;&#1080;&#1081;.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64;&#1080;&#1073;&#1082;&#1086;&#1074;&#1089;&#1082;&#1080;&#108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42;&#1077;&#1088;&#1093;-&#1050;&#1086;&#1077;&#1085;&#1089;&#1082;&#1080;&#1081;.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45;&#1074;&#1089;&#1080;&#1085;&#1089;&#1082;&#1080;&#1081;.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52;&#1080;&#1095;&#1091;&#1088;&#1080;&#1085;&#1089;&#1082;&#1080;&#1081;.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52;&#1086;&#1088;&#1086;&#1079;&#1086;&#1074;&#1089;&#1082;&#1080;&#1081;.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55;&#1088;&#1086;&#1084;&#1099;&#1096;&#1083;&#1077;&#1085;&#1085;&#1099;&#108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57;&#1086;&#1074;&#1093;&#1086;&#1079;&#1085;&#1099;&#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1;&#1099;&#1089;&#1090;&#1088;&#1086;&#1074;&#1089;&#1082;&#1080;&#1081;.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58;&#1072;&#1083;&#1100;&#1084;&#1077;&#1085;&#1089;&#1082;&#1080;&#1081;.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75;&#1072;&#1079;_&#1062;&#1055;%20(&#1073;&#1077;&#1079;%20&#1053;&#1044;&#1057;)_2&#1087;&#1075;2024&#1075;_&#1084;&#1077;&#1085;&#1077;&#1077;%2050%20&#1090;&#1099;&#1089;%20&#1063;&#1077;&#1088;&#1085;&#1086;&#1088;&#1077;&#1095;&#1077;&#1085;&#1089;&#1082;&#1080;&#1081;.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41;&#1091;&#1088;&#1084;&#1080;&#1089;&#1090;&#1088;&#1086;&#1074;&#1089;&#1082;&#1080;&#1081;.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41;&#1099;&#1089;&#1090;&#1088;&#1086;&#1074;&#1089;&#1082;&#1080;&#1081;.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43;&#1080;&#1083;&#1077;&#1074;&#1089;&#1082;&#1080;&#1081;.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43;&#1091;&#1089;&#1077;&#1083;&#1100;&#1085;&#1080;&#1082;&#1086;&#1074;&#1089;&#1082;&#1080;&#1081;.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1;&#1077;&#1075;&#1086;&#1089;&#1090;&#1072;&#1077;&#1074;&#1089;&#1082;&#1080;&#1081;.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1;&#1080;&#1089;&#1090;&#1074;&#1103;&#1085;&#1089;&#1082;&#1080;&#1081;.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5;&#1088;&#1077;&#1086;&#1073;&#1088;&#1072;&#1078;&#1077;&#1085;&#1089;&#1082;&#1080;&#1081;.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7;&#1086;&#1074;&#1093;&#1086;&#1079;&#1085;&#1099;&#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1;&#1099;&#1089;&#1090;&#1088;&#1086;&#1074;&#1089;&#1082;&#1080;&#1081;.xlsm"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7;&#1090;&#1077;&#1087;&#1085;&#1086;&#1081;.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9;&#1083;&#1099;&#1073;&#1080;&#1085;&#1089;&#1082;&#1080;&#1081;.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59;&#1089;&#1090;&#1100;-&#1063;&#1077;&#1084;&#1089;&#1082;&#1086;&#1081;.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63;&#1077;&#1088;&#1085;&#1086;&#1088;&#1077;&#1095;&#1077;&#1085;&#1089;&#1082;&#1080;&#1081;.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PREDEL.PRICE.NCZ.WARM/2025/&#1088;&#1072;&#1089;&#1095;&#1077;&#1090;&#1099;/&#1048;&#1089;&#1082;&#1080;&#1090;&#1080;&#1084;&#1089;&#1082;&#1080;&#1081;/&#1064;&#1072;&#1073;&#1083;&#1086;&#1085;%20&#1062;&#1040;&#1050;_&#1091;&#1075;&#1086;&#1083;&#1100;_&#1062;&#1055;%20(&#1073;&#1077;&#1079;%20&#1053;&#1044;&#1057;)_2&#1087;&#1075;2024&#1075;_&#1084;&#1077;&#1085;&#1077;&#1077;%2050%20&#1090;&#1099;&#1089;%20&#1064;&#1080;&#1073;&#1082;&#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2;&#1077;&#1088;&#1093;-&#1050;&#1086;&#1077;&#1085;&#1089;&#1082;&#1086;&#1077;%20&#1075;&#1072;&#107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42;&#1077;&#1088;&#1093;-&#1050;&#1086;&#1077;&#1085;&#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048;&#1089;&#1082;&#1080;&#1090;&#1080;&#1084;&#1089;&#1082;&#1080;&#108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3;&#1080;&#1083;&#1077;&#1074;&#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3;&#1091;&#1089;&#1077;&#1083;&#1100;&#1085;&#1080;&#1082;&#1086;&#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Искитимский Бурмистрово"/>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831.83302974859123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2118.7793537219804</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507.22302275360641</v>
          </cell>
        </row>
      </sheetData>
      <sheetData sheetId="24"/>
      <sheetData sheetId="25">
        <row r="12">
          <cell r="F12">
            <v>402.86408578976187</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77.213989840278799</v>
          </cell>
        </row>
      </sheetData>
      <sheetData sheetId="31">
        <row r="12">
          <cell r="F12" t="str">
            <v>-</v>
          </cell>
        </row>
      </sheetData>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994.35037159416254</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1338.5714783459885</v>
          </cell>
        </row>
      </sheetData>
      <sheetData sheetId="14">
        <row r="12">
          <cell r="E12" t="str">
            <v>V</v>
          </cell>
        </row>
      </sheetData>
      <sheetData sheetId="15" refreshError="1"/>
      <sheetData sheetId="16">
        <row r="10">
          <cell r="E10">
            <v>1287</v>
          </cell>
        </row>
      </sheetData>
      <sheetData sheetId="17">
        <row r="11">
          <cell r="E11">
            <v>5.45</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row>
      </sheetData>
      <sheetData sheetId="20">
        <row r="11">
          <cell r="G11" t="str">
            <v>Информация с официального сайта Банка России</v>
          </cell>
        </row>
      </sheetData>
      <sheetData sheetId="21" refreshError="1"/>
      <sheetData sheetId="22">
        <row r="12">
          <cell r="F12">
            <v>317.98065232680995</v>
          </cell>
        </row>
      </sheetData>
      <sheetData sheetId="23">
        <row r="12">
          <cell r="F12" t="str">
            <v xml:space="preserve">Налоговый кодекс Российской Федерации </v>
          </cell>
        </row>
      </sheetData>
      <sheetData sheetId="24">
        <row r="12">
          <cell r="F12">
            <v>230.67011420241766</v>
          </cell>
        </row>
      </sheetData>
      <sheetData sheetId="25" refreshError="1"/>
      <sheetData sheetId="26">
        <row r="8">
          <cell r="F8" t="str">
            <v>нет</v>
          </cell>
        </row>
      </sheetData>
      <sheetData sheetId="27">
        <row r="11">
          <cell r="E11">
            <v>1871</v>
          </cell>
        </row>
      </sheetData>
      <sheetData sheetId="28" refreshError="1"/>
      <sheetData sheetId="29">
        <row r="12">
          <cell r="F12">
            <v>57.631452329387571</v>
          </cell>
        </row>
      </sheetData>
      <sheetData sheetId="30">
        <row r="12">
          <cell r="F12">
            <v>0</v>
          </cell>
        </row>
      </sheetData>
      <sheetData sheetId="31">
        <row r="11">
          <cell r="E11"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759.67438872744583</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445.70966523768817</v>
          </cell>
        </row>
      </sheetData>
      <sheetData sheetId="26"/>
      <sheetData sheetId="27">
        <row r="8">
          <cell r="F8" t="str">
            <v>нет</v>
          </cell>
        </row>
      </sheetData>
      <sheetData sheetId="28">
        <row r="11">
          <cell r="E11">
            <v>1871</v>
          </cell>
        </row>
      </sheetData>
      <sheetData sheetId="29" refreshError="1"/>
      <sheetData sheetId="30">
        <row r="12">
          <cell r="F12">
            <v>73.629939651719823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626.19211112710013</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436.36590580566394</v>
          </cell>
        </row>
      </sheetData>
      <sheetData sheetId="26"/>
      <sheetData sheetId="27">
        <row r="8">
          <cell r="F8" t="str">
            <v>нет</v>
          </cell>
        </row>
      </sheetData>
      <sheetData sheetId="28">
        <row r="11">
          <cell r="E11">
            <v>1871</v>
          </cell>
        </row>
      </sheetData>
      <sheetData sheetId="29" refreshError="1"/>
      <sheetData sheetId="30">
        <row r="12">
          <cell r="F12">
            <v>70.773418911072426</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994.35037159416254</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1338.5714783459885</v>
          </cell>
        </row>
      </sheetData>
      <sheetData sheetId="14">
        <row r="12">
          <cell r="E12" t="str">
            <v>V</v>
          </cell>
        </row>
      </sheetData>
      <sheetData sheetId="15" refreshError="1"/>
      <sheetData sheetId="16">
        <row r="10">
          <cell r="E10">
            <v>1287</v>
          </cell>
        </row>
      </sheetData>
      <sheetData sheetId="17">
        <row r="11">
          <cell r="E11">
            <v>5.45</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row>
      </sheetData>
      <sheetData sheetId="20">
        <row r="11">
          <cell r="G11" t="str">
            <v>Информация с официального сайта Банка России</v>
          </cell>
        </row>
      </sheetData>
      <sheetData sheetId="21" refreshError="1"/>
      <sheetData sheetId="22">
        <row r="12">
          <cell r="F12">
            <v>317.98065232680995</v>
          </cell>
        </row>
      </sheetData>
      <sheetData sheetId="23">
        <row r="12">
          <cell r="F12" t="str">
            <v xml:space="preserve">Налоговый кодекс Российской Федерации </v>
          </cell>
        </row>
      </sheetData>
      <sheetData sheetId="24">
        <row r="12">
          <cell r="F12">
            <v>230.67011420241766</v>
          </cell>
        </row>
      </sheetData>
      <sheetData sheetId="25" refreshError="1"/>
      <sheetData sheetId="26">
        <row r="8">
          <cell r="F8" t="str">
            <v>нет</v>
          </cell>
        </row>
      </sheetData>
      <sheetData sheetId="27">
        <row r="11">
          <cell r="E11">
            <v>1871</v>
          </cell>
        </row>
      </sheetData>
      <sheetData sheetId="28" refreshError="1"/>
      <sheetData sheetId="29">
        <row r="12">
          <cell r="F12">
            <v>57.631452329387571</v>
          </cell>
        </row>
      </sheetData>
      <sheetData sheetId="30">
        <row r="12">
          <cell r="F12">
            <v>0</v>
          </cell>
        </row>
      </sheetData>
      <sheetData sheetId="31">
        <row r="11">
          <cell r="E11"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994.35037159416254</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1338.5714783459885</v>
          </cell>
        </row>
      </sheetData>
      <sheetData sheetId="14">
        <row r="12">
          <cell r="E12" t="str">
            <v>V</v>
          </cell>
        </row>
      </sheetData>
      <sheetData sheetId="15" refreshError="1"/>
      <sheetData sheetId="16">
        <row r="10">
          <cell r="E10">
            <v>1287</v>
          </cell>
        </row>
      </sheetData>
      <sheetData sheetId="17">
        <row r="11">
          <cell r="E11">
            <v>5.45</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row>
      </sheetData>
      <sheetData sheetId="20">
        <row r="11">
          <cell r="G11" t="str">
            <v>Информация с официального сайта Банка России</v>
          </cell>
        </row>
      </sheetData>
      <sheetData sheetId="21" refreshError="1"/>
      <sheetData sheetId="22">
        <row r="12">
          <cell r="F12">
            <v>317.98065232680995</v>
          </cell>
        </row>
      </sheetData>
      <sheetData sheetId="23">
        <row r="12">
          <cell r="F12" t="str">
            <v xml:space="preserve">Налоговый кодекс Российской Федерации </v>
          </cell>
        </row>
      </sheetData>
      <sheetData sheetId="24">
        <row r="12">
          <cell r="F12">
            <v>230.67011420241766</v>
          </cell>
        </row>
      </sheetData>
      <sheetData sheetId="25" refreshError="1"/>
      <sheetData sheetId="26">
        <row r="8">
          <cell r="F8" t="str">
            <v>нет</v>
          </cell>
        </row>
      </sheetData>
      <sheetData sheetId="27">
        <row r="11">
          <cell r="E11">
            <v>1871</v>
          </cell>
        </row>
      </sheetData>
      <sheetData sheetId="28" refreshError="1"/>
      <sheetData sheetId="29">
        <row r="12">
          <cell r="F12">
            <v>57.631452329387571</v>
          </cell>
        </row>
      </sheetData>
      <sheetData sheetId="30">
        <row r="12">
          <cell r="F12">
            <v>0</v>
          </cell>
        </row>
      </sheetData>
      <sheetData sheetId="31">
        <row r="11">
          <cell r="E11"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734.04217101653171</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443.91540999792414</v>
          </cell>
        </row>
      </sheetData>
      <sheetData sheetId="26"/>
      <sheetData sheetId="27">
        <row r="8">
          <cell r="F8" t="str">
            <v>нет</v>
          </cell>
        </row>
      </sheetData>
      <sheetData sheetId="28">
        <row r="11">
          <cell r="E11">
            <v>1871</v>
          </cell>
        </row>
      </sheetData>
      <sheetData sheetId="29" refreshError="1"/>
      <sheetData sheetId="30">
        <row r="12">
          <cell r="F12">
            <v>73.081410192706258</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994.35037159416254</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sheetData sheetId="10"/>
      <sheetData sheetId="11"/>
      <sheetData sheetId="12"/>
      <sheetData sheetId="13">
        <row r="12">
          <cell r="F12">
            <v>1338.5714783459885</v>
          </cell>
        </row>
      </sheetData>
      <sheetData sheetId="14">
        <row r="12">
          <cell r="E12" t="str">
            <v>V</v>
          </cell>
        </row>
      </sheetData>
      <sheetData sheetId="15"/>
      <sheetData sheetId="16">
        <row r="10">
          <cell r="E10">
            <v>1287</v>
          </cell>
        </row>
      </sheetData>
      <sheetData sheetId="17">
        <row r="11">
          <cell r="E11">
            <v>5.45</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row>
      </sheetData>
      <sheetData sheetId="20">
        <row r="11">
          <cell r="G11" t="str">
            <v>Информация с официального сайта Банка России</v>
          </cell>
        </row>
      </sheetData>
      <sheetData sheetId="21"/>
      <sheetData sheetId="22">
        <row r="12">
          <cell r="F12">
            <v>317.98065232680995</v>
          </cell>
        </row>
      </sheetData>
      <sheetData sheetId="23">
        <row r="12">
          <cell r="F12" t="str">
            <v xml:space="preserve">Налоговый кодекс Российской Федерации </v>
          </cell>
        </row>
      </sheetData>
      <sheetData sheetId="24">
        <row r="12">
          <cell r="F12">
            <v>230.67011420241766</v>
          </cell>
        </row>
      </sheetData>
      <sheetData sheetId="25"/>
      <sheetData sheetId="26">
        <row r="8">
          <cell r="F8" t="str">
            <v>нет</v>
          </cell>
        </row>
      </sheetData>
      <sheetData sheetId="27">
        <row r="11">
          <cell r="E11">
            <v>1871</v>
          </cell>
        </row>
      </sheetData>
      <sheetData sheetId="28"/>
      <sheetData sheetId="29">
        <row r="12">
          <cell r="F12">
            <v>57.631452329387571</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994.35037159416254</v>
          </cell>
        </row>
      </sheetData>
      <sheetData sheetId="8">
        <row r="16">
          <cell r="E16">
            <v>7900</v>
          </cell>
        </row>
      </sheetData>
      <sheetData sheetId="9"/>
      <sheetData sheetId="10"/>
      <sheetData sheetId="11"/>
      <sheetData sheetId="12"/>
      <sheetData sheetId="13">
        <row r="12">
          <cell r="F12">
            <v>1338.5714783459885</v>
          </cell>
        </row>
      </sheetData>
      <sheetData sheetId="14">
        <row r="12">
          <cell r="E12" t="str">
            <v>V</v>
          </cell>
        </row>
      </sheetData>
      <sheetData sheetId="15"/>
      <sheetData sheetId="16">
        <row r="10">
          <cell r="E10">
            <v>1287</v>
          </cell>
        </row>
      </sheetData>
      <sheetData sheetId="17">
        <row r="11">
          <cell r="E11">
            <v>5.45</v>
          </cell>
        </row>
      </sheetData>
      <sheetData sheetId="18"/>
      <sheetData sheetId="19">
        <row r="11">
          <cell r="E11">
            <v>-2.9000000000000026E-2</v>
          </cell>
        </row>
      </sheetData>
      <sheetData sheetId="20"/>
      <sheetData sheetId="21"/>
      <sheetData sheetId="22">
        <row r="12">
          <cell r="F12">
            <v>317.98065232680995</v>
          </cell>
        </row>
      </sheetData>
      <sheetData sheetId="23"/>
      <sheetData sheetId="24">
        <row r="12">
          <cell r="F12">
            <v>230.67011420241766</v>
          </cell>
        </row>
      </sheetData>
      <sheetData sheetId="25"/>
      <sheetData sheetId="26">
        <row r="8">
          <cell r="F8" t="str">
            <v>нет</v>
          </cell>
        </row>
      </sheetData>
      <sheetData sheetId="27">
        <row r="11">
          <cell r="E11">
            <v>1871</v>
          </cell>
        </row>
      </sheetData>
      <sheetData sheetId="28"/>
      <sheetData sheetId="29">
        <row r="12">
          <cell r="F12">
            <v>57.631452329387571</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744.53988101969924</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2000.3680279558928</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475.74490066496389</v>
          </cell>
        </row>
      </sheetData>
      <sheetData sheetId="24"/>
      <sheetData sheetId="25">
        <row r="12">
          <cell r="F12">
            <v>444.6502496981459</v>
          </cell>
        </row>
      </sheetData>
      <sheetData sheetId="26"/>
      <sheetData sheetId="27">
        <row r="8">
          <cell r="F8" t="str">
            <v>нет</v>
          </cell>
        </row>
      </sheetData>
      <sheetData sheetId="28">
        <row r="11">
          <cell r="E11">
            <v>1871</v>
          </cell>
        </row>
      </sheetData>
      <sheetData sheetId="29"/>
      <sheetData sheetId="30">
        <row r="12">
          <cell r="F12">
            <v>73.306061186774045</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994.35037159416254</v>
          </cell>
        </row>
      </sheetData>
      <sheetData sheetId="8">
        <row r="16">
          <cell r="E16">
            <v>7900</v>
          </cell>
        </row>
      </sheetData>
      <sheetData sheetId="9"/>
      <sheetData sheetId="10"/>
      <sheetData sheetId="11"/>
      <sheetData sheetId="12"/>
      <sheetData sheetId="13">
        <row r="12">
          <cell r="F12">
            <v>1338.5714783459885</v>
          </cell>
        </row>
      </sheetData>
      <sheetData sheetId="14">
        <row r="12">
          <cell r="E12" t="str">
            <v>V</v>
          </cell>
        </row>
      </sheetData>
      <sheetData sheetId="15"/>
      <sheetData sheetId="16">
        <row r="10">
          <cell r="E10">
            <v>1287</v>
          </cell>
        </row>
      </sheetData>
      <sheetData sheetId="17">
        <row r="11">
          <cell r="E11">
            <v>5.45</v>
          </cell>
        </row>
      </sheetData>
      <sheetData sheetId="18"/>
      <sheetData sheetId="19">
        <row r="11">
          <cell r="E11">
            <v>-2.9000000000000026E-2</v>
          </cell>
        </row>
      </sheetData>
      <sheetData sheetId="20"/>
      <sheetData sheetId="21"/>
      <sheetData sheetId="22">
        <row r="12">
          <cell r="F12">
            <v>317.98065232680995</v>
          </cell>
        </row>
      </sheetData>
      <sheetData sheetId="23"/>
      <sheetData sheetId="24">
        <row r="12">
          <cell r="F12">
            <v>230.67011420241766</v>
          </cell>
        </row>
      </sheetData>
      <sheetData sheetId="25"/>
      <sheetData sheetId="26">
        <row r="8">
          <cell r="F8" t="str">
            <v>нет</v>
          </cell>
        </row>
      </sheetData>
      <sheetData sheetId="27">
        <row r="11">
          <cell r="E11">
            <v>1871</v>
          </cell>
        </row>
      </sheetData>
      <sheetData sheetId="28"/>
      <sheetData sheetId="29">
        <row r="12">
          <cell r="F12">
            <v>57.631452329387571</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759.67438872744583</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445.70966523768817</v>
          </cell>
        </row>
      </sheetData>
      <sheetData sheetId="26"/>
      <sheetData sheetId="27">
        <row r="8">
          <cell r="F8" t="str">
            <v>нет</v>
          </cell>
        </row>
      </sheetData>
      <sheetData sheetId="28">
        <row r="11">
          <cell r="E11">
            <v>1871</v>
          </cell>
        </row>
      </sheetData>
      <sheetData sheetId="29" refreshError="1"/>
      <sheetData sheetId="30">
        <row r="12">
          <cell r="F12">
            <v>73.629939651719823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665.23209308057574</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2000.3680279558928</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475.74490066496389</v>
          </cell>
        </row>
      </sheetData>
      <sheetData sheetId="24"/>
      <sheetData sheetId="25">
        <row r="12">
          <cell r="F12">
            <v>439.09870454240729</v>
          </cell>
        </row>
      </sheetData>
      <sheetData sheetId="26"/>
      <sheetData sheetId="27">
        <row r="8">
          <cell r="F8" t="str">
            <v>нет</v>
          </cell>
        </row>
      </sheetData>
      <sheetData sheetId="28">
        <row r="11">
          <cell r="E11">
            <v>1871</v>
          </cell>
        </row>
      </sheetData>
      <sheetData sheetId="29"/>
      <sheetData sheetId="30">
        <row r="12">
          <cell r="F12">
            <v>71.608874524876796</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665.23209308057574</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2000.3680279558928</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475.74490066496389</v>
          </cell>
        </row>
      </sheetData>
      <sheetData sheetId="24"/>
      <sheetData sheetId="25">
        <row r="12">
          <cell r="F12">
            <v>439.09870454240729</v>
          </cell>
        </row>
      </sheetData>
      <sheetData sheetId="26"/>
      <sheetData sheetId="27">
        <row r="8">
          <cell r="F8" t="str">
            <v>нет</v>
          </cell>
        </row>
      </sheetData>
      <sheetData sheetId="28">
        <row r="11">
          <cell r="E11">
            <v>1871</v>
          </cell>
        </row>
      </sheetData>
      <sheetData sheetId="29"/>
      <sheetData sheetId="30">
        <row r="12">
          <cell r="F12">
            <v>71.608874524876796</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994.35037159416254</v>
          </cell>
        </row>
      </sheetData>
      <sheetData sheetId="8">
        <row r="16">
          <cell r="E16">
            <v>7900</v>
          </cell>
        </row>
      </sheetData>
      <sheetData sheetId="9"/>
      <sheetData sheetId="10"/>
      <sheetData sheetId="11"/>
      <sheetData sheetId="12"/>
      <sheetData sheetId="13">
        <row r="12">
          <cell r="F12">
            <v>1338.5714783459885</v>
          </cell>
        </row>
      </sheetData>
      <sheetData sheetId="14">
        <row r="12">
          <cell r="E12" t="str">
            <v>V</v>
          </cell>
        </row>
      </sheetData>
      <sheetData sheetId="15"/>
      <sheetData sheetId="16">
        <row r="10">
          <cell r="E10">
            <v>1287</v>
          </cell>
        </row>
      </sheetData>
      <sheetData sheetId="17">
        <row r="11">
          <cell r="E11">
            <v>5.45</v>
          </cell>
        </row>
      </sheetData>
      <sheetData sheetId="18"/>
      <sheetData sheetId="19">
        <row r="11">
          <cell r="E11">
            <v>-2.9000000000000026E-2</v>
          </cell>
        </row>
      </sheetData>
      <sheetData sheetId="20"/>
      <sheetData sheetId="21"/>
      <sheetData sheetId="22">
        <row r="12">
          <cell r="F12">
            <v>317.98065232680995</v>
          </cell>
        </row>
      </sheetData>
      <sheetData sheetId="23"/>
      <sheetData sheetId="24">
        <row r="12">
          <cell r="F12">
            <v>230.67011420241766</v>
          </cell>
        </row>
      </sheetData>
      <sheetData sheetId="25"/>
      <sheetData sheetId="26">
        <row r="8">
          <cell r="F8" t="str">
            <v>нет</v>
          </cell>
        </row>
      </sheetData>
      <sheetData sheetId="27">
        <row r="11">
          <cell r="E11">
            <v>1871</v>
          </cell>
        </row>
      </sheetData>
      <sheetData sheetId="28"/>
      <sheetData sheetId="29">
        <row r="12">
          <cell r="F12">
            <v>57.631452329387571</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665.23209308057574</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sheetData sheetId="10"/>
      <sheetData sheetId="11"/>
      <sheetData sheetId="12"/>
      <sheetData sheetId="13">
        <row r="12">
          <cell r="F12">
            <v>2000.3680279558928</v>
          </cell>
        </row>
      </sheetData>
      <sheetData sheetId="14">
        <row r="12">
          <cell r="E12" t="str">
            <v>V</v>
          </cell>
        </row>
      </sheetData>
      <sheetData sheetId="15"/>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row>
      </sheetData>
      <sheetData sheetId="21">
        <row r="11">
          <cell r="G11" t="str">
            <v>Информация с официального сайта Банка России</v>
          </cell>
        </row>
      </sheetData>
      <sheetData sheetId="22"/>
      <sheetData sheetId="23">
        <row r="12">
          <cell r="F12">
            <v>475.74490066496389</v>
          </cell>
        </row>
      </sheetData>
      <sheetData sheetId="24"/>
      <sheetData sheetId="25">
        <row r="12">
          <cell r="F12">
            <v>439.09870454240729</v>
          </cell>
        </row>
      </sheetData>
      <sheetData sheetId="26">
        <row r="12">
          <cell r="F12" t="str">
            <v>пп № 274 от 01.03.2022</v>
          </cell>
        </row>
      </sheetData>
      <sheetData sheetId="27">
        <row r="8">
          <cell r="F8" t="str">
            <v>нет</v>
          </cell>
        </row>
      </sheetData>
      <sheetData sheetId="28">
        <row r="11">
          <cell r="E11">
            <v>1871</v>
          </cell>
        </row>
      </sheetData>
      <sheetData sheetId="29"/>
      <sheetData sheetId="30">
        <row r="12">
          <cell r="F12">
            <v>71.608874524876796</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Верх-Коен, Искитимский муниципальный район </v>
          </cell>
        </row>
        <row r="15">
          <cell r="D15" t="str">
            <v/>
          </cell>
        </row>
        <row r="16">
          <cell r="D16" t="str">
            <v>Код ОКТМО</v>
          </cell>
          <cell r="E16" t="str">
            <v>(50615404101)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269.43624484913772</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49.136149999999994</v>
          </cell>
        </row>
        <row r="27">
          <cell r="F27">
            <v>904.62444244124072</v>
          </cell>
        </row>
        <row r="28">
          <cell r="F28">
            <v>694.79603874135228</v>
          </cell>
        </row>
        <row r="29">
          <cell r="F29">
            <v>209.82840369988838</v>
          </cell>
        </row>
        <row r="30">
          <cell r="F30">
            <v>808.57239624749025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24.88</v>
          </cell>
        </row>
        <row r="19">
          <cell r="E19">
            <v>14.63</v>
          </cell>
        </row>
      </sheetData>
      <sheetData sheetId="28" refreshError="1"/>
      <sheetData sheetId="29">
        <row r="12">
          <cell r="F12">
            <v>82.673048865342693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1201.0642791911237</v>
          </cell>
        </row>
      </sheetData>
      <sheetData sheetId="8">
        <row r="16">
          <cell r="E16">
            <v>7900</v>
          </cell>
        </row>
      </sheetData>
      <sheetData sheetId="9" refreshError="1"/>
      <sheetData sheetId="10" refreshError="1"/>
      <sheetData sheetId="11"/>
      <sheetData sheetId="12" refreshError="1"/>
      <sheetData sheetId="13">
        <row r="12">
          <cell r="F12">
            <v>2049.7946392543367</v>
          </cell>
        </row>
      </sheetData>
      <sheetData sheetId="14">
        <row r="12">
          <cell r="E12" t="str">
            <v>V</v>
          </cell>
        </row>
      </sheetData>
      <sheetData sheetId="15" refreshError="1"/>
      <sheetData sheetId="16">
        <row r="10">
          <cell r="E10">
            <v>1287</v>
          </cell>
        </row>
      </sheetData>
      <sheetData sheetId="17">
        <row r="11">
          <cell r="E11">
            <v>5.45</v>
          </cell>
        </row>
      </sheetData>
      <sheetData sheetId="18"/>
      <sheetData sheetId="19">
        <row r="11">
          <cell r="E11">
            <v>-2.9000000000000026E-2</v>
          </cell>
        </row>
      </sheetData>
      <sheetData sheetId="20"/>
      <sheetData sheetId="21" refreshError="1"/>
      <sheetData sheetId="22">
        <row r="12">
          <cell r="F12">
            <v>613.3572799725365</v>
          </cell>
        </row>
      </sheetData>
      <sheetData sheetId="23"/>
      <sheetData sheetId="24">
        <row r="12">
          <cell r="F12">
            <v>268.76484277861783</v>
          </cell>
        </row>
      </sheetData>
      <sheetData sheetId="25" refreshError="1"/>
      <sheetData sheetId="26">
        <row r="8">
          <cell r="F8" t="str">
            <v>нет</v>
          </cell>
        </row>
      </sheetData>
      <sheetData sheetId="27">
        <row r="11">
          <cell r="E11">
            <v>1871</v>
          </cell>
        </row>
      </sheetData>
      <sheetData sheetId="28" refreshError="1"/>
      <sheetData sheetId="29">
        <row r="12">
          <cell r="F12">
            <v>82.659620823932286</v>
          </cell>
        </row>
      </sheetData>
      <sheetData sheetId="30">
        <row r="12">
          <cell r="F12">
            <v>0</v>
          </cell>
        </row>
      </sheetData>
      <sheetData sheetId="31">
        <row r="11">
          <cell r="E11"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sheetData sheetId="1"/>
      <sheetData sheetId="2"/>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Агролес, Искитимский муниципальный район</v>
          </cell>
        </row>
        <row r="15">
          <cell r="D15" t="str">
            <v/>
          </cell>
        </row>
        <row r="16">
          <cell r="D16" t="str">
            <v>Код ОКТМО</v>
          </cell>
          <cell r="E16" t="str">
            <v xml:space="preserve"> (50615417101)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sheetData sheetId="10"/>
      <sheetData sheetId="11"/>
      <sheetData sheetId="12"/>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269.43884718588168</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49.168300000000002</v>
          </cell>
        </row>
        <row r="27">
          <cell r="F27">
            <v>904.62444244124072</v>
          </cell>
        </row>
        <row r="28">
          <cell r="F28">
            <v>694.79603874135228</v>
          </cell>
        </row>
        <row r="29">
          <cell r="F29">
            <v>209.82840369988838</v>
          </cell>
        </row>
        <row r="30">
          <cell r="F30">
            <v>808.57506449830123</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24.43</v>
          </cell>
        </row>
        <row r="19">
          <cell r="E19">
            <v>26.98</v>
          </cell>
        </row>
      </sheetData>
      <sheetData sheetId="28"/>
      <sheetData sheetId="29">
        <row r="12">
          <cell r="F12">
            <v>82.673100912077572</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Морозово, Искитимский муниципальный район</v>
          </cell>
        </row>
        <row r="15">
          <cell r="D15" t="str">
            <v/>
          </cell>
        </row>
        <row r="16">
          <cell r="D16" t="str">
            <v>Код ОКТМО</v>
          </cell>
          <cell r="E16" t="str">
            <v xml:space="preserve"> (50615418101)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267.6021300534959</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26.476980000000001</v>
          </cell>
        </row>
        <row r="27">
          <cell r="F27">
            <v>904.62444244124072</v>
          </cell>
        </row>
        <row r="28">
          <cell r="F28">
            <v>694.79603874135228</v>
          </cell>
        </row>
        <row r="29">
          <cell r="F29">
            <v>209.82840369988838</v>
          </cell>
        </row>
        <row r="30">
          <cell r="F30">
            <v>806.69182552501252</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13.48</v>
          </cell>
        </row>
        <row r="19">
          <cell r="E19">
            <v>5.94</v>
          </cell>
        </row>
      </sheetData>
      <sheetData sheetId="28" refreshError="1"/>
      <sheetData sheetId="29">
        <row r="12">
          <cell r="F12">
            <v>82.636366569429867</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Керамкомбинат, Искитимский муниципальный район</v>
          </cell>
        </row>
        <row r="15">
          <cell r="D15" t="str">
            <v/>
          </cell>
        </row>
        <row r="16">
          <cell r="D16" t="str">
            <v>Код ОКТМО</v>
          </cell>
          <cell r="E16" t="str">
            <v xml:space="preserve"> (50615420101)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270.14962265181038</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57.949419999999996</v>
          </cell>
        </row>
        <row r="27">
          <cell r="F27">
            <v>904.62444244124072</v>
          </cell>
        </row>
        <row r="28">
          <cell r="F28">
            <v>694.79603874135228</v>
          </cell>
        </row>
        <row r="29">
          <cell r="F29">
            <v>209.82840369988838</v>
          </cell>
        </row>
        <row r="30">
          <cell r="F30">
            <v>809.30384305385132</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28.83</v>
          </cell>
        </row>
        <row r="19">
          <cell r="E19">
            <v>30.82</v>
          </cell>
        </row>
      </sheetData>
      <sheetData sheetId="28" refreshError="1"/>
      <sheetData sheetId="29">
        <row r="12">
          <cell r="F12">
            <v>82.687316421396162</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Лебедевка, Искитимский муниципальный район</v>
          </cell>
        </row>
        <row r="15">
          <cell r="D15" t="str">
            <v/>
          </cell>
        </row>
        <row r="16">
          <cell r="D16" t="str">
            <v>Код ОКТМО</v>
          </cell>
          <cell r="E16" t="str">
            <v xml:space="preserve"> (50615422101)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268.99315553487406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43.662099999999995</v>
          </cell>
        </row>
        <row r="27">
          <cell r="F27">
            <v>904.62444244124072</v>
          </cell>
        </row>
        <row r="28">
          <cell r="F28">
            <v>694.79603874135228</v>
          </cell>
        </row>
        <row r="29">
          <cell r="F29">
            <v>209.82840369988838</v>
          </cell>
        </row>
        <row r="30">
          <cell r="F30">
            <v>808.1180840126035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21.58</v>
          </cell>
        </row>
        <row r="19">
          <cell r="E19">
            <v>26.98</v>
          </cell>
        </row>
      </sheetData>
      <sheetData sheetId="28" refreshError="1"/>
      <sheetData sheetId="29">
        <row r="12">
          <cell r="F12">
            <v>82.664187079057427</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Искитимский Быстровский"/>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846.79491165589309</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2118.7793537219804</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507.22302275360641</v>
          </cell>
        </row>
      </sheetData>
      <sheetData sheetId="24"/>
      <sheetData sheetId="25">
        <row r="12">
          <cell r="F12">
            <v>403.66691828758218</v>
          </cell>
        </row>
      </sheetData>
      <sheetData sheetId="26"/>
      <sheetData sheetId="27">
        <row r="8">
          <cell r="F8" t="str">
            <v>нет</v>
          </cell>
        </row>
      </sheetData>
      <sheetData sheetId="28">
        <row r="11">
          <cell r="E11">
            <v>1871</v>
          </cell>
        </row>
      </sheetData>
      <sheetData sheetId="29"/>
      <sheetData sheetId="30">
        <row r="12">
          <cell r="F12">
            <v>77.529284128381249</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Тальменка, Искитимский муниципальный район </v>
          </cell>
        </row>
        <row r="15">
          <cell r="D15" t="str">
            <v/>
          </cell>
        </row>
        <row r="16">
          <cell r="D16" t="str">
            <v>Код ОКТМО</v>
          </cell>
          <cell r="E16" t="str">
            <v>(50615428101)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269.16257453711546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45.755149999999993</v>
          </cell>
        </row>
        <row r="27">
          <cell r="F27">
            <v>904.62444244124072</v>
          </cell>
        </row>
        <row r="28">
          <cell r="F28">
            <v>694.79603874135228</v>
          </cell>
        </row>
        <row r="29">
          <cell r="F29">
            <v>209.82840369988838</v>
          </cell>
        </row>
        <row r="30">
          <cell r="F30">
            <v>808.29179419486888</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23.13</v>
          </cell>
        </row>
        <row r="19">
          <cell r="E19">
            <v>14.63</v>
          </cell>
        </row>
      </sheetData>
      <sheetData sheetId="28" refreshError="1"/>
      <sheetData sheetId="29">
        <row r="12">
          <cell r="F12">
            <v>82.667575459102252</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Чернореченский, Искитимский муниципальный район</v>
          </cell>
        </row>
        <row r="15">
          <cell r="D15" t="str">
            <v/>
          </cell>
        </row>
        <row r="16">
          <cell r="D16" t="str">
            <v>Код ОКТМО</v>
          </cell>
          <cell r="E16" t="str">
            <v xml:space="preserve"> (50615437101)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1201.0642791911237</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0.112</v>
          </cell>
        </row>
        <row r="21">
          <cell r="E21">
            <v>0.21299999999999999</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5099</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740.38</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144.72999999999999</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229.83</v>
          </cell>
        </row>
        <row r="32">
          <cell r="E32">
            <v>6213.94</v>
          </cell>
        </row>
      </sheetData>
      <sheetData sheetId="9" refreshError="1"/>
      <sheetData sheetId="10" refreshError="1"/>
      <sheetData sheetId="11"/>
      <sheetData sheetId="12" refreshError="1"/>
      <sheetData sheetId="13">
        <row r="12">
          <cell r="F12">
            <v>2049.7946392543367</v>
          </cell>
        </row>
        <row r="13">
          <cell r="F13">
            <v>116526.45062105893</v>
          </cell>
        </row>
        <row r="14">
          <cell r="F14">
            <v>64899</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43932.649760529566</v>
          </cell>
        </row>
        <row r="23">
          <cell r="F23">
            <v>21</v>
          </cell>
        </row>
        <row r="26">
          <cell r="F26">
            <v>2892</v>
          </cell>
        </row>
        <row r="28">
          <cell r="F28">
            <v>366.91081711820414</v>
          </cell>
        </row>
        <row r="29">
          <cell r="F29">
            <v>0.44209422600000003</v>
          </cell>
        </row>
        <row r="30">
          <cell r="F30">
            <v>500</v>
          </cell>
        </row>
        <row r="31">
          <cell r="F31">
            <v>0.17804631770487722</v>
          </cell>
        </row>
        <row r="32">
          <cell r="F32">
            <v>0.1652189781021898</v>
          </cell>
        </row>
        <row r="33">
          <cell r="F33">
            <v>0.13880000000000001</v>
          </cell>
        </row>
        <row r="34">
          <cell r="F34">
            <v>0.12640000000000001</v>
          </cell>
        </row>
        <row r="35">
          <cell r="F35">
            <v>10</v>
          </cell>
        </row>
        <row r="37">
          <cell r="F37">
            <v>1.6598760876745948</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0.04</v>
          </cell>
          <cell r="I11">
            <v>0.11700000000000001</v>
          </cell>
          <cell r="J11">
            <v>6.0999999999999999E-2</v>
          </cell>
        </row>
      </sheetData>
      <sheetData sheetId="20"/>
      <sheetData sheetId="21" refreshError="1"/>
      <sheetData sheetId="22">
        <row r="12">
          <cell r="F12">
            <v>613.3572799725365</v>
          </cell>
        </row>
        <row r="14">
          <cell r="F14">
            <v>10281.56929785238</v>
          </cell>
        </row>
        <row r="15">
          <cell r="F15">
            <v>0.25</v>
          </cell>
        </row>
        <row r="18">
          <cell r="F18">
            <v>15</v>
          </cell>
        </row>
        <row r="19">
          <cell r="F19">
            <v>2924.0805304518653</v>
          </cell>
        </row>
        <row r="20">
          <cell r="F20">
            <v>2.1999999999999999E-2</v>
          </cell>
        </row>
        <row r="21">
          <cell r="F21">
            <v>10</v>
          </cell>
        </row>
        <row r="22">
          <cell r="F22">
            <v>1.1007324513546124</v>
          </cell>
        </row>
        <row r="23">
          <cell r="F23">
            <v>3.0000000000000001E-3</v>
          </cell>
        </row>
        <row r="24">
          <cell r="F24">
            <v>366.91081711820414</v>
          </cell>
        </row>
      </sheetData>
      <sheetData sheetId="23"/>
      <sheetData sheetId="24">
        <row r="12">
          <cell r="F12">
            <v>269.30945722221009</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47.569780000000002</v>
          </cell>
        </row>
        <row r="27">
          <cell r="F27">
            <v>904.62444244124072</v>
          </cell>
        </row>
        <row r="28">
          <cell r="F28">
            <v>694.79603874135228</v>
          </cell>
        </row>
        <row r="29">
          <cell r="F29">
            <v>209.82840369988838</v>
          </cell>
        </row>
        <row r="30">
          <cell r="F30">
            <v>808.44239724211775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23.92</v>
          </cell>
        </row>
        <row r="19">
          <cell r="E19">
            <v>18.579999999999998</v>
          </cell>
        </row>
      </sheetData>
      <sheetData sheetId="28" refreshError="1"/>
      <sheetData sheetId="29">
        <row r="12">
          <cell r="F12">
            <v>82.670513112804144</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деревня Бурмистрово, Искитимский муниципальный район </v>
          </cell>
        </row>
        <row r="15">
          <cell r="D15" t="str">
            <v/>
          </cell>
        </row>
        <row r="16">
          <cell r="D16" t="str">
            <v>Код ОКТМО</v>
          </cell>
          <cell r="E16" t="str">
            <v>(50615401101)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1048.8516015984944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3783.4749999999999</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528.35519266443873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91.185569999999998</v>
          </cell>
        </row>
        <row r="27">
          <cell r="F27">
            <v>1291.2863994686898</v>
          </cell>
        </row>
        <row r="28">
          <cell r="F28">
            <v>991.77142816335618</v>
          </cell>
        </row>
        <row r="29">
          <cell r="F29">
            <v>299.51497130533357</v>
          </cell>
        </row>
        <row r="30">
          <cell r="F30">
            <v>2752.8309275546135</v>
          </cell>
        </row>
        <row r="33">
          <cell r="F33">
            <v>1545.5004446911175</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25.15</v>
          </cell>
        </row>
        <row r="19">
          <cell r="E19">
            <v>14.63</v>
          </cell>
        </row>
      </sheetData>
      <sheetData sheetId="29" refreshError="1"/>
      <sheetData sheetId="30">
        <row r="12">
          <cell r="F12">
            <v>111.16656971570738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Быстровка, Искитимский муниципальный район </v>
          </cell>
        </row>
        <row r="15">
          <cell r="D15" t="str">
            <v/>
          </cell>
        </row>
        <row r="16">
          <cell r="D16" t="str">
            <v>Код ОКТМО</v>
          </cell>
          <cell r="E16" t="str">
            <v>(50615402101)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1095.1596691261034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3950.52</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531.5967573913714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91.185569999999998</v>
          </cell>
        </row>
        <row r="27">
          <cell r="F27">
            <v>1291.2863994686898</v>
          </cell>
        </row>
        <row r="28">
          <cell r="F28">
            <v>991.77142816335618</v>
          </cell>
        </row>
        <row r="29">
          <cell r="F29">
            <v>299.51497130533357</v>
          </cell>
        </row>
        <row r="30">
          <cell r="F30">
            <v>2820.3142758589588</v>
          </cell>
        </row>
        <row r="33">
          <cell r="F33">
            <v>1612.9837929954626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25.15</v>
          </cell>
        </row>
        <row r="19">
          <cell r="E19">
            <v>14.63</v>
          </cell>
        </row>
      </sheetData>
      <sheetData sheetId="29" refreshError="1"/>
      <sheetData sheetId="30">
        <row r="12">
          <cell r="F12">
            <v>112.15756236079821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Гилево, Искитимский муниципальный район</v>
          </cell>
        </row>
        <row r="15">
          <cell r="D15" t="str">
            <v/>
          </cell>
          <cell r="E15" t="str">
            <v>деревня Гилево, Искитимский муниципальный район</v>
          </cell>
        </row>
        <row r="16">
          <cell r="D16" t="str">
            <v>Код ОКТМО</v>
          </cell>
          <cell r="E16" t="str">
            <v xml:space="preserve"> (50615407106)</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958.24669124268542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3456.64</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519.80149445110419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64.771500000000003</v>
          </cell>
        </row>
        <row r="27">
          <cell r="F27">
            <v>1291.2863994686898</v>
          </cell>
        </row>
        <row r="28">
          <cell r="F28">
            <v>991.77142816335618</v>
          </cell>
        </row>
        <row r="29">
          <cell r="F29">
            <v>299.51497130533357</v>
          </cell>
        </row>
        <row r="30">
          <cell r="F30">
            <v>2618.6029238028277</v>
          </cell>
        </row>
        <row r="33">
          <cell r="F33">
            <v>1413.4646450978896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17.3</v>
          </cell>
        </row>
        <row r="19">
          <cell r="E19">
            <v>20.100000000000001</v>
          </cell>
        </row>
      </sheetData>
      <sheetData sheetId="29" refreshError="1"/>
      <sheetData sheetId="30">
        <row r="12">
          <cell r="F12">
            <v>109.18339754432451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Гусельниково, Искитимский муниципальный район </v>
          </cell>
        </row>
        <row r="15">
          <cell r="D15" t="str">
            <v/>
          </cell>
          <cell r="E15" t="str">
            <v>деревня Гилево, Искитимский муниципальный район</v>
          </cell>
        </row>
        <row r="16">
          <cell r="D16" t="str">
            <v>Код ОКТМО</v>
          </cell>
          <cell r="E16" t="str">
            <v>(50615410101)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958.24669124268542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3456.64</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521.22357730729868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81.757919999999999</v>
          </cell>
        </row>
        <row r="27">
          <cell r="F27">
            <v>1291.2863994686898</v>
          </cell>
        </row>
        <row r="28">
          <cell r="F28">
            <v>991.77142816335618</v>
          </cell>
        </row>
        <row r="29">
          <cell r="F29">
            <v>299.51497130533357</v>
          </cell>
        </row>
        <row r="30">
          <cell r="F30">
            <v>2620.0126914214875</v>
          </cell>
        </row>
        <row r="33">
          <cell r="F33">
            <v>1413.4646450978896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21.52</v>
          </cell>
        </row>
        <row r="19">
          <cell r="E19">
            <v>30.82</v>
          </cell>
        </row>
      </sheetData>
      <sheetData sheetId="29" refreshError="1"/>
      <sheetData sheetId="30">
        <row r="12">
          <cell r="F12">
            <v>109.2118392014484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Легостаево, Искитимский муниципальный район </v>
          </cell>
        </row>
        <row r="15">
          <cell r="D15" t="str">
            <v/>
          </cell>
        </row>
        <row r="16">
          <cell r="D16" t="str">
            <v>Код ОКТМО</v>
          </cell>
          <cell r="E16" t="str">
            <v>(50615416101)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958.24669124268542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3456.64</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522.09557484372624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92.173709999999986</v>
          </cell>
        </row>
        <row r="27">
          <cell r="F27">
            <v>1291.2863994686898</v>
          </cell>
        </row>
        <row r="28">
          <cell r="F28">
            <v>991.77142816335618</v>
          </cell>
        </row>
        <row r="29">
          <cell r="F29">
            <v>299.51497130533357</v>
          </cell>
        </row>
        <row r="30">
          <cell r="F30">
            <v>2620.8771374592498</v>
          </cell>
        </row>
        <row r="33">
          <cell r="F33">
            <v>1413.4646450978896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24.49</v>
          </cell>
        </row>
        <row r="19">
          <cell r="E19">
            <v>30.82</v>
          </cell>
        </row>
      </sheetData>
      <sheetData sheetId="29" refreshError="1"/>
      <sheetData sheetId="30">
        <row r="12">
          <cell r="F12">
            <v>109.22927915217696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поселок Листвянский, Искитимский муниципальный район </v>
          </cell>
        </row>
        <row r="15">
          <cell r="D15" t="str">
            <v/>
          </cell>
        </row>
        <row r="16">
          <cell r="D16" t="str">
            <v>Код ОКТМО</v>
          </cell>
          <cell r="E16" t="str">
            <v>(50615415101)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958.24669124268542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3456.64</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521.37918629528076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83.616630000000001</v>
          </cell>
        </row>
        <row r="27">
          <cell r="F27">
            <v>1291.2863994686898</v>
          </cell>
        </row>
        <row r="28">
          <cell r="F28">
            <v>991.77142816335618</v>
          </cell>
        </row>
        <row r="29">
          <cell r="F29">
            <v>299.51497130533357</v>
          </cell>
        </row>
        <row r="30">
          <cell r="F30">
            <v>2620.1669528356338</v>
          </cell>
        </row>
        <row r="33">
          <cell r="F33">
            <v>1413.4646450978896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22.05</v>
          </cell>
        </row>
        <row r="19">
          <cell r="E19">
            <v>30.82</v>
          </cell>
        </row>
      </sheetData>
      <sheetData sheetId="29" refreshError="1"/>
      <sheetData sheetId="30">
        <row r="12">
          <cell r="F12">
            <v>109.21495138120805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Преображенка, Искитимский муниципальный район</v>
          </cell>
        </row>
        <row r="15">
          <cell r="D15" t="str">
            <v/>
          </cell>
        </row>
        <row r="16">
          <cell r="D16" t="str">
            <v>Код ОКТМО</v>
          </cell>
          <cell r="E16" t="str">
            <v xml:space="preserve"> (50615419101)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1011.184453971724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3647.6</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524.75841423490226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79.717680000000001</v>
          </cell>
        </row>
        <row r="27">
          <cell r="F27">
            <v>1291.2863994686898</v>
          </cell>
        </row>
        <row r="28">
          <cell r="F28">
            <v>991.77142816335618</v>
          </cell>
        </row>
        <row r="29">
          <cell r="F29">
            <v>299.51497130533357</v>
          </cell>
        </row>
        <row r="30">
          <cell r="F30">
            <v>2696.9879670466253</v>
          </cell>
        </row>
        <row r="33">
          <cell r="F33">
            <v>1490.6092480024834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21.88</v>
          </cell>
        </row>
        <row r="19">
          <cell r="E19">
            <v>14.63</v>
          </cell>
        </row>
      </sheetData>
      <sheetData sheetId="29" refreshError="1"/>
      <sheetData sheetId="30">
        <row r="12">
          <cell r="F12">
            <v>110.34129119458125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Лебедевка, Искитимский муниципальный район</v>
          </cell>
        </row>
        <row r="15">
          <cell r="D15" t="str">
            <v/>
          </cell>
          <cell r="E15" t="str">
            <v>деревня Гилево, Искитимский муниципальный район</v>
          </cell>
        </row>
        <row r="16">
          <cell r="D16" t="str">
            <v>Код ОКТМО</v>
          </cell>
          <cell r="E16" t="str">
            <v xml:space="preserve"> (50615422101)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1164.1345578180392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4199.33</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535.58776211298925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81.184979999999996</v>
          </cell>
        </row>
        <row r="27">
          <cell r="F27">
            <v>1291.2863994686898</v>
          </cell>
        </row>
        <row r="28">
          <cell r="F28">
            <v>991.77142816335618</v>
          </cell>
        </row>
        <row r="29">
          <cell r="F29">
            <v>299.51497130533357</v>
          </cell>
        </row>
        <row r="30">
          <cell r="F30">
            <v>2919.9993110978967</v>
          </cell>
        </row>
        <row r="33">
          <cell r="F33">
            <v>1713.4988152445824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21.58</v>
          </cell>
        </row>
        <row r="19">
          <cell r="E19">
            <v>26.98</v>
          </cell>
        </row>
      </sheetData>
      <sheetData sheetId="29" refreshError="1"/>
      <sheetData sheetId="30">
        <row r="12">
          <cell r="F12">
            <v>113.61688022906928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759.67438872744583</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445.70966523768817</v>
          </cell>
        </row>
      </sheetData>
      <sheetData sheetId="26"/>
      <sheetData sheetId="27">
        <row r="8">
          <cell r="F8" t="str">
            <v>нет</v>
          </cell>
        </row>
      </sheetData>
      <sheetData sheetId="28">
        <row r="11">
          <cell r="E11">
            <v>1871</v>
          </cell>
        </row>
      </sheetData>
      <sheetData sheetId="29" refreshError="1"/>
      <sheetData sheetId="30">
        <row r="12">
          <cell r="F12">
            <v>73.629939651719823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Степной, Искитимский муниципальный район</v>
          </cell>
        </row>
        <row r="15">
          <cell r="D15" t="str">
            <v/>
          </cell>
        </row>
        <row r="16">
          <cell r="D16" t="str">
            <v>Код ОКТМО</v>
          </cell>
          <cell r="E16" t="str">
            <v xml:space="preserve"> (50615425101)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960.0458433170021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3463.13</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519.11227174792941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55.034579999999998</v>
          </cell>
        </row>
        <row r="27">
          <cell r="F27">
            <v>1291.2863994686898</v>
          </cell>
        </row>
        <row r="28">
          <cell r="F28">
            <v>991.77142816335618</v>
          </cell>
        </row>
        <row r="29">
          <cell r="F29">
            <v>299.51497130533357</v>
          </cell>
        </row>
        <row r="30">
          <cell r="F30">
            <v>2620.416669752557</v>
          </cell>
        </row>
        <row r="33">
          <cell r="F33">
            <v>1416.0864950813989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13.9</v>
          </cell>
        </row>
        <row r="19">
          <cell r="E19">
            <v>30.82</v>
          </cell>
        </row>
      </sheetData>
      <sheetData sheetId="29" refreshError="1"/>
      <sheetData sheetId="30">
        <row r="12">
          <cell r="F12">
            <v>109.20559613174734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Улыбино, Искитимский муниципальный район</v>
          </cell>
        </row>
        <row r="15">
          <cell r="D15" t="str">
            <v/>
          </cell>
        </row>
        <row r="16">
          <cell r="D16" t="str">
            <v>Код ОКТМО</v>
          </cell>
          <cell r="E16" t="str">
            <v xml:space="preserve"> (50615431101)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1048.8529876940834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3783.48</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529.06632358453453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99.678690000000003</v>
          </cell>
        </row>
        <row r="27">
          <cell r="F27">
            <v>1291.2863994686898</v>
          </cell>
        </row>
        <row r="28">
          <cell r="F28">
            <v>991.77142816335618</v>
          </cell>
        </row>
        <row r="29">
          <cell r="F29">
            <v>299.51497130533357</v>
          </cell>
        </row>
        <row r="30">
          <cell r="F30">
            <v>2753.5378238097428</v>
          </cell>
        </row>
        <row r="33">
          <cell r="F33">
            <v>1545.5024646063591</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26.63</v>
          </cell>
        </row>
        <row r="19">
          <cell r="E19">
            <v>30.82</v>
          </cell>
        </row>
      </sheetData>
      <sheetData sheetId="29" refreshError="1"/>
      <sheetData sheetId="30">
        <row r="12">
          <cell r="F12">
            <v>111.18082005602108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Усть-Чем, Искитимский муниципальный район</v>
          </cell>
        </row>
        <row r="15">
          <cell r="D15" t="str">
            <v/>
          </cell>
        </row>
        <row r="16">
          <cell r="D16" t="str">
            <v>Код ОКТМО</v>
          </cell>
          <cell r="E16" t="str">
            <v xml:space="preserve"> (50615434101)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958.24669124268542</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3456.64</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522.01284893953209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91.185569999999998</v>
          </cell>
        </row>
        <row r="27">
          <cell r="F27">
            <v>1291.2863994686898</v>
          </cell>
        </row>
        <row r="28">
          <cell r="F28">
            <v>991.77142816335618</v>
          </cell>
        </row>
        <row r="29">
          <cell r="F29">
            <v>299.51497130533357</v>
          </cell>
        </row>
        <row r="30">
          <cell r="F30">
            <v>2620.7951279613858</v>
          </cell>
        </row>
        <row r="33">
          <cell r="F33">
            <v>1413.4646450978896</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25.15</v>
          </cell>
        </row>
        <row r="19">
          <cell r="E19">
            <v>14.63</v>
          </cell>
        </row>
      </sheetData>
      <sheetData sheetId="29" refreshError="1"/>
      <sheetData sheetId="30">
        <row r="12">
          <cell r="F12">
            <v>109.22762463409306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Чернореченский, Искитимский муниципальный район</v>
          </cell>
        </row>
        <row r="15">
          <cell r="D15" t="str">
            <v/>
          </cell>
          <cell r="E15" t="str">
            <v>деревня Гилево, Искитимский муниципальный район</v>
          </cell>
        </row>
        <row r="16">
          <cell r="D16" t="str">
            <v>Код ОКТМО</v>
          </cell>
          <cell r="E16" t="str">
            <v xml:space="preserve"> (50615437101)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1050.7242167390195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3790.23</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528.19260604792305</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87.677760000000006</v>
          </cell>
        </row>
        <row r="27">
          <cell r="F27">
            <v>1291.2863994686898</v>
          </cell>
        </row>
        <row r="28">
          <cell r="F28">
            <v>991.77142816335618</v>
          </cell>
        </row>
        <row r="29">
          <cell r="F29">
            <v>299.51497130533357</v>
          </cell>
        </row>
        <row r="30">
          <cell r="F30">
            <v>2755.2687065489681</v>
          </cell>
        </row>
        <row r="33">
          <cell r="F33">
            <v>1548.2293501824274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23.92</v>
          </cell>
        </row>
        <row r="19">
          <cell r="E19">
            <v>18.579999999999998</v>
          </cell>
        </row>
      </sheetData>
      <sheetData sheetId="29" refreshError="1"/>
      <sheetData sheetId="30">
        <row r="12">
          <cell r="F12">
            <v>111.20077028618756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2025</v>
          </cell>
        </row>
        <row r="9">
          <cell r="D9" t="str">
            <v>Период регулирования (i-1)-й</v>
          </cell>
          <cell r="E9">
            <v>2024</v>
          </cell>
        </row>
        <row r="10">
          <cell r="D10" t="str">
            <v>Период регулирования (i-2)-й</v>
          </cell>
          <cell r="E10">
            <v>2023</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деревня Шибково, Искитимский муниципальный район </v>
          </cell>
        </row>
        <row r="15">
          <cell r="D15" t="str">
            <v/>
          </cell>
        </row>
        <row r="16">
          <cell r="D16" t="str">
            <v>Код ОКТМО</v>
          </cell>
          <cell r="E16" t="str">
            <v>(50615440101)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960.0458433170021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1.4E-2</v>
          </cell>
        </row>
        <row r="20">
          <cell r="E20">
            <v>0.04</v>
          </cell>
        </row>
        <row r="27">
          <cell r="E27">
            <v>3463.13</v>
          </cell>
        </row>
      </sheetData>
      <sheetData sheetId="9" refreshError="1"/>
      <sheetData sheetId="10" refreshError="1"/>
      <sheetData sheetId="11"/>
      <sheetData sheetId="12" refreshError="1"/>
      <sheetData sheetId="13">
        <row r="12">
          <cell r="F12">
            <v>3063.2235383547568</v>
          </cell>
        </row>
        <row r="13">
          <cell r="F13">
            <v>203708.97017230222</v>
          </cell>
        </row>
        <row r="14">
          <cell r="F14">
            <v>113455</v>
          </cell>
        </row>
        <row r="15">
          <cell r="F15">
            <v>1.071</v>
          </cell>
        </row>
        <row r="16">
          <cell r="F16">
            <v>1</v>
          </cell>
        </row>
        <row r="17">
          <cell r="F17">
            <v>1.01</v>
          </cell>
        </row>
        <row r="18">
          <cell r="F18">
            <v>38910.02669467502</v>
          </cell>
        </row>
        <row r="19">
          <cell r="F19">
            <v>0</v>
          </cell>
        </row>
        <row r="20">
          <cell r="F20">
            <v>23441.524932855718</v>
          </cell>
        </row>
        <row r="21">
          <cell r="F21">
            <v>1</v>
          </cell>
        </row>
        <row r="22">
          <cell r="F22">
            <v>42890.921752741691</v>
          </cell>
        </row>
        <row r="23">
          <cell r="F23">
            <v>1990</v>
          </cell>
        </row>
        <row r="26">
          <cell r="F26">
            <v>3082.0508637929142</v>
          </cell>
        </row>
        <row r="27">
          <cell r="F27">
            <v>0.44209422600000003</v>
          </cell>
        </row>
        <row r="28">
          <cell r="F28">
            <v>4200</v>
          </cell>
        </row>
        <row r="29">
          <cell r="F29">
            <v>0.17804631770487722</v>
          </cell>
        </row>
        <row r="30">
          <cell r="F30">
            <v>0.1652189781021898</v>
          </cell>
        </row>
        <row r="31">
          <cell r="F31">
            <v>0.13880000000000001</v>
          </cell>
        </row>
        <row r="32">
          <cell r="F32">
            <v>0.12640000000000001</v>
          </cell>
        </row>
        <row r="33">
          <cell r="F33">
            <v>10</v>
          </cell>
        </row>
        <row r="35">
          <cell r="F35">
            <v>1.6598760876745948</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0.04</v>
          </cell>
          <cell r="I11">
            <v>0.11700000000000001</v>
          </cell>
          <cell r="J11">
            <v>6.0999999999999999E-2</v>
          </cell>
          <cell r="K11">
            <v>3.5813361771260002E-2</v>
          </cell>
          <cell r="L11">
            <v>3.2682303599220003E-2</v>
          </cell>
        </row>
      </sheetData>
      <sheetData sheetId="21"/>
      <sheetData sheetId="22" refreshError="1"/>
      <sheetData sheetId="23">
        <row r="12">
          <cell r="F12">
            <v>917.89815316767874</v>
          </cell>
        </row>
        <row r="14">
          <cell r="F14">
            <v>14912.207299372252</v>
          </cell>
        </row>
        <row r="15">
          <cell r="F15">
            <v>0.25</v>
          </cell>
        </row>
        <row r="18">
          <cell r="F18">
            <v>15</v>
          </cell>
        </row>
        <row r="19">
          <cell r="F19">
            <v>4187.478806422544</v>
          </cell>
        </row>
        <row r="20">
          <cell r="F20">
            <v>2.1999999999999999E-2</v>
          </cell>
        </row>
        <row r="21">
          <cell r="F21">
            <v>10</v>
          </cell>
        </row>
        <row r="22">
          <cell r="F22">
            <v>9.2461525913787437</v>
          </cell>
        </row>
        <row r="23">
          <cell r="F23">
            <v>3.0000000000000001E-3</v>
          </cell>
        </row>
        <row r="24">
          <cell r="F24">
            <v>3082.0508637929142</v>
          </cell>
        </row>
      </sheetData>
      <sheetData sheetId="24"/>
      <sheetData sheetId="25">
        <row r="12">
          <cell r="F12">
            <v>519.36371951720173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58.038060000000002</v>
          </cell>
        </row>
        <row r="27">
          <cell r="F27">
            <v>1291.2863994686898</v>
          </cell>
        </row>
        <row r="28">
          <cell r="F28">
            <v>991.77142816335618</v>
          </cell>
        </row>
        <row r="29">
          <cell r="F29">
            <v>299.51497130533357</v>
          </cell>
        </row>
        <row r="30">
          <cell r="F30">
            <v>2620.6659399841474</v>
          </cell>
        </row>
        <row r="33">
          <cell r="F33">
            <v>1416.0864950813989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15.38</v>
          </cell>
        </row>
        <row r="19">
          <cell r="E19">
            <v>20.100000000000001</v>
          </cell>
        </row>
      </sheetData>
      <sheetData sheetId="29" refreshError="1"/>
      <sheetData sheetId="30">
        <row r="12">
          <cell r="F12">
            <v>109.21062508713278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Искитимский Верх-Коенское газ"/>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912.75572352910331</v>
          </cell>
        </row>
      </sheetData>
      <sheetData sheetId="8">
        <row r="16">
          <cell r="E16">
            <v>7900</v>
          </cell>
        </row>
      </sheetData>
      <sheetData sheetId="9"/>
      <sheetData sheetId="10"/>
      <sheetData sheetId="11"/>
      <sheetData sheetId="12"/>
      <sheetData sheetId="13">
        <row r="12">
          <cell r="F12">
            <v>1417.8079094269176</v>
          </cell>
        </row>
      </sheetData>
      <sheetData sheetId="14">
        <row r="12">
          <cell r="E12" t="str">
            <v>V</v>
          </cell>
        </row>
      </sheetData>
      <sheetData sheetId="15"/>
      <sheetData sheetId="16">
        <row r="10">
          <cell r="E10">
            <v>1287</v>
          </cell>
        </row>
      </sheetData>
      <sheetData sheetId="17">
        <row r="11">
          <cell r="E11">
            <v>5.45</v>
          </cell>
        </row>
      </sheetData>
      <sheetData sheetId="18"/>
      <sheetData sheetId="19">
        <row r="11">
          <cell r="E11">
            <v>-2.9000000000000026E-2</v>
          </cell>
        </row>
      </sheetData>
      <sheetData sheetId="20"/>
      <sheetData sheetId="21"/>
      <sheetData sheetId="22">
        <row r="12">
          <cell r="F12">
            <v>339.07313643637207</v>
          </cell>
        </row>
      </sheetData>
      <sheetData sheetId="23"/>
      <sheetData sheetId="24">
        <row r="12">
          <cell r="F12">
            <v>201.16907540435733</v>
          </cell>
        </row>
      </sheetData>
      <sheetData sheetId="25"/>
      <sheetData sheetId="26">
        <row r="8">
          <cell r="F8" t="str">
            <v>нет</v>
          </cell>
        </row>
      </sheetData>
      <sheetData sheetId="27">
        <row r="11">
          <cell r="E11">
            <v>1871</v>
          </cell>
        </row>
      </sheetData>
      <sheetData sheetId="28"/>
      <sheetData sheetId="29">
        <row r="12">
          <cell r="F12">
            <v>57.416116895935012</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994.35037159416254</v>
          </cell>
        </row>
      </sheetData>
      <sheetData sheetId="8">
        <row r="16">
          <cell r="E16">
            <v>7900</v>
          </cell>
        </row>
      </sheetData>
      <sheetData sheetId="9" refreshError="1"/>
      <sheetData sheetId="10" refreshError="1"/>
      <sheetData sheetId="11"/>
      <sheetData sheetId="12" refreshError="1"/>
      <sheetData sheetId="13">
        <row r="12">
          <cell r="F12">
            <v>1338.5714783459885</v>
          </cell>
        </row>
      </sheetData>
      <sheetData sheetId="14">
        <row r="12">
          <cell r="E12" t="str">
            <v>V</v>
          </cell>
        </row>
      </sheetData>
      <sheetData sheetId="15" refreshError="1"/>
      <sheetData sheetId="16">
        <row r="10">
          <cell r="E10">
            <v>1287</v>
          </cell>
        </row>
      </sheetData>
      <sheetData sheetId="17">
        <row r="11">
          <cell r="E11">
            <v>5.45</v>
          </cell>
        </row>
      </sheetData>
      <sheetData sheetId="18"/>
      <sheetData sheetId="19">
        <row r="11">
          <cell r="E11">
            <v>-2.9000000000000026E-2</v>
          </cell>
        </row>
      </sheetData>
      <sheetData sheetId="20"/>
      <sheetData sheetId="21" refreshError="1"/>
      <sheetData sheetId="22">
        <row r="12">
          <cell r="F12">
            <v>317.98065232680995</v>
          </cell>
        </row>
      </sheetData>
      <sheetData sheetId="23"/>
      <sheetData sheetId="24">
        <row r="12">
          <cell r="F12">
            <v>230.67011420241766</v>
          </cell>
        </row>
      </sheetData>
      <sheetData sheetId="25" refreshError="1"/>
      <sheetData sheetId="26">
        <row r="8">
          <cell r="F8" t="str">
            <v>нет</v>
          </cell>
        </row>
      </sheetData>
      <sheetData sheetId="27">
        <row r="11">
          <cell r="E11">
            <v>1871</v>
          </cell>
        </row>
      </sheetData>
      <sheetData sheetId="28" refreshError="1"/>
      <sheetData sheetId="29">
        <row r="12">
          <cell r="F12">
            <v>57.631452329387571</v>
          </cell>
        </row>
      </sheetData>
      <sheetData sheetId="30">
        <row r="12">
          <cell r="F12">
            <v>0</v>
          </cell>
        </row>
      </sheetData>
      <sheetData sheetId="31">
        <row r="11">
          <cell r="E11"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урмистровский"/>
      <sheetName val="Быстровский"/>
      <sheetName val="Верх-Коенский"/>
      <sheetName val="Гилевский"/>
      <sheetName val="Гусельниковский"/>
      <sheetName val="Евсинский"/>
      <sheetName val="Легостаевкий"/>
      <sheetName val="Листвянский"/>
      <sheetName val="Мичуринский"/>
      <sheetName val="Морозовский"/>
      <sheetName val="Преображенский"/>
      <sheetName val="Промышленный"/>
      <sheetName val="Совхозный"/>
      <sheetName val="Степной"/>
      <sheetName val="Тальменский"/>
      <sheetName val="Улыбинский"/>
      <sheetName val="Усть-Чемской"/>
      <sheetName val="Чернореченский"/>
      <sheetName val="Шибковский"/>
      <sheetName val="Лист6"/>
      <sheetName val="Лист2"/>
      <sheetName val="Лист3"/>
      <sheetName val="Лист4"/>
      <sheetName val="Лист5"/>
      <sheetName val="Искитимский"/>
    </sheetNames>
    <definedNames>
      <definedName name="Лист29.PrintBlo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759.67438872744583</v>
          </cell>
        </row>
      </sheetData>
      <sheetData sheetId="8">
        <row r="13">
          <cell r="E13" t="str">
            <v>уголь (вид угля не указан в топливном балансе)</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sheetData sheetId="19" refreshError="1"/>
      <sheetData sheetId="20">
        <row r="11">
          <cell r="E11">
            <v>-2.9000000000000026E-2</v>
          </cell>
        </row>
      </sheetData>
      <sheetData sheetId="21"/>
      <sheetData sheetId="22" refreshError="1"/>
      <sheetData sheetId="23">
        <row r="12">
          <cell r="F12">
            <v>475.74490066496389</v>
          </cell>
        </row>
      </sheetData>
      <sheetData sheetId="24"/>
      <sheetData sheetId="25">
        <row r="12">
          <cell r="F12">
            <v>445.70966523768817</v>
          </cell>
        </row>
      </sheetData>
      <sheetData sheetId="26"/>
      <sheetData sheetId="27">
        <row r="8">
          <cell r="F8" t="str">
            <v>нет</v>
          </cell>
        </row>
      </sheetData>
      <sheetData sheetId="28">
        <row r="11">
          <cell r="E11">
            <v>1871</v>
          </cell>
        </row>
      </sheetData>
      <sheetData sheetId="29" refreshError="1"/>
      <sheetData sheetId="30">
        <row r="12">
          <cell r="F12">
            <v>73.629939651719823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759.67438872744583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2000.3680279558928</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475.74490066496389</v>
          </cell>
        </row>
      </sheetData>
      <sheetData sheetId="24"/>
      <sheetData sheetId="25">
        <row r="12">
          <cell r="F12">
            <v>445.70966523768817</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73.629939651719823</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9" sqref="B9"/>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[32]И1!D13</f>
        <v>Субъект Российской Федерации</v>
      </c>
      <c r="C4" s="10" t="str">
        <f>[32]И1!E13</f>
        <v>Новосибирская область</v>
      </c>
    </row>
    <row r="5" spans="1:3" ht="46.9" customHeight="1" x14ac:dyDescent="0.2">
      <c r="A5" s="8"/>
      <c r="B5" s="9" t="str">
        <f>[32]И1!D14</f>
        <v>Тип муниципального образования (выберите из списка)</v>
      </c>
      <c r="C5" s="10" t="str">
        <f>[32]И1!E14</f>
        <v xml:space="preserve">деревня Бурмистрово, Искитимский муниципальный район </v>
      </c>
    </row>
    <row r="6" spans="1:3" x14ac:dyDescent="0.2">
      <c r="A6" s="8"/>
      <c r="B6" s="9" t="str">
        <f>IF([32]И1!E15="","",[32]И1!D15)</f>
        <v/>
      </c>
      <c r="C6" s="10" t="str">
        <f>IF([32]И1!E15="","",[32]И1!E15)</f>
        <v/>
      </c>
    </row>
    <row r="7" spans="1:3" x14ac:dyDescent="0.2">
      <c r="A7" s="8"/>
      <c r="B7" s="9" t="str">
        <f>[32]И1!D16</f>
        <v>Код ОКТМО</v>
      </c>
      <c r="C7" s="11" t="str">
        <f>[32]И1!E16</f>
        <v>(50615401101)</v>
      </c>
    </row>
    <row r="8" spans="1:3" x14ac:dyDescent="0.2">
      <c r="A8" s="8"/>
      <c r="B8" s="12" t="str">
        <f>[32]И1!D17</f>
        <v>Система теплоснабжения</v>
      </c>
      <c r="C8" s="13">
        <f>[32]И1!E17</f>
        <v>0</v>
      </c>
    </row>
    <row r="9" spans="1:3" x14ac:dyDescent="0.2">
      <c r="A9" s="8"/>
      <c r="B9" s="9" t="str">
        <f>[32]И1!D8</f>
        <v>Период регулирования (i)-й</v>
      </c>
      <c r="C9" s="14">
        <f>[32]И1!E8</f>
        <v>2025</v>
      </c>
    </row>
    <row r="10" spans="1:3" x14ac:dyDescent="0.2">
      <c r="A10" s="8"/>
      <c r="B10" s="9" t="str">
        <f>[32]И1!D9</f>
        <v>Период регулирования (i-1)-й</v>
      </c>
      <c r="C10" s="14">
        <f>[32]И1!E9</f>
        <v>2024</v>
      </c>
    </row>
    <row r="11" spans="1:3" x14ac:dyDescent="0.2">
      <c r="A11" s="8"/>
      <c r="B11" s="9" t="str">
        <f>[32]И1!D10</f>
        <v>Период регулирования (i-2)-й</v>
      </c>
      <c r="C11" s="14">
        <f>[32]И1!E10</f>
        <v>2023</v>
      </c>
    </row>
    <row r="12" spans="1:3" x14ac:dyDescent="0.2">
      <c r="A12" s="8"/>
      <c r="B12" s="9" t="str">
        <f>[32]И1!D11</f>
        <v>Базовый год (б)</v>
      </c>
      <c r="C12" s="14">
        <f>[32]И1!E11</f>
        <v>2019</v>
      </c>
    </row>
    <row r="13" spans="1:3" ht="38.25" x14ac:dyDescent="0.2">
      <c r="A13" s="8"/>
      <c r="B13" s="9" t="str">
        <f>[32]И1!D18</f>
        <v>Вид топлива, использование которого преобладает в системе теплоснабжения</v>
      </c>
      <c r="C13" s="15" t="str">
        <f>[32]С1.1!E13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5669.4950555010764</v>
      </c>
    </row>
    <row r="18" spans="1:3" ht="42.75" x14ac:dyDescent="0.2">
      <c r="A18" s="22" t="s">
        <v>8</v>
      </c>
      <c r="B18" s="25" t="s">
        <v>9</v>
      </c>
      <c r="C18" s="26">
        <f>[32]С1!F12</f>
        <v>1048.8516015984944</v>
      </c>
    </row>
    <row r="19" spans="1:3" ht="42.75" x14ac:dyDescent="0.2">
      <c r="A19" s="22" t="s">
        <v>10</v>
      </c>
      <c r="B19" s="25" t="s">
        <v>11</v>
      </c>
      <c r="C19" s="26">
        <f>[32]С2!F12</f>
        <v>3063.2235383547568</v>
      </c>
    </row>
    <row r="20" spans="1:3" ht="30" x14ac:dyDescent="0.2">
      <c r="A20" s="22" t="s">
        <v>12</v>
      </c>
      <c r="B20" s="25" t="s">
        <v>13</v>
      </c>
      <c r="C20" s="26">
        <f>[32]С3!F12</f>
        <v>917.89815316767874</v>
      </c>
    </row>
    <row r="21" spans="1:3" ht="42.75" x14ac:dyDescent="0.2">
      <c r="A21" s="22" t="s">
        <v>14</v>
      </c>
      <c r="B21" s="25" t="s">
        <v>15</v>
      </c>
      <c r="C21" s="26">
        <f>[32]С4!F12</f>
        <v>528.35519266443873</v>
      </c>
    </row>
    <row r="22" spans="1:3" ht="30" x14ac:dyDescent="0.2">
      <c r="A22" s="22" t="s">
        <v>16</v>
      </c>
      <c r="B22" s="25" t="s">
        <v>17</v>
      </c>
      <c r="C22" s="26">
        <f>[32]С5!F12</f>
        <v>111.16656971570738</v>
      </c>
    </row>
    <row r="23" spans="1:3" ht="43.5" thickBot="1" x14ac:dyDescent="0.25">
      <c r="A23" s="27" t="s">
        <v>18</v>
      </c>
      <c r="B23" s="140" t="s">
        <v>19</v>
      </c>
      <c r="C23" s="28" t="str">
        <f>[32]С6!F12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[32]С1.1!E16</f>
        <v>5100</v>
      </c>
    </row>
    <row r="29" spans="1:3" ht="42.75" x14ac:dyDescent="0.2">
      <c r="A29" s="22" t="s">
        <v>10</v>
      </c>
      <c r="B29" s="33" t="s">
        <v>22</v>
      </c>
      <c r="C29" s="34">
        <f>[32]С1.1!E27</f>
        <v>3783.4749999999999</v>
      </c>
    </row>
    <row r="30" spans="1:3" ht="17.25" x14ac:dyDescent="0.2">
      <c r="A30" s="22" t="s">
        <v>12</v>
      </c>
      <c r="B30" s="33" t="s">
        <v>23</v>
      </c>
      <c r="C30" s="35">
        <f>[32]С1.1!E19</f>
        <v>1.4E-2</v>
      </c>
    </row>
    <row r="31" spans="1:3" ht="17.25" x14ac:dyDescent="0.2">
      <c r="A31" s="22" t="s">
        <v>14</v>
      </c>
      <c r="B31" s="33" t="s">
        <v>24</v>
      </c>
      <c r="C31" s="35">
        <f>[32]С1.1!E20</f>
        <v>0.04</v>
      </c>
    </row>
    <row r="32" spans="1:3" ht="30" x14ac:dyDescent="0.2">
      <c r="A32" s="22" t="s">
        <v>16</v>
      </c>
      <c r="B32" s="36" t="s">
        <v>25</v>
      </c>
      <c r="C32" s="37">
        <f>[32]С1!F13</f>
        <v>176.4</v>
      </c>
    </row>
    <row r="33" spans="1:3" x14ac:dyDescent="0.2">
      <c r="A33" s="22" t="s">
        <v>18</v>
      </c>
      <c r="B33" s="36" t="s">
        <v>26</v>
      </c>
      <c r="C33" s="38">
        <f>[32]С1!F16</f>
        <v>7000</v>
      </c>
    </row>
    <row r="34" spans="1:3" ht="14.25" x14ac:dyDescent="0.2">
      <c r="A34" s="22" t="s">
        <v>27</v>
      </c>
      <c r="B34" s="39" t="s">
        <v>28</v>
      </c>
      <c r="C34" s="40">
        <f>[32]С1!F17</f>
        <v>0.72857142857142854</v>
      </c>
    </row>
    <row r="35" spans="1:3" ht="15.75" x14ac:dyDescent="0.2">
      <c r="A35" s="41" t="s">
        <v>29</v>
      </c>
      <c r="B35" s="42" t="s">
        <v>30</v>
      </c>
      <c r="C35" s="40">
        <f>[32]С1!F20</f>
        <v>21.588411179999994</v>
      </c>
    </row>
    <row r="36" spans="1:3" ht="15.75" x14ac:dyDescent="0.2">
      <c r="A36" s="41" t="s">
        <v>31</v>
      </c>
      <c r="B36" s="43" t="s">
        <v>32</v>
      </c>
      <c r="C36" s="40">
        <f>[32]С1!F21</f>
        <v>20.818139999999996</v>
      </c>
    </row>
    <row r="37" spans="1:3" ht="14.25" x14ac:dyDescent="0.2">
      <c r="A37" s="41" t="s">
        <v>33</v>
      </c>
      <c r="B37" s="44" t="s">
        <v>34</v>
      </c>
      <c r="C37" s="40">
        <f>[32]С1!F22</f>
        <v>1.0369999999999999</v>
      </c>
    </row>
    <row r="38" spans="1:3" ht="53.25" thickBot="1" x14ac:dyDescent="0.25">
      <c r="A38" s="27" t="s">
        <v>35</v>
      </c>
      <c r="B38" s="45" t="s">
        <v>36</v>
      </c>
      <c r="C38" s="46">
        <f>[32]С1!F23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[32]С2.1!E12</f>
        <v>V</v>
      </c>
    </row>
    <row r="42" spans="1:3" ht="25.5" x14ac:dyDescent="0.2">
      <c r="A42" s="22" t="s">
        <v>41</v>
      </c>
      <c r="B42" s="33" t="s">
        <v>42</v>
      </c>
      <c r="C42" s="51" t="str">
        <f>[32]С2.1!E13</f>
        <v>6 и менее баллов</v>
      </c>
    </row>
    <row r="43" spans="1:3" ht="25.5" x14ac:dyDescent="0.2">
      <c r="A43" s="22" t="s">
        <v>43</v>
      </c>
      <c r="B43" s="33" t="s">
        <v>44</v>
      </c>
      <c r="C43" s="51" t="str">
        <f>[32]С2.1!E14</f>
        <v>от 200 до 500</v>
      </c>
    </row>
    <row r="44" spans="1:3" ht="25.5" x14ac:dyDescent="0.2">
      <c r="A44" s="22" t="s">
        <v>45</v>
      </c>
      <c r="B44" s="33" t="s">
        <v>46</v>
      </c>
      <c r="C44" s="52" t="str">
        <f>[32]С2.1!E15</f>
        <v>нет</v>
      </c>
    </row>
    <row r="45" spans="1:3" ht="30" x14ac:dyDescent="0.2">
      <c r="A45" s="22" t="s">
        <v>47</v>
      </c>
      <c r="B45" s="33" t="s">
        <v>48</v>
      </c>
      <c r="C45" s="34">
        <f>[32]С2!F18</f>
        <v>38910.02669467502</v>
      </c>
    </row>
    <row r="46" spans="1:3" ht="30" x14ac:dyDescent="0.2">
      <c r="A46" s="22" t="s">
        <v>49</v>
      </c>
      <c r="B46" s="53" t="s">
        <v>50</v>
      </c>
      <c r="C46" s="34">
        <f>IF([32]С2!F19&gt;0,[32]С2!F19,[32]С2!F20)</f>
        <v>23441.524932855718</v>
      </c>
    </row>
    <row r="47" spans="1:3" ht="25.5" x14ac:dyDescent="0.2">
      <c r="A47" s="22" t="s">
        <v>51</v>
      </c>
      <c r="B47" s="54" t="s">
        <v>52</v>
      </c>
      <c r="C47" s="34">
        <f>[32]С2.1!E19</f>
        <v>-38</v>
      </c>
    </row>
    <row r="48" spans="1:3" ht="25.5" x14ac:dyDescent="0.2">
      <c r="A48" s="22" t="s">
        <v>53</v>
      </c>
      <c r="B48" s="54" t="s">
        <v>54</v>
      </c>
      <c r="C48" s="34" t="str">
        <f>[32]С2.1!E22</f>
        <v>нет</v>
      </c>
    </row>
    <row r="49" spans="1:3" ht="38.25" x14ac:dyDescent="0.2">
      <c r="A49" s="22" t="s">
        <v>55</v>
      </c>
      <c r="B49" s="55" t="s">
        <v>56</v>
      </c>
      <c r="C49" s="34">
        <f>[32]С2.2!E10</f>
        <v>1287</v>
      </c>
    </row>
    <row r="50" spans="1:3" ht="25.5" x14ac:dyDescent="0.2">
      <c r="A50" s="22" t="s">
        <v>57</v>
      </c>
      <c r="B50" s="56" t="s">
        <v>58</v>
      </c>
      <c r="C50" s="34">
        <f>[32]С2.2!E12</f>
        <v>5.97</v>
      </c>
    </row>
    <row r="51" spans="1:3" ht="52.5" x14ac:dyDescent="0.2">
      <c r="A51" s="22" t="s">
        <v>59</v>
      </c>
      <c r="B51" s="57" t="s">
        <v>60</v>
      </c>
      <c r="C51" s="34">
        <f>[32]С2.2!E13</f>
        <v>1</v>
      </c>
    </row>
    <row r="52" spans="1:3" ht="27.75" x14ac:dyDescent="0.2">
      <c r="A52" s="22" t="s">
        <v>61</v>
      </c>
      <c r="B52" s="56" t="s">
        <v>62</v>
      </c>
      <c r="C52" s="34">
        <f>[32]С2.2!E14</f>
        <v>12104</v>
      </c>
    </row>
    <row r="53" spans="1:3" ht="25.5" x14ac:dyDescent="0.2">
      <c r="A53" s="22" t="s">
        <v>63</v>
      </c>
      <c r="B53" s="57" t="s">
        <v>64</v>
      </c>
      <c r="C53" s="35">
        <f>[32]С2.2!E15</f>
        <v>4.8000000000000001E-2</v>
      </c>
    </row>
    <row r="54" spans="1:3" x14ac:dyDescent="0.2">
      <c r="A54" s="22" t="s">
        <v>65</v>
      </c>
      <c r="B54" s="57" t="s">
        <v>66</v>
      </c>
      <c r="C54" s="34">
        <f>[32]С2.2!E16</f>
        <v>1</v>
      </c>
    </row>
    <row r="55" spans="1:3" ht="15.75" x14ac:dyDescent="0.2">
      <c r="A55" s="22" t="s">
        <v>67</v>
      </c>
      <c r="B55" s="58" t="s">
        <v>68</v>
      </c>
      <c r="C55" s="34">
        <f>[32]С2!F21</f>
        <v>1</v>
      </c>
    </row>
    <row r="56" spans="1:3" ht="30" x14ac:dyDescent="0.2">
      <c r="A56" s="59" t="s">
        <v>69</v>
      </c>
      <c r="B56" s="33" t="s">
        <v>70</v>
      </c>
      <c r="C56" s="34">
        <f>[32]С2!F13</f>
        <v>203708.97017230222</v>
      </c>
    </row>
    <row r="57" spans="1:3" ht="30" x14ac:dyDescent="0.2">
      <c r="A57" s="59" t="s">
        <v>71</v>
      </c>
      <c r="B57" s="58" t="s">
        <v>72</v>
      </c>
      <c r="C57" s="34">
        <f>[32]С2!F14</f>
        <v>113455</v>
      </c>
    </row>
    <row r="58" spans="1:3" ht="15.75" x14ac:dyDescent="0.2">
      <c r="A58" s="59" t="s">
        <v>73</v>
      </c>
      <c r="B58" s="60" t="s">
        <v>74</v>
      </c>
      <c r="C58" s="40">
        <f>[32]С2!F15</f>
        <v>1.071</v>
      </c>
    </row>
    <row r="59" spans="1:3" ht="15.75" x14ac:dyDescent="0.2">
      <c r="A59" s="59" t="s">
        <v>75</v>
      </c>
      <c r="B59" s="60" t="s">
        <v>76</v>
      </c>
      <c r="C59" s="40">
        <f>[32]С2!F16</f>
        <v>1</v>
      </c>
    </row>
    <row r="60" spans="1:3" ht="17.25" x14ac:dyDescent="0.2">
      <c r="A60" s="59" t="s">
        <v>77</v>
      </c>
      <c r="B60" s="58" t="s">
        <v>78</v>
      </c>
      <c r="C60" s="34">
        <f>[32]С2!F17</f>
        <v>1.01</v>
      </c>
    </row>
    <row r="61" spans="1:3" s="63" customFormat="1" ht="14.25" x14ac:dyDescent="0.2">
      <c r="A61" s="59" t="s">
        <v>79</v>
      </c>
      <c r="B61" s="61" t="s">
        <v>80</v>
      </c>
      <c r="C61" s="62">
        <f>[32]С2!F33</f>
        <v>10</v>
      </c>
    </row>
    <row r="62" spans="1:3" ht="30" x14ac:dyDescent="0.2">
      <c r="A62" s="59" t="s">
        <v>81</v>
      </c>
      <c r="B62" s="64" t="s">
        <v>82</v>
      </c>
      <c r="C62" s="34">
        <f>[32]С2!F26</f>
        <v>3082.0508637929142</v>
      </c>
    </row>
    <row r="63" spans="1:3" ht="17.25" x14ac:dyDescent="0.2">
      <c r="A63" s="59" t="s">
        <v>83</v>
      </c>
      <c r="B63" s="53" t="s">
        <v>84</v>
      </c>
      <c r="C63" s="34">
        <f>[32]С2!F27</f>
        <v>0.44209422600000003</v>
      </c>
    </row>
    <row r="64" spans="1:3" ht="17.25" x14ac:dyDescent="0.2">
      <c r="A64" s="59" t="s">
        <v>85</v>
      </c>
      <c r="B64" s="58" t="s">
        <v>86</v>
      </c>
      <c r="C64" s="62">
        <f>[32]С2!F28</f>
        <v>4200</v>
      </c>
    </row>
    <row r="65" spans="1:3" ht="42.75" x14ac:dyDescent="0.2">
      <c r="A65" s="59" t="s">
        <v>87</v>
      </c>
      <c r="B65" s="33" t="s">
        <v>88</v>
      </c>
      <c r="C65" s="34">
        <f>[32]С2!F22</f>
        <v>42890.921752741691</v>
      </c>
    </row>
    <row r="66" spans="1:3" ht="30" x14ac:dyDescent="0.2">
      <c r="A66" s="59" t="s">
        <v>89</v>
      </c>
      <c r="B66" s="60" t="s">
        <v>90</v>
      </c>
      <c r="C66" s="34">
        <f>[32]С2!F23</f>
        <v>1990</v>
      </c>
    </row>
    <row r="67" spans="1:3" ht="30" x14ac:dyDescent="0.2">
      <c r="A67" s="59" t="s">
        <v>91</v>
      </c>
      <c r="B67" s="53" t="s">
        <v>92</v>
      </c>
      <c r="C67" s="34">
        <f>[32]С2.1!E27</f>
        <v>14307.876789999998</v>
      </c>
    </row>
    <row r="68" spans="1:3" ht="38.25" x14ac:dyDescent="0.2">
      <c r="A68" s="59" t="s">
        <v>93</v>
      </c>
      <c r="B68" s="65" t="s">
        <v>94</v>
      </c>
      <c r="C68" s="52">
        <f>[32]С2.3!E21</f>
        <v>0</v>
      </c>
    </row>
    <row r="69" spans="1:3" ht="25.5" x14ac:dyDescent="0.2">
      <c r="A69" s="59" t="s">
        <v>95</v>
      </c>
      <c r="B69" s="66" t="s">
        <v>96</v>
      </c>
      <c r="C69" s="67">
        <f>[32]С2.3!E11</f>
        <v>9.89</v>
      </c>
    </row>
    <row r="70" spans="1:3" ht="25.5" x14ac:dyDescent="0.2">
      <c r="A70" s="59" t="s">
        <v>97</v>
      </c>
      <c r="B70" s="66" t="s">
        <v>98</v>
      </c>
      <c r="C70" s="62">
        <f>[32]С2.3!E13</f>
        <v>300</v>
      </c>
    </row>
    <row r="71" spans="1:3" ht="25.5" x14ac:dyDescent="0.2">
      <c r="A71" s="59" t="s">
        <v>99</v>
      </c>
      <c r="B71" s="65" t="s">
        <v>100</v>
      </c>
      <c r="C71" s="68">
        <f>IF([32]С2.3!E22&gt;0,[32]С2.3!E22,[32]С2.3!E14)</f>
        <v>61211</v>
      </c>
    </row>
    <row r="72" spans="1:3" ht="38.25" x14ac:dyDescent="0.2">
      <c r="A72" s="59" t="s">
        <v>101</v>
      </c>
      <c r="B72" s="65" t="s">
        <v>102</v>
      </c>
      <c r="C72" s="68">
        <f>IF([32]С2.3!E23&gt;0,[32]С2.3!E23,[32]С2.3!E15)</f>
        <v>45675</v>
      </c>
    </row>
    <row r="73" spans="1:3" ht="30" x14ac:dyDescent="0.2">
      <c r="A73" s="59" t="s">
        <v>103</v>
      </c>
      <c r="B73" s="53" t="s">
        <v>104</v>
      </c>
      <c r="C73" s="34">
        <f>[32]С2.1!E28</f>
        <v>9541.9567200000001</v>
      </c>
    </row>
    <row r="74" spans="1:3" ht="38.25" x14ac:dyDescent="0.2">
      <c r="A74" s="59" t="s">
        <v>105</v>
      </c>
      <c r="B74" s="65" t="s">
        <v>106</v>
      </c>
      <c r="C74" s="52">
        <f>[32]С2.3!E25</f>
        <v>0</v>
      </c>
    </row>
    <row r="75" spans="1:3" ht="25.5" x14ac:dyDescent="0.2">
      <c r="A75" s="59" t="s">
        <v>107</v>
      </c>
      <c r="B75" s="66" t="s">
        <v>108</v>
      </c>
      <c r="C75" s="67">
        <f>[32]С2.3!E12</f>
        <v>0.56000000000000005</v>
      </c>
    </row>
    <row r="76" spans="1:3" ht="25.5" x14ac:dyDescent="0.2">
      <c r="A76" s="59" t="s">
        <v>109</v>
      </c>
      <c r="B76" s="66" t="s">
        <v>98</v>
      </c>
      <c r="C76" s="62">
        <f>[32]С2.3!E13</f>
        <v>300</v>
      </c>
    </row>
    <row r="77" spans="1:3" ht="25.5" x14ac:dyDescent="0.2">
      <c r="A77" s="59" t="s">
        <v>110</v>
      </c>
      <c r="B77" s="69" t="s">
        <v>111</v>
      </c>
      <c r="C77" s="68">
        <f>IF([32]С2.3!E26&gt;0,[32]С2.3!E26,[32]С2.3!E16)</f>
        <v>65637</v>
      </c>
    </row>
    <row r="78" spans="1:3" ht="38.25" x14ac:dyDescent="0.2">
      <c r="A78" s="59" t="s">
        <v>112</v>
      </c>
      <c r="B78" s="69" t="s">
        <v>113</v>
      </c>
      <c r="C78" s="68">
        <f>IF([32]С2.3!E27&gt;0,[32]С2.3!E27,[32]С2.3!E17)</f>
        <v>31684</v>
      </c>
    </row>
    <row r="79" spans="1:3" ht="17.25" x14ac:dyDescent="0.2">
      <c r="A79" s="59" t="s">
        <v>114</v>
      </c>
      <c r="B79" s="33" t="s">
        <v>115</v>
      </c>
      <c r="C79" s="35">
        <f>[32]С2!F29</f>
        <v>0.17804631770487722</v>
      </c>
    </row>
    <row r="80" spans="1:3" ht="30" x14ac:dyDescent="0.2">
      <c r="A80" s="59" t="s">
        <v>116</v>
      </c>
      <c r="B80" s="53" t="s">
        <v>117</v>
      </c>
      <c r="C80" s="70">
        <f>[32]С2!F30</f>
        <v>0.1652189781021898</v>
      </c>
    </row>
    <row r="81" spans="1:3" ht="17.25" x14ac:dyDescent="0.2">
      <c r="A81" s="59" t="s">
        <v>118</v>
      </c>
      <c r="B81" s="71" t="s">
        <v>119</v>
      </c>
      <c r="C81" s="35">
        <f>[32]С2!F31</f>
        <v>0.13880000000000001</v>
      </c>
    </row>
    <row r="82" spans="1:3" s="63" customFormat="1" ht="18" thickBot="1" x14ac:dyDescent="0.25">
      <c r="A82" s="72" t="s">
        <v>120</v>
      </c>
      <c r="B82" s="73" t="s">
        <v>121</v>
      </c>
      <c r="C82" s="74">
        <f>[32]С2!F32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[32]С3!F14</f>
        <v>14912.207299372252</v>
      </c>
    </row>
    <row r="86" spans="1:3" s="63" customFormat="1" ht="42.75" x14ac:dyDescent="0.2">
      <c r="A86" s="77" t="s">
        <v>126</v>
      </c>
      <c r="B86" s="53" t="s">
        <v>127</v>
      </c>
      <c r="C86" s="78">
        <f>[32]С3!F15</f>
        <v>0.25</v>
      </c>
    </row>
    <row r="87" spans="1:3" s="63" customFormat="1" ht="14.25" x14ac:dyDescent="0.2">
      <c r="A87" s="77" t="s">
        <v>128</v>
      </c>
      <c r="B87" s="79" t="s">
        <v>129</v>
      </c>
      <c r="C87" s="62">
        <f>[32]С3!F18</f>
        <v>15</v>
      </c>
    </row>
    <row r="88" spans="1:3" s="63" customFormat="1" ht="17.25" x14ac:dyDescent="0.2">
      <c r="A88" s="77" t="s">
        <v>130</v>
      </c>
      <c r="B88" s="33" t="s">
        <v>131</v>
      </c>
      <c r="C88" s="34">
        <f>[32]С3!F19</f>
        <v>4187.478806422544</v>
      </c>
    </row>
    <row r="89" spans="1:3" s="63" customFormat="1" ht="55.5" x14ac:dyDescent="0.2">
      <c r="A89" s="77" t="s">
        <v>132</v>
      </c>
      <c r="B89" s="53" t="s">
        <v>133</v>
      </c>
      <c r="C89" s="80">
        <f>[32]С3!F20</f>
        <v>2.1999999999999999E-2</v>
      </c>
    </row>
    <row r="90" spans="1:3" s="63" customFormat="1" ht="14.25" x14ac:dyDescent="0.2">
      <c r="A90" s="77" t="s">
        <v>134</v>
      </c>
      <c r="B90" s="58" t="s">
        <v>80</v>
      </c>
      <c r="C90" s="62">
        <f>[32]С3!F21</f>
        <v>10</v>
      </c>
    </row>
    <row r="91" spans="1:3" s="63" customFormat="1" ht="17.25" x14ac:dyDescent="0.2">
      <c r="A91" s="77" t="s">
        <v>135</v>
      </c>
      <c r="B91" s="33" t="s">
        <v>136</v>
      </c>
      <c r="C91" s="34">
        <f>[32]С3!F22</f>
        <v>9.2461525913787437</v>
      </c>
    </row>
    <row r="92" spans="1:3" s="63" customFormat="1" ht="55.5" x14ac:dyDescent="0.2">
      <c r="A92" s="77" t="s">
        <v>137</v>
      </c>
      <c r="B92" s="53" t="s">
        <v>138</v>
      </c>
      <c r="C92" s="80">
        <f>[32]С3!F23</f>
        <v>3.0000000000000001E-3</v>
      </c>
    </row>
    <row r="93" spans="1:3" s="63" customFormat="1" ht="27.75" thickBot="1" x14ac:dyDescent="0.25">
      <c r="A93" s="81" t="s">
        <v>139</v>
      </c>
      <c r="B93" s="82" t="s">
        <v>140</v>
      </c>
      <c r="C93" s="83">
        <f>[32]С3!F24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[32]С4!F16</f>
        <v>1652.5</v>
      </c>
    </row>
    <row r="97" spans="1:3" ht="30" x14ac:dyDescent="0.2">
      <c r="A97" s="59" t="s">
        <v>145</v>
      </c>
      <c r="B97" s="58" t="s">
        <v>146</v>
      </c>
      <c r="C97" s="34">
        <f>[32]С4!F17</f>
        <v>73547</v>
      </c>
    </row>
    <row r="98" spans="1:3" ht="17.25" x14ac:dyDescent="0.2">
      <c r="A98" s="59" t="s">
        <v>147</v>
      </c>
      <c r="B98" s="58" t="s">
        <v>148</v>
      </c>
      <c r="C98" s="40">
        <f>[32]С4!F18</f>
        <v>0.02</v>
      </c>
    </row>
    <row r="99" spans="1:3" ht="30" x14ac:dyDescent="0.2">
      <c r="A99" s="59" t="s">
        <v>149</v>
      </c>
      <c r="B99" s="58" t="s">
        <v>150</v>
      </c>
      <c r="C99" s="34">
        <f>[32]С4!F19</f>
        <v>12104</v>
      </c>
    </row>
    <row r="100" spans="1:3" ht="31.5" x14ac:dyDescent="0.2">
      <c r="A100" s="59" t="s">
        <v>151</v>
      </c>
      <c r="B100" s="58" t="s">
        <v>152</v>
      </c>
      <c r="C100" s="40">
        <f>[32]С4!F20</f>
        <v>1.4999999999999999E-2</v>
      </c>
    </row>
    <row r="101" spans="1:3" ht="30" x14ac:dyDescent="0.2">
      <c r="A101" s="59" t="s">
        <v>153</v>
      </c>
      <c r="B101" s="33" t="s">
        <v>154</v>
      </c>
      <c r="C101" s="34">
        <f>[32]С4!F21</f>
        <v>1933.1949342509995</v>
      </c>
    </row>
    <row r="102" spans="1:3" ht="24" customHeight="1" x14ac:dyDescent="0.2">
      <c r="A102" s="59" t="s">
        <v>155</v>
      </c>
      <c r="B102" s="53" t="s">
        <v>156</v>
      </c>
      <c r="C102" s="85">
        <f>IF([32]С4.2!F8="да",[32]С4.2!D21,[32]С4.2!D15)</f>
        <v>0</v>
      </c>
    </row>
    <row r="103" spans="1:3" ht="68.25" x14ac:dyDescent="0.2">
      <c r="A103" s="59" t="s">
        <v>157</v>
      </c>
      <c r="B103" s="53" t="s">
        <v>158</v>
      </c>
      <c r="C103" s="34">
        <f>[32]С4!F22</f>
        <v>3.6112641666666665</v>
      </c>
    </row>
    <row r="104" spans="1:3" ht="30" x14ac:dyDescent="0.2">
      <c r="A104" s="59" t="s">
        <v>159</v>
      </c>
      <c r="B104" s="58" t="s">
        <v>160</v>
      </c>
      <c r="C104" s="34">
        <f>[32]С4!F23</f>
        <v>180</v>
      </c>
    </row>
    <row r="105" spans="1:3" ht="14.25" x14ac:dyDescent="0.2">
      <c r="A105" s="59" t="s">
        <v>161</v>
      </c>
      <c r="B105" s="53" t="s">
        <v>162</v>
      </c>
      <c r="C105" s="34">
        <f>[32]С4!F24</f>
        <v>8497.1999999999989</v>
      </c>
    </row>
    <row r="106" spans="1:3" ht="14.25" x14ac:dyDescent="0.2">
      <c r="A106" s="59" t="s">
        <v>163</v>
      </c>
      <c r="B106" s="58" t="s">
        <v>164</v>
      </c>
      <c r="C106" s="40">
        <f>[32]С4!F25</f>
        <v>0.35</v>
      </c>
    </row>
    <row r="107" spans="1:3" ht="17.25" x14ac:dyDescent="0.2">
      <c r="A107" s="59" t="s">
        <v>165</v>
      </c>
      <c r="B107" s="33" t="s">
        <v>166</v>
      </c>
      <c r="C107" s="34">
        <f>[32]С4!F26</f>
        <v>91.185569999999998</v>
      </c>
    </row>
    <row r="108" spans="1:3" ht="25.5" x14ac:dyDescent="0.2">
      <c r="A108" s="59" t="s">
        <v>167</v>
      </c>
      <c r="B108" s="53" t="s">
        <v>94</v>
      </c>
      <c r="C108" s="85">
        <f>[32]С4.3!E16</f>
        <v>0</v>
      </c>
    </row>
    <row r="109" spans="1:3" ht="25.5" x14ac:dyDescent="0.2">
      <c r="A109" s="59" t="s">
        <v>168</v>
      </c>
      <c r="B109" s="53" t="s">
        <v>169</v>
      </c>
      <c r="C109" s="34">
        <f>[32]С4.3!E17</f>
        <v>25.15</v>
      </c>
    </row>
    <row r="110" spans="1:3" ht="38.25" x14ac:dyDescent="0.2">
      <c r="A110" s="59" t="s">
        <v>170</v>
      </c>
      <c r="B110" s="53" t="s">
        <v>106</v>
      </c>
      <c r="C110" s="85">
        <f>[32]С4.3!E18</f>
        <v>0</v>
      </c>
    </row>
    <row r="111" spans="1:3" x14ac:dyDescent="0.2">
      <c r="A111" s="59" t="s">
        <v>171</v>
      </c>
      <c r="B111" s="53" t="s">
        <v>172</v>
      </c>
      <c r="C111" s="34">
        <f>[32]С4.3!E19</f>
        <v>14.63</v>
      </c>
    </row>
    <row r="112" spans="1:3" x14ac:dyDescent="0.2">
      <c r="A112" s="59" t="s">
        <v>173</v>
      </c>
      <c r="B112" s="58" t="s">
        <v>174</v>
      </c>
      <c r="C112" s="34">
        <f>[32]С4.3!E11</f>
        <v>1871</v>
      </c>
    </row>
    <row r="113" spans="1:3" x14ac:dyDescent="0.2">
      <c r="A113" s="59" t="s">
        <v>175</v>
      </c>
      <c r="B113" s="58" t="s">
        <v>176</v>
      </c>
      <c r="C113" s="52">
        <f>[32]С4.3!E12</f>
        <v>1636</v>
      </c>
    </row>
    <row r="114" spans="1:3" x14ac:dyDescent="0.2">
      <c r="A114" s="59" t="s">
        <v>177</v>
      </c>
      <c r="B114" s="58" t="s">
        <v>178</v>
      </c>
      <c r="C114" s="52">
        <f>[32]С4.3!E13</f>
        <v>204</v>
      </c>
    </row>
    <row r="115" spans="1:3" ht="30" x14ac:dyDescent="0.2">
      <c r="A115" s="59" t="s">
        <v>179</v>
      </c>
      <c r="B115" s="33" t="s">
        <v>180</v>
      </c>
      <c r="C115" s="34">
        <f>[32]С4!F27</f>
        <v>1291.2863994686898</v>
      </c>
    </row>
    <row r="116" spans="1:3" ht="25.5" x14ac:dyDescent="0.2">
      <c r="A116" s="59" t="s">
        <v>181</v>
      </c>
      <c r="B116" s="53" t="s">
        <v>182</v>
      </c>
      <c r="C116" s="34">
        <f>[32]С4!F28</f>
        <v>991.77142816335618</v>
      </c>
    </row>
    <row r="117" spans="1:3" ht="42.75" x14ac:dyDescent="0.2">
      <c r="A117" s="59" t="s">
        <v>183</v>
      </c>
      <c r="B117" s="53" t="s">
        <v>184</v>
      </c>
      <c r="C117" s="34">
        <f>[32]С4!F29</f>
        <v>299.51497130533357</v>
      </c>
    </row>
    <row r="118" spans="1:3" ht="30" x14ac:dyDescent="0.2">
      <c r="A118" s="59" t="s">
        <v>185</v>
      </c>
      <c r="B118" s="39" t="s">
        <v>186</v>
      </c>
      <c r="C118" s="34">
        <f>[32]С4!F30</f>
        <v>2752.8309275546135</v>
      </c>
    </row>
    <row r="119" spans="1:3" ht="42.75" x14ac:dyDescent="0.2">
      <c r="A119" s="59" t="s">
        <v>187</v>
      </c>
      <c r="B119" s="86" t="s">
        <v>188</v>
      </c>
      <c r="C119" s="34">
        <f>[32]С4!F33</f>
        <v>1545.5004446911175</v>
      </c>
    </row>
    <row r="120" spans="1:3" ht="30" x14ac:dyDescent="0.2">
      <c r="A120" s="59" t="s">
        <v>189</v>
      </c>
      <c r="B120" s="87" t="s">
        <v>190</v>
      </c>
      <c r="C120" s="34">
        <f>[32]С4!F35</f>
        <v>17.040680999999999</v>
      </c>
    </row>
    <row r="121" spans="1:3" ht="14.25" x14ac:dyDescent="0.2">
      <c r="A121" s="59" t="s">
        <v>191</v>
      </c>
      <c r="B121" s="56" t="s">
        <v>192</v>
      </c>
      <c r="C121" s="34">
        <f>[32]С4!F36</f>
        <v>14319.9</v>
      </c>
    </row>
    <row r="122" spans="1:3" ht="28.5" thickBot="1" x14ac:dyDescent="0.25">
      <c r="A122" s="72" t="s">
        <v>193</v>
      </c>
      <c r="B122" s="88" t="s">
        <v>194</v>
      </c>
      <c r="C122" s="83">
        <f>[32]С4!F37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[32]С5!F17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[32]С2!F37</f>
        <v>20.818139999999996</v>
      </c>
    </row>
    <row r="136" spans="1:3" ht="14.25" x14ac:dyDescent="0.2">
      <c r="A136" s="59" t="s">
        <v>216</v>
      </c>
      <c r="B136" s="101" t="s">
        <v>217</v>
      </c>
      <c r="C136" s="34">
        <f>[32]С2!F38</f>
        <v>7</v>
      </c>
    </row>
    <row r="137" spans="1:3" ht="17.25" x14ac:dyDescent="0.2">
      <c r="A137" s="59" t="s">
        <v>218</v>
      </c>
      <c r="B137" s="101" t="s">
        <v>219</v>
      </c>
      <c r="C137" s="34">
        <f>[32]С2!F40</f>
        <v>0.97</v>
      </c>
    </row>
    <row r="138" spans="1:3" ht="15" thickBot="1" x14ac:dyDescent="0.25">
      <c r="A138" s="72" t="s">
        <v>220</v>
      </c>
      <c r="B138" s="102" t="s">
        <v>221</v>
      </c>
      <c r="C138" s="46">
        <f>[32]С2!F42</f>
        <v>0.35</v>
      </c>
    </row>
    <row r="139" spans="1:3" s="89" customFormat="1" ht="13.5" thickBot="1" x14ac:dyDescent="0.25">
      <c r="A139" s="47"/>
      <c r="B139" s="75"/>
      <c r="C139" s="15"/>
    </row>
    <row r="140" spans="1:3" ht="30" x14ac:dyDescent="0.2">
      <c r="A140" s="84" t="s">
        <v>222</v>
      </c>
      <c r="B140" s="103" t="s">
        <v>223</v>
      </c>
      <c r="C140" s="104">
        <f>[32]С2!F35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[32]С2.5!$E$11</f>
        <v>-2.9000000000000026E-2</v>
      </c>
    </row>
    <row r="144" spans="1:3" x14ac:dyDescent="0.2">
      <c r="A144" s="105"/>
      <c r="B144" s="110">
        <f>B143+1</f>
        <v>2021</v>
      </c>
      <c r="C144" s="111">
        <f>[32]С2.5!$F$11</f>
        <v>0.245</v>
      </c>
    </row>
    <row r="145" spans="1:3" x14ac:dyDescent="0.2">
      <c r="A145" s="105"/>
      <c r="B145" s="110">
        <f t="shared" ref="B145:B208" si="0">B144+1</f>
        <v>2022</v>
      </c>
      <c r="C145" s="111">
        <f>[32]С2.5!$G$11</f>
        <v>0.114</v>
      </c>
    </row>
    <row r="146" spans="1:3" ht="13.5" thickBot="1" x14ac:dyDescent="0.25">
      <c r="A146" s="105"/>
      <c r="B146" s="112">
        <f t="shared" si="0"/>
        <v>2023</v>
      </c>
      <c r="C146" s="113">
        <f>[32]С2.5!$H$11</f>
        <v>0.04</v>
      </c>
    </row>
    <row r="147" spans="1:3" x14ac:dyDescent="0.2">
      <c r="A147" s="105"/>
      <c r="B147" s="114">
        <f t="shared" si="0"/>
        <v>2024</v>
      </c>
      <c r="C147" s="115">
        <f>[32]С2.5!$I$11</f>
        <v>0.11700000000000001</v>
      </c>
    </row>
    <row r="148" spans="1:3" x14ac:dyDescent="0.2">
      <c r="A148" s="105"/>
      <c r="B148" s="110">
        <f t="shared" si="0"/>
        <v>2025</v>
      </c>
      <c r="C148" s="111">
        <f>[32]С2.5!$J$11</f>
        <v>6.0999999999999999E-2</v>
      </c>
    </row>
    <row r="149" spans="1:3" hidden="1" x14ac:dyDescent="0.2">
      <c r="A149" s="105"/>
      <c r="B149" s="110">
        <f t="shared" si="0"/>
        <v>2026</v>
      </c>
      <c r="C149" s="111">
        <f>[32]С2.5!$K$11</f>
        <v>3.5813361771260002E-2</v>
      </c>
    </row>
    <row r="150" spans="1:3" hidden="1" x14ac:dyDescent="0.2">
      <c r="A150" s="105"/>
      <c r="B150" s="110">
        <f t="shared" si="0"/>
        <v>2027</v>
      </c>
      <c r="C150" s="111">
        <f>[32]С2.5!$L$11</f>
        <v>3.2682303599220003E-2</v>
      </c>
    </row>
    <row r="151" spans="1:3" hidden="1" x14ac:dyDescent="0.2">
      <c r="A151" s="105"/>
      <c r="B151" s="110">
        <f t="shared" si="0"/>
        <v>2028</v>
      </c>
      <c r="C151" s="111">
        <f>[32]С2.5!$M$11</f>
        <v>0</v>
      </c>
    </row>
    <row r="152" spans="1:3" hidden="1" x14ac:dyDescent="0.2">
      <c r="A152" s="105"/>
      <c r="B152" s="110">
        <f t="shared" si="0"/>
        <v>2029</v>
      </c>
      <c r="C152" s="111">
        <f>[32]С2.5!$N$11</f>
        <v>0</v>
      </c>
    </row>
    <row r="153" spans="1:3" hidden="1" x14ac:dyDescent="0.2">
      <c r="A153" s="105"/>
      <c r="B153" s="110">
        <f t="shared" si="0"/>
        <v>2030</v>
      </c>
      <c r="C153" s="111">
        <f>[32]С2.5!$O$11</f>
        <v>0</v>
      </c>
    </row>
    <row r="154" spans="1:3" hidden="1" x14ac:dyDescent="0.2">
      <c r="A154" s="105"/>
      <c r="B154" s="110">
        <f t="shared" si="0"/>
        <v>2031</v>
      </c>
      <c r="C154" s="111">
        <f>[32]С2.5!$P$11</f>
        <v>0</v>
      </c>
    </row>
    <row r="155" spans="1:3" hidden="1" x14ac:dyDescent="0.2">
      <c r="A155" s="89"/>
      <c r="B155" s="110">
        <f t="shared" si="0"/>
        <v>2032</v>
      </c>
      <c r="C155" s="111">
        <f>[32]С2.5!$Q$11</f>
        <v>0</v>
      </c>
    </row>
    <row r="156" spans="1:3" hidden="1" x14ac:dyDescent="0.2">
      <c r="A156" s="89"/>
      <c r="B156" s="110">
        <f t="shared" si="0"/>
        <v>2033</v>
      </c>
      <c r="C156" s="111">
        <f>[32]С2.5!$R$11</f>
        <v>0</v>
      </c>
    </row>
    <row r="157" spans="1:3" hidden="1" x14ac:dyDescent="0.2">
      <c r="B157" s="110">
        <f t="shared" si="0"/>
        <v>2034</v>
      </c>
      <c r="C157" s="111">
        <f>[32]С2.5!$S$11</f>
        <v>0</v>
      </c>
    </row>
    <row r="158" spans="1:3" hidden="1" x14ac:dyDescent="0.2">
      <c r="B158" s="110">
        <f t="shared" si="0"/>
        <v>2035</v>
      </c>
      <c r="C158" s="111">
        <f>[32]С2.5!$T$11</f>
        <v>0</v>
      </c>
    </row>
    <row r="159" spans="1:3" hidden="1" x14ac:dyDescent="0.2">
      <c r="B159" s="110">
        <f t="shared" si="0"/>
        <v>2036</v>
      </c>
      <c r="C159" s="111">
        <f>[32]С2.5!$U$11</f>
        <v>0</v>
      </c>
    </row>
    <row r="160" spans="1:3" hidden="1" x14ac:dyDescent="0.2">
      <c r="B160" s="110">
        <f t="shared" si="0"/>
        <v>2037</v>
      </c>
      <c r="C160" s="111">
        <f>[32]С2.5!$V$11</f>
        <v>0</v>
      </c>
    </row>
    <row r="161" spans="2:3" hidden="1" x14ac:dyDescent="0.2">
      <c r="B161" s="110">
        <f t="shared" si="0"/>
        <v>2038</v>
      </c>
      <c r="C161" s="111">
        <f>[32]С2.5!$W$11</f>
        <v>0</v>
      </c>
    </row>
    <row r="162" spans="2:3" hidden="1" x14ac:dyDescent="0.2">
      <c r="B162" s="110">
        <f t="shared" si="0"/>
        <v>2039</v>
      </c>
      <c r="C162" s="111">
        <f>[32]С2.5!$X$11</f>
        <v>0</v>
      </c>
    </row>
    <row r="163" spans="2:3" hidden="1" x14ac:dyDescent="0.2">
      <c r="B163" s="110">
        <f t="shared" si="0"/>
        <v>2040</v>
      </c>
      <c r="C163" s="111">
        <f>[32]С2.5!$Y$11</f>
        <v>0</v>
      </c>
    </row>
    <row r="164" spans="2:3" hidden="1" x14ac:dyDescent="0.2">
      <c r="B164" s="110">
        <f t="shared" si="0"/>
        <v>2041</v>
      </c>
      <c r="C164" s="111">
        <f>[32]С2.5!$Z$11</f>
        <v>0</v>
      </c>
    </row>
    <row r="165" spans="2:3" hidden="1" x14ac:dyDescent="0.2">
      <c r="B165" s="110">
        <f t="shared" si="0"/>
        <v>2042</v>
      </c>
      <c r="C165" s="111">
        <f>[32]С2.5!$AA$11</f>
        <v>0</v>
      </c>
    </row>
    <row r="166" spans="2:3" hidden="1" x14ac:dyDescent="0.2">
      <c r="B166" s="110">
        <f t="shared" si="0"/>
        <v>2043</v>
      </c>
      <c r="C166" s="111">
        <f>[32]С2.5!$AB$11</f>
        <v>0</v>
      </c>
    </row>
    <row r="167" spans="2:3" hidden="1" x14ac:dyDescent="0.2">
      <c r="B167" s="110">
        <f t="shared" si="0"/>
        <v>2044</v>
      </c>
      <c r="C167" s="111">
        <f>[32]С2.5!$AC$11</f>
        <v>0</v>
      </c>
    </row>
    <row r="168" spans="2:3" hidden="1" x14ac:dyDescent="0.2">
      <c r="B168" s="110">
        <f t="shared" si="0"/>
        <v>2045</v>
      </c>
      <c r="C168" s="111">
        <f>[32]С2.5!$AD$11</f>
        <v>0</v>
      </c>
    </row>
    <row r="169" spans="2:3" hidden="1" x14ac:dyDescent="0.2">
      <c r="B169" s="110">
        <f t="shared" si="0"/>
        <v>2046</v>
      </c>
      <c r="C169" s="111">
        <f>[32]С2.5!$AE$11</f>
        <v>0</v>
      </c>
    </row>
    <row r="170" spans="2:3" hidden="1" x14ac:dyDescent="0.2">
      <c r="B170" s="110">
        <f t="shared" si="0"/>
        <v>2047</v>
      </c>
      <c r="C170" s="111">
        <f>[32]С2.5!$AF$11</f>
        <v>0</v>
      </c>
    </row>
    <row r="171" spans="2:3" hidden="1" x14ac:dyDescent="0.2">
      <c r="B171" s="110">
        <f t="shared" si="0"/>
        <v>2048</v>
      </c>
      <c r="C171" s="111">
        <f>[32]С2.5!$AG$11</f>
        <v>0</v>
      </c>
    </row>
    <row r="172" spans="2:3" hidden="1" x14ac:dyDescent="0.2">
      <c r="B172" s="110">
        <f t="shared" si="0"/>
        <v>2049</v>
      </c>
      <c r="C172" s="111">
        <f>[32]С2.5!$AH$11</f>
        <v>0</v>
      </c>
    </row>
    <row r="173" spans="2:3" hidden="1" x14ac:dyDescent="0.2">
      <c r="B173" s="110">
        <f t="shared" si="0"/>
        <v>2050</v>
      </c>
      <c r="C173" s="111">
        <f>[32]С2.5!$AI$11</f>
        <v>0</v>
      </c>
    </row>
    <row r="174" spans="2:3" hidden="1" x14ac:dyDescent="0.2">
      <c r="B174" s="110">
        <f t="shared" si="0"/>
        <v>2051</v>
      </c>
      <c r="C174" s="111">
        <f>[32]С2.5!$AJ$11</f>
        <v>0</v>
      </c>
    </row>
    <row r="175" spans="2:3" hidden="1" x14ac:dyDescent="0.2">
      <c r="B175" s="110">
        <f t="shared" si="0"/>
        <v>2052</v>
      </c>
      <c r="C175" s="111">
        <f>[32]С2.5!$AK$11</f>
        <v>0</v>
      </c>
    </row>
    <row r="176" spans="2:3" hidden="1" x14ac:dyDescent="0.2">
      <c r="B176" s="110">
        <f t="shared" si="0"/>
        <v>2053</v>
      </c>
      <c r="C176" s="111">
        <f>[32]С2.5!$AL$11</f>
        <v>0</v>
      </c>
    </row>
    <row r="177" spans="2:3" hidden="1" x14ac:dyDescent="0.2">
      <c r="B177" s="110">
        <f t="shared" si="0"/>
        <v>2054</v>
      </c>
      <c r="C177" s="111">
        <f>[32]С2.5!$AM$11</f>
        <v>0</v>
      </c>
    </row>
    <row r="178" spans="2:3" hidden="1" x14ac:dyDescent="0.2">
      <c r="B178" s="110">
        <f t="shared" si="0"/>
        <v>2055</v>
      </c>
      <c r="C178" s="111">
        <f>[32]С2.5!$AN$11</f>
        <v>0</v>
      </c>
    </row>
    <row r="179" spans="2:3" hidden="1" x14ac:dyDescent="0.2">
      <c r="B179" s="110">
        <f t="shared" si="0"/>
        <v>2056</v>
      </c>
      <c r="C179" s="111">
        <f>[32]С2.5!$AO$11</f>
        <v>0</v>
      </c>
    </row>
    <row r="180" spans="2:3" hidden="1" x14ac:dyDescent="0.2">
      <c r="B180" s="110">
        <f t="shared" si="0"/>
        <v>2057</v>
      </c>
      <c r="C180" s="111">
        <f>[32]С2.5!$AP$11</f>
        <v>0</v>
      </c>
    </row>
    <row r="181" spans="2:3" hidden="1" x14ac:dyDescent="0.2">
      <c r="B181" s="110">
        <f t="shared" si="0"/>
        <v>2058</v>
      </c>
      <c r="C181" s="111">
        <f>[32]С2.5!$AQ$11</f>
        <v>0</v>
      </c>
    </row>
    <row r="182" spans="2:3" hidden="1" x14ac:dyDescent="0.2">
      <c r="B182" s="110">
        <f t="shared" si="0"/>
        <v>2059</v>
      </c>
      <c r="C182" s="111">
        <f>[32]С2.5!$AR$11</f>
        <v>0</v>
      </c>
    </row>
    <row r="183" spans="2:3" hidden="1" x14ac:dyDescent="0.2">
      <c r="B183" s="110">
        <f t="shared" si="0"/>
        <v>2060</v>
      </c>
      <c r="C183" s="111">
        <f>[32]С2.5!$AS$11</f>
        <v>0</v>
      </c>
    </row>
    <row r="184" spans="2:3" hidden="1" x14ac:dyDescent="0.2">
      <c r="B184" s="110">
        <f t="shared" si="0"/>
        <v>2061</v>
      </c>
      <c r="C184" s="111">
        <f>[32]С2.5!$AT$11</f>
        <v>0</v>
      </c>
    </row>
    <row r="185" spans="2:3" hidden="1" x14ac:dyDescent="0.2">
      <c r="B185" s="110">
        <f t="shared" si="0"/>
        <v>2062</v>
      </c>
      <c r="C185" s="111">
        <f>[32]С2.5!$AU$11</f>
        <v>0</v>
      </c>
    </row>
    <row r="186" spans="2:3" hidden="1" x14ac:dyDescent="0.2">
      <c r="B186" s="110">
        <f t="shared" si="0"/>
        <v>2063</v>
      </c>
      <c r="C186" s="111">
        <f>[32]С2.5!$AV$11</f>
        <v>0</v>
      </c>
    </row>
    <row r="187" spans="2:3" hidden="1" x14ac:dyDescent="0.2">
      <c r="B187" s="110">
        <f t="shared" si="0"/>
        <v>2064</v>
      </c>
      <c r="C187" s="111">
        <f>[32]С2.5!$AW$11</f>
        <v>0</v>
      </c>
    </row>
    <row r="188" spans="2:3" hidden="1" x14ac:dyDescent="0.2">
      <c r="B188" s="110">
        <f t="shared" si="0"/>
        <v>2065</v>
      </c>
      <c r="C188" s="111">
        <f>[32]С2.5!$AX$11</f>
        <v>0</v>
      </c>
    </row>
    <row r="189" spans="2:3" hidden="1" x14ac:dyDescent="0.2">
      <c r="B189" s="110">
        <f t="shared" si="0"/>
        <v>2066</v>
      </c>
      <c r="C189" s="111">
        <f>[32]С2.5!$AY$11</f>
        <v>0</v>
      </c>
    </row>
    <row r="190" spans="2:3" hidden="1" x14ac:dyDescent="0.2">
      <c r="B190" s="110">
        <f t="shared" si="0"/>
        <v>2067</v>
      </c>
      <c r="C190" s="111">
        <f>[32]С2.5!$AZ$11</f>
        <v>0</v>
      </c>
    </row>
    <row r="191" spans="2:3" hidden="1" x14ac:dyDescent="0.2">
      <c r="B191" s="110">
        <f t="shared" si="0"/>
        <v>2068</v>
      </c>
      <c r="C191" s="111">
        <f>[32]С2.5!$BA$11</f>
        <v>0</v>
      </c>
    </row>
    <row r="192" spans="2:3" hidden="1" x14ac:dyDescent="0.2">
      <c r="B192" s="110">
        <f t="shared" si="0"/>
        <v>2069</v>
      </c>
      <c r="C192" s="111">
        <f>[32]С2.5!$BB$11</f>
        <v>0</v>
      </c>
    </row>
    <row r="193" spans="2:3" hidden="1" x14ac:dyDescent="0.2">
      <c r="B193" s="110">
        <f t="shared" si="0"/>
        <v>2070</v>
      </c>
      <c r="C193" s="111">
        <f>[32]С2.5!$BC$11</f>
        <v>0</v>
      </c>
    </row>
    <row r="194" spans="2:3" hidden="1" x14ac:dyDescent="0.2">
      <c r="B194" s="110">
        <f t="shared" si="0"/>
        <v>2071</v>
      </c>
      <c r="C194" s="111">
        <f>[32]С2.5!$BD$11</f>
        <v>0</v>
      </c>
    </row>
    <row r="195" spans="2:3" hidden="1" x14ac:dyDescent="0.2">
      <c r="B195" s="110">
        <f t="shared" si="0"/>
        <v>2072</v>
      </c>
      <c r="C195" s="111">
        <f>[32]С2.5!$BE$11</f>
        <v>0</v>
      </c>
    </row>
    <row r="196" spans="2:3" hidden="1" x14ac:dyDescent="0.2">
      <c r="B196" s="110">
        <f t="shared" si="0"/>
        <v>2073</v>
      </c>
      <c r="C196" s="111">
        <f>[32]С2.5!$BF$11</f>
        <v>0</v>
      </c>
    </row>
    <row r="197" spans="2:3" hidden="1" x14ac:dyDescent="0.2">
      <c r="B197" s="110">
        <f t="shared" si="0"/>
        <v>2074</v>
      </c>
      <c r="C197" s="111">
        <f>[32]С2.5!$BG$11</f>
        <v>0</v>
      </c>
    </row>
    <row r="198" spans="2:3" hidden="1" x14ac:dyDescent="0.2">
      <c r="B198" s="110">
        <f t="shared" si="0"/>
        <v>2075</v>
      </c>
      <c r="C198" s="111">
        <f>[32]С2.5!$BH$11</f>
        <v>0</v>
      </c>
    </row>
    <row r="199" spans="2:3" hidden="1" x14ac:dyDescent="0.2">
      <c r="B199" s="110">
        <f t="shared" si="0"/>
        <v>2076</v>
      </c>
      <c r="C199" s="111">
        <f>[32]С2.5!$BI$11</f>
        <v>0</v>
      </c>
    </row>
    <row r="200" spans="2:3" hidden="1" x14ac:dyDescent="0.2">
      <c r="B200" s="110">
        <f t="shared" si="0"/>
        <v>2077</v>
      </c>
      <c r="C200" s="111">
        <f>[32]С2.5!$BJ$11</f>
        <v>0</v>
      </c>
    </row>
    <row r="201" spans="2:3" hidden="1" x14ac:dyDescent="0.2">
      <c r="B201" s="110">
        <f t="shared" si="0"/>
        <v>2078</v>
      </c>
      <c r="C201" s="111">
        <f>[32]С2.5!$BK$11</f>
        <v>0</v>
      </c>
    </row>
    <row r="202" spans="2:3" hidden="1" x14ac:dyDescent="0.2">
      <c r="B202" s="110">
        <f t="shared" si="0"/>
        <v>2079</v>
      </c>
      <c r="C202" s="111">
        <f>[32]С2.5!$BL$11</f>
        <v>0</v>
      </c>
    </row>
    <row r="203" spans="2:3" hidden="1" x14ac:dyDescent="0.2">
      <c r="B203" s="110">
        <f t="shared" si="0"/>
        <v>2080</v>
      </c>
      <c r="C203" s="111">
        <f>[32]С2.5!$BM$11</f>
        <v>0</v>
      </c>
    </row>
    <row r="204" spans="2:3" hidden="1" x14ac:dyDescent="0.2">
      <c r="B204" s="110">
        <f t="shared" si="0"/>
        <v>2081</v>
      </c>
      <c r="C204" s="111">
        <f>[32]С2.5!$BN$11</f>
        <v>0</v>
      </c>
    </row>
    <row r="205" spans="2:3" hidden="1" x14ac:dyDescent="0.2">
      <c r="B205" s="110">
        <f t="shared" si="0"/>
        <v>2082</v>
      </c>
      <c r="C205" s="111">
        <f>[32]С2.5!$BO$11</f>
        <v>0</v>
      </c>
    </row>
    <row r="206" spans="2:3" hidden="1" x14ac:dyDescent="0.2">
      <c r="B206" s="110">
        <f t="shared" si="0"/>
        <v>2083</v>
      </c>
      <c r="C206" s="111">
        <f>[32]С2.5!$BP$11</f>
        <v>0</v>
      </c>
    </row>
    <row r="207" spans="2:3" hidden="1" x14ac:dyDescent="0.2">
      <c r="B207" s="110">
        <f t="shared" si="0"/>
        <v>2084</v>
      </c>
      <c r="C207" s="111">
        <f>[32]С2.5!$BQ$11</f>
        <v>0</v>
      </c>
    </row>
    <row r="208" spans="2:3" hidden="1" x14ac:dyDescent="0.2">
      <c r="B208" s="110">
        <f t="shared" si="0"/>
        <v>2085</v>
      </c>
      <c r="C208" s="111">
        <f>[32]С2.5!$BR$11</f>
        <v>0</v>
      </c>
    </row>
    <row r="209" spans="2:3" hidden="1" x14ac:dyDescent="0.2">
      <c r="B209" s="110">
        <f t="shared" ref="B209:B223" si="1">B208+1</f>
        <v>2086</v>
      </c>
      <c r="C209" s="111">
        <f>[32]С2.5!$BS$11</f>
        <v>0</v>
      </c>
    </row>
    <row r="210" spans="2:3" hidden="1" x14ac:dyDescent="0.2">
      <c r="B210" s="110">
        <f t="shared" si="1"/>
        <v>2087</v>
      </c>
      <c r="C210" s="111">
        <f>[32]С2.5!$BT$11</f>
        <v>0</v>
      </c>
    </row>
    <row r="211" spans="2:3" hidden="1" x14ac:dyDescent="0.2">
      <c r="B211" s="110">
        <f t="shared" si="1"/>
        <v>2088</v>
      </c>
      <c r="C211" s="111">
        <f>[32]С2.5!$BU$11</f>
        <v>0</v>
      </c>
    </row>
    <row r="212" spans="2:3" hidden="1" x14ac:dyDescent="0.2">
      <c r="B212" s="110">
        <f t="shared" si="1"/>
        <v>2089</v>
      </c>
      <c r="C212" s="111">
        <f>[32]С2.5!$BV$11</f>
        <v>0</v>
      </c>
    </row>
    <row r="213" spans="2:3" hidden="1" x14ac:dyDescent="0.2">
      <c r="B213" s="110">
        <f t="shared" si="1"/>
        <v>2090</v>
      </c>
      <c r="C213" s="111">
        <f>[32]С2.5!$BW$11</f>
        <v>0</v>
      </c>
    </row>
    <row r="214" spans="2:3" hidden="1" x14ac:dyDescent="0.2">
      <c r="B214" s="110">
        <f t="shared" si="1"/>
        <v>2091</v>
      </c>
      <c r="C214" s="111">
        <f>[32]С2.5!$BX$11</f>
        <v>0</v>
      </c>
    </row>
    <row r="215" spans="2:3" hidden="1" x14ac:dyDescent="0.2">
      <c r="B215" s="110">
        <f t="shared" si="1"/>
        <v>2092</v>
      </c>
      <c r="C215" s="111">
        <f>[32]С2.5!$BY$11</f>
        <v>0</v>
      </c>
    </row>
    <row r="216" spans="2:3" hidden="1" x14ac:dyDescent="0.2">
      <c r="B216" s="110">
        <f t="shared" si="1"/>
        <v>2093</v>
      </c>
      <c r="C216" s="111">
        <f>[32]С2.5!$BZ$11</f>
        <v>0</v>
      </c>
    </row>
    <row r="217" spans="2:3" hidden="1" x14ac:dyDescent="0.2">
      <c r="B217" s="110">
        <f t="shared" si="1"/>
        <v>2094</v>
      </c>
      <c r="C217" s="111">
        <f>[32]С2.5!$CA$11</f>
        <v>0</v>
      </c>
    </row>
    <row r="218" spans="2:3" hidden="1" x14ac:dyDescent="0.2">
      <c r="B218" s="110">
        <f t="shared" si="1"/>
        <v>2095</v>
      </c>
      <c r="C218" s="111">
        <f>[32]С2.5!$CB$11</f>
        <v>0</v>
      </c>
    </row>
    <row r="219" spans="2:3" hidden="1" x14ac:dyDescent="0.2">
      <c r="B219" s="110">
        <f t="shared" si="1"/>
        <v>2096</v>
      </c>
      <c r="C219" s="111">
        <f>[32]С2.5!$CC$11</f>
        <v>0</v>
      </c>
    </row>
    <row r="220" spans="2:3" hidden="1" x14ac:dyDescent="0.2">
      <c r="B220" s="110">
        <f t="shared" si="1"/>
        <v>2097</v>
      </c>
      <c r="C220" s="111">
        <f>[32]С2.5!$CD$11</f>
        <v>0</v>
      </c>
    </row>
    <row r="221" spans="2:3" hidden="1" x14ac:dyDescent="0.2">
      <c r="B221" s="110">
        <f t="shared" si="1"/>
        <v>2098</v>
      </c>
      <c r="C221" s="111">
        <f>[32]С2.5!$CE$11</f>
        <v>0</v>
      </c>
    </row>
    <row r="222" spans="2:3" hidden="1" x14ac:dyDescent="0.2">
      <c r="B222" s="110">
        <f t="shared" si="1"/>
        <v>2099</v>
      </c>
      <c r="C222" s="111">
        <f>[32]С2.5!$CF$11</f>
        <v>0</v>
      </c>
    </row>
    <row r="223" spans="2:3" ht="13.5" hidden="1" thickBot="1" x14ac:dyDescent="0.25">
      <c r="B223" s="112">
        <f t="shared" si="1"/>
        <v>2100</v>
      </c>
      <c r="C223" s="113">
        <f>[32]С2.5!$CG$11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3" sqref="B3"/>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[27]И1!D13</f>
        <v>Субъект Российской Федерации</v>
      </c>
      <c r="C4" s="10" t="str">
        <f>[27]И1!E13</f>
        <v>Новосибирская область</v>
      </c>
    </row>
    <row r="5" spans="1:3" ht="48.6" customHeight="1" x14ac:dyDescent="0.2">
      <c r="A5" s="8"/>
      <c r="B5" s="9" t="str">
        <f>[27]И1!D14</f>
        <v>Тип муниципального образования (выберите из списка)</v>
      </c>
      <c r="C5" s="10" t="str">
        <f>[27]И1!E14</f>
        <v>село Морозово, Искитимский муниципальный район</v>
      </c>
    </row>
    <row r="6" spans="1:3" x14ac:dyDescent="0.2">
      <c r="A6" s="8"/>
      <c r="B6" s="9" t="str">
        <f>IF([27]И1!E15="","",[27]И1!D15)</f>
        <v/>
      </c>
      <c r="C6" s="7" t="str">
        <f>IF([27]И1!E15="","",[27]И1!E15)</f>
        <v/>
      </c>
    </row>
    <row r="7" spans="1:3" x14ac:dyDescent="0.2">
      <c r="A7" s="8"/>
      <c r="B7" s="9" t="str">
        <f>[27]И1!D16</f>
        <v>Код ОКТМО</v>
      </c>
      <c r="C7" s="11" t="str">
        <f>[27]И1!E16</f>
        <v xml:space="preserve"> (50615418101)</v>
      </c>
    </row>
    <row r="8" spans="1:3" x14ac:dyDescent="0.2">
      <c r="A8" s="8"/>
      <c r="B8" s="12" t="str">
        <f>[27]И1!D17</f>
        <v>Система теплоснабжения</v>
      </c>
      <c r="C8" s="13">
        <f>[27]И1!E17</f>
        <v>0</v>
      </c>
    </row>
    <row r="9" spans="1:3" x14ac:dyDescent="0.2">
      <c r="A9" s="8"/>
      <c r="B9" s="9" t="str">
        <f>[27]И1!D8</f>
        <v>Период регулирования (i)-й</v>
      </c>
      <c r="C9" s="14">
        <f>[27]И1!E8</f>
        <v>2025</v>
      </c>
    </row>
    <row r="10" spans="1:3" x14ac:dyDescent="0.2">
      <c r="A10" s="8"/>
      <c r="B10" s="9" t="str">
        <f>[27]И1!D9</f>
        <v>Период регулирования (i-1)-й</v>
      </c>
      <c r="C10" s="14">
        <f>[27]И1!E9</f>
        <v>2024</v>
      </c>
    </row>
    <row r="11" spans="1:3" x14ac:dyDescent="0.2">
      <c r="A11" s="8"/>
      <c r="B11" s="9" t="str">
        <f>[27]И1!D10</f>
        <v>Период регулирования (i-2)-й</v>
      </c>
      <c r="C11" s="14">
        <f>[27]И1!E10</f>
        <v>2023</v>
      </c>
    </row>
    <row r="12" spans="1:3" x14ac:dyDescent="0.2">
      <c r="A12" s="8"/>
      <c r="B12" s="9" t="str">
        <f>[27]И1!D11</f>
        <v>Базовый год (б)</v>
      </c>
      <c r="C12" s="14">
        <f>[27]И1!E11</f>
        <v>2019</v>
      </c>
    </row>
    <row r="13" spans="1:3" x14ac:dyDescent="0.2">
      <c r="A13" s="8"/>
      <c r="B13" s="9" t="str">
        <f>[27]И1!D18</f>
        <v>Вид топлива, использование которого преобладает в системе теплоснабжения</v>
      </c>
      <c r="C13" s="15" t="str">
        <f>[27]И1!E18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4214.4546950409231</v>
      </c>
    </row>
    <row r="18" spans="1:3" ht="42.75" x14ac:dyDescent="0.2">
      <c r="A18" s="22" t="s">
        <v>8</v>
      </c>
      <c r="B18" s="25" t="s">
        <v>9</v>
      </c>
      <c r="C18" s="26">
        <f>[27]С1!F12</f>
        <v>1201.0642791911237</v>
      </c>
    </row>
    <row r="19" spans="1:3" ht="42.75" x14ac:dyDescent="0.2">
      <c r="A19" s="22" t="s">
        <v>10</v>
      </c>
      <c r="B19" s="25" t="s">
        <v>11</v>
      </c>
      <c r="C19" s="26">
        <f>[27]С2!F12</f>
        <v>2049.7946392543367</v>
      </c>
    </row>
    <row r="20" spans="1:3" ht="30" x14ac:dyDescent="0.2">
      <c r="A20" s="22" t="s">
        <v>12</v>
      </c>
      <c r="B20" s="25" t="s">
        <v>13</v>
      </c>
      <c r="C20" s="26">
        <f>[27]С3!F12</f>
        <v>613.3572799725365</v>
      </c>
    </row>
    <row r="21" spans="1:3" ht="42.75" x14ac:dyDescent="0.2">
      <c r="A21" s="22" t="s">
        <v>14</v>
      </c>
      <c r="B21" s="25" t="s">
        <v>228</v>
      </c>
      <c r="C21" s="26">
        <f>[27]С4!F12</f>
        <v>267.6021300534959</v>
      </c>
    </row>
    <row r="22" spans="1:3" ht="33" customHeight="1" x14ac:dyDescent="0.2">
      <c r="A22" s="22" t="s">
        <v>16</v>
      </c>
      <c r="B22" s="25" t="s">
        <v>229</v>
      </c>
      <c r="C22" s="26">
        <f>[27]С5!F12</f>
        <v>82.636366569429867</v>
      </c>
    </row>
    <row r="23" spans="1:3" ht="45.75" customHeight="1" thickBot="1" x14ac:dyDescent="0.25">
      <c r="A23" s="27" t="s">
        <v>18</v>
      </c>
      <c r="B23" s="140" t="s">
        <v>230</v>
      </c>
      <c r="C23" s="28">
        <f>[27]С6!F12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[27]С1.1!E16</f>
        <v>7900</v>
      </c>
    </row>
    <row r="29" spans="1:3" ht="42.75" x14ac:dyDescent="0.2">
      <c r="A29" s="22" t="s">
        <v>10</v>
      </c>
      <c r="B29" s="33" t="s">
        <v>232</v>
      </c>
      <c r="C29" s="34">
        <f>[27]С1.1!E32</f>
        <v>6213.94</v>
      </c>
    </row>
    <row r="30" spans="1:3" ht="38.25" x14ac:dyDescent="0.2">
      <c r="A30" s="22" t="s">
        <v>233</v>
      </c>
      <c r="B30" s="33" t="s">
        <v>234</v>
      </c>
      <c r="C30" s="85" t="str">
        <f>[27]С1.1!E25</f>
        <v>ООО "Газпром газораспределение Томск"</v>
      </c>
    </row>
    <row r="31" spans="1:3" ht="38.25" x14ac:dyDescent="0.2">
      <c r="A31" s="22" t="s">
        <v>235</v>
      </c>
      <c r="B31" s="33" t="str">
        <f>[27]С1.1!D26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[27]С1.1!E26</f>
        <v>5099</v>
      </c>
    </row>
    <row r="32" spans="1:3" ht="25.5" x14ac:dyDescent="0.2">
      <c r="A32" s="22" t="s">
        <v>236</v>
      </c>
      <c r="B32" s="33" t="str">
        <f>[27]С1.1!D27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[27]С1.1!E27</f>
        <v>740.38</v>
      </c>
    </row>
    <row r="33" spans="1:3" ht="25.5" x14ac:dyDescent="0.2">
      <c r="A33" s="22" t="s">
        <v>237</v>
      </c>
      <c r="B33" s="33" t="str">
        <f>[27]С1.1!D28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[27]С1.1!E28</f>
        <v>144.72999999999999</v>
      </c>
    </row>
    <row r="34" spans="1:3" ht="38.25" x14ac:dyDescent="0.2">
      <c r="A34" s="22" t="s">
        <v>238</v>
      </c>
      <c r="B34" s="33" t="str">
        <f>[27]С1.1!D29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[27]С1.1!E29</f>
        <v>229.83</v>
      </c>
    </row>
    <row r="35" spans="1:3" ht="17.25" x14ac:dyDescent="0.2">
      <c r="A35" s="22" t="s">
        <v>12</v>
      </c>
      <c r="B35" s="33" t="s">
        <v>23</v>
      </c>
      <c r="C35" s="35">
        <f>[27]С1.1!E20</f>
        <v>0.112</v>
      </c>
    </row>
    <row r="36" spans="1:3" ht="17.25" x14ac:dyDescent="0.2">
      <c r="A36" s="22" t="s">
        <v>14</v>
      </c>
      <c r="B36" s="33" t="s">
        <v>24</v>
      </c>
      <c r="C36" s="35">
        <f>[27]С1.1!E21</f>
        <v>0.21299999999999999</v>
      </c>
    </row>
    <row r="37" spans="1:3" ht="30" x14ac:dyDescent="0.2">
      <c r="A37" s="22" t="s">
        <v>16</v>
      </c>
      <c r="B37" s="36" t="s">
        <v>239</v>
      </c>
      <c r="C37" s="121">
        <f>[27]С1!F13</f>
        <v>156.1</v>
      </c>
    </row>
    <row r="38" spans="1:3" x14ac:dyDescent="0.2">
      <c r="A38" s="22" t="s">
        <v>18</v>
      </c>
      <c r="B38" s="36" t="s">
        <v>26</v>
      </c>
      <c r="C38" s="38">
        <f>[27]С1!F16</f>
        <v>7000</v>
      </c>
    </row>
    <row r="39" spans="1:3" ht="14.25" x14ac:dyDescent="0.2">
      <c r="A39" s="122" t="s">
        <v>27</v>
      </c>
      <c r="B39" s="39" t="s">
        <v>240</v>
      </c>
      <c r="C39" s="40">
        <f>[27]С1!F17</f>
        <v>1.1285714285714286</v>
      </c>
    </row>
    <row r="40" spans="1:3" ht="15.75" x14ac:dyDescent="0.2">
      <c r="A40" s="123" t="s">
        <v>29</v>
      </c>
      <c r="B40" s="42" t="s">
        <v>30</v>
      </c>
      <c r="C40" s="40">
        <f>[27]С1!F20</f>
        <v>22.307053372799995</v>
      </c>
    </row>
    <row r="41" spans="1:3" ht="15.75" x14ac:dyDescent="0.2">
      <c r="A41" s="123" t="s">
        <v>31</v>
      </c>
      <c r="B41" s="43" t="s">
        <v>32</v>
      </c>
      <c r="C41" s="40">
        <f>[27]С1!F21</f>
        <v>21.531904799999996</v>
      </c>
    </row>
    <row r="42" spans="1:3" ht="14.25" x14ac:dyDescent="0.2">
      <c r="A42" s="123" t="s">
        <v>33</v>
      </c>
      <c r="B42" s="44" t="s">
        <v>34</v>
      </c>
      <c r="C42" s="40">
        <f>[27]С1!F22</f>
        <v>1.036</v>
      </c>
    </row>
    <row r="43" spans="1:3" ht="53.25" thickBot="1" x14ac:dyDescent="0.25">
      <c r="A43" s="27" t="s">
        <v>35</v>
      </c>
      <c r="B43" s="45" t="s">
        <v>36</v>
      </c>
      <c r="C43" s="46" t="str">
        <f>[27]С1!F23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[27]С2.1!E12</f>
        <v>V</v>
      </c>
    </row>
    <row r="47" spans="1:3" ht="25.5" x14ac:dyDescent="0.2">
      <c r="A47" s="22" t="s">
        <v>41</v>
      </c>
      <c r="B47" s="33" t="s">
        <v>42</v>
      </c>
      <c r="C47" s="51" t="str">
        <f>[27]С2.1!E13</f>
        <v>6 и менее баллов</v>
      </c>
    </row>
    <row r="48" spans="1:3" ht="25.5" x14ac:dyDescent="0.2">
      <c r="A48" s="22" t="s">
        <v>43</v>
      </c>
      <c r="B48" s="33" t="s">
        <v>241</v>
      </c>
      <c r="C48" s="51" t="str">
        <f>[27]С2.1!E14</f>
        <v>от 200 до 500</v>
      </c>
    </row>
    <row r="49" spans="1:3" ht="25.5" x14ac:dyDescent="0.2">
      <c r="A49" s="22" t="s">
        <v>45</v>
      </c>
      <c r="B49" s="33" t="s">
        <v>242</v>
      </c>
      <c r="C49" s="52" t="str">
        <f>[27]С2.1!E15</f>
        <v>нет</v>
      </c>
    </row>
    <row r="50" spans="1:3" ht="30" x14ac:dyDescent="0.2">
      <c r="A50" s="22" t="s">
        <v>47</v>
      </c>
      <c r="B50" s="33" t="s">
        <v>48</v>
      </c>
      <c r="C50" s="34">
        <f>[27]С2!F18</f>
        <v>38910.02669467502</v>
      </c>
    </row>
    <row r="51" spans="1:3" ht="30" x14ac:dyDescent="0.2">
      <c r="A51" s="22" t="s">
        <v>49</v>
      </c>
      <c r="B51" s="53" t="s">
        <v>50</v>
      </c>
      <c r="C51" s="34">
        <f>IF([27]С2!F19&gt;0,[27]С2!F19,[27]С2!F20)</f>
        <v>23441.524932855718</v>
      </c>
    </row>
    <row r="52" spans="1:3" ht="25.5" x14ac:dyDescent="0.2">
      <c r="A52" s="22" t="s">
        <v>51</v>
      </c>
      <c r="B52" s="54" t="s">
        <v>52</v>
      </c>
      <c r="C52" s="34">
        <f>[27]С2.1!E20</f>
        <v>-38</v>
      </c>
    </row>
    <row r="53" spans="1:3" ht="25.5" x14ac:dyDescent="0.2">
      <c r="A53" s="22" t="s">
        <v>53</v>
      </c>
      <c r="B53" s="54" t="s">
        <v>54</v>
      </c>
      <c r="C53" s="34" t="str">
        <f>[27]С2.1!E23</f>
        <v>нет</v>
      </c>
    </row>
    <row r="54" spans="1:3" ht="38.25" x14ac:dyDescent="0.2">
      <c r="A54" s="22" t="s">
        <v>55</v>
      </c>
      <c r="B54" s="55" t="s">
        <v>56</v>
      </c>
      <c r="C54" s="34">
        <f>[27]С2.2!E10</f>
        <v>1287</v>
      </c>
    </row>
    <row r="55" spans="1:3" ht="25.5" x14ac:dyDescent="0.2">
      <c r="A55" s="22" t="s">
        <v>57</v>
      </c>
      <c r="B55" s="56" t="s">
        <v>58</v>
      </c>
      <c r="C55" s="34">
        <f>[27]С2.2!E12</f>
        <v>5.97</v>
      </c>
    </row>
    <row r="56" spans="1:3" ht="52.5" x14ac:dyDescent="0.2">
      <c r="A56" s="22" t="s">
        <v>59</v>
      </c>
      <c r="B56" s="57" t="s">
        <v>60</v>
      </c>
      <c r="C56" s="34">
        <f>[27]С2.2!E13</f>
        <v>1</v>
      </c>
    </row>
    <row r="57" spans="1:3" ht="27.75" x14ac:dyDescent="0.2">
      <c r="A57" s="22" t="s">
        <v>61</v>
      </c>
      <c r="B57" s="56" t="s">
        <v>62</v>
      </c>
      <c r="C57" s="34">
        <f>[27]С2.2!E14</f>
        <v>12104</v>
      </c>
    </row>
    <row r="58" spans="1:3" ht="25.5" x14ac:dyDescent="0.2">
      <c r="A58" s="22" t="s">
        <v>63</v>
      </c>
      <c r="B58" s="57" t="s">
        <v>64</v>
      </c>
      <c r="C58" s="35">
        <f>[27]С2.2!E15</f>
        <v>4.8000000000000001E-2</v>
      </c>
    </row>
    <row r="59" spans="1:3" x14ac:dyDescent="0.2">
      <c r="A59" s="22" t="s">
        <v>65</v>
      </c>
      <c r="B59" s="57" t="s">
        <v>66</v>
      </c>
      <c r="C59" s="124">
        <f>[27]С2.2!E16</f>
        <v>1</v>
      </c>
    </row>
    <row r="60" spans="1:3" ht="15.75" x14ac:dyDescent="0.2">
      <c r="A60" s="22" t="s">
        <v>67</v>
      </c>
      <c r="B60" s="58" t="s">
        <v>68</v>
      </c>
      <c r="C60" s="34">
        <f>[27]С2!F21</f>
        <v>1</v>
      </c>
    </row>
    <row r="61" spans="1:3" ht="30" x14ac:dyDescent="0.2">
      <c r="A61" s="59" t="s">
        <v>69</v>
      </c>
      <c r="B61" s="33" t="s">
        <v>243</v>
      </c>
      <c r="C61" s="34">
        <f>[27]С2!F13</f>
        <v>116526.45062105893</v>
      </c>
    </row>
    <row r="62" spans="1:3" ht="30" x14ac:dyDescent="0.2">
      <c r="A62" s="59" t="s">
        <v>71</v>
      </c>
      <c r="B62" s="60" t="s">
        <v>244</v>
      </c>
      <c r="C62" s="34">
        <f>[27]С2!F14</f>
        <v>64899</v>
      </c>
    </row>
    <row r="63" spans="1:3" ht="15.75" x14ac:dyDescent="0.2">
      <c r="A63" s="59" t="s">
        <v>73</v>
      </c>
      <c r="B63" s="60" t="s">
        <v>74</v>
      </c>
      <c r="C63" s="40">
        <f>[27]С2!F15</f>
        <v>1.071</v>
      </c>
    </row>
    <row r="64" spans="1:3" ht="15.75" x14ac:dyDescent="0.2">
      <c r="A64" s="59" t="s">
        <v>75</v>
      </c>
      <c r="B64" s="60" t="s">
        <v>76</v>
      </c>
      <c r="C64" s="125">
        <f>[27]С2!F16</f>
        <v>1</v>
      </c>
    </row>
    <row r="65" spans="1:3" ht="17.25" x14ac:dyDescent="0.2">
      <c r="A65" s="59" t="s">
        <v>77</v>
      </c>
      <c r="B65" s="60" t="s">
        <v>78</v>
      </c>
      <c r="C65" s="126">
        <f>[27]С2!F17</f>
        <v>1.01</v>
      </c>
    </row>
    <row r="66" spans="1:3" s="63" customFormat="1" ht="14.25" x14ac:dyDescent="0.2">
      <c r="A66" s="59" t="s">
        <v>79</v>
      </c>
      <c r="B66" s="61" t="s">
        <v>80</v>
      </c>
      <c r="C66" s="62">
        <f>[27]С2!F35</f>
        <v>10</v>
      </c>
    </row>
    <row r="67" spans="1:3" ht="30" x14ac:dyDescent="0.2">
      <c r="A67" s="59" t="s">
        <v>81</v>
      </c>
      <c r="B67" s="64" t="s">
        <v>82</v>
      </c>
      <c r="C67" s="34">
        <f>[27]С2!F28</f>
        <v>366.91081711820414</v>
      </c>
    </row>
    <row r="68" spans="1:3" ht="17.25" x14ac:dyDescent="0.2">
      <c r="A68" s="59" t="s">
        <v>83</v>
      </c>
      <c r="B68" s="53" t="s">
        <v>245</v>
      </c>
      <c r="C68" s="40">
        <f>[27]С2!F29</f>
        <v>0.44209422600000003</v>
      </c>
    </row>
    <row r="69" spans="1:3" ht="17.25" x14ac:dyDescent="0.2">
      <c r="A69" s="59" t="s">
        <v>85</v>
      </c>
      <c r="B69" s="58" t="s">
        <v>246</v>
      </c>
      <c r="C69" s="62">
        <f>[27]С2!F30</f>
        <v>500</v>
      </c>
    </row>
    <row r="70" spans="1:3" ht="42.75" x14ac:dyDescent="0.2">
      <c r="A70" s="59" t="s">
        <v>87</v>
      </c>
      <c r="B70" s="33" t="s">
        <v>247</v>
      </c>
      <c r="C70" s="34">
        <f>[27]С2!F22</f>
        <v>43932.649760529566</v>
      </c>
    </row>
    <row r="71" spans="1:3" ht="30" x14ac:dyDescent="0.2">
      <c r="A71" s="59" t="s">
        <v>89</v>
      </c>
      <c r="B71" s="60" t="s">
        <v>248</v>
      </c>
      <c r="C71" s="34">
        <f>[27]С2!F23</f>
        <v>21</v>
      </c>
    </row>
    <row r="72" spans="1:3" ht="30" x14ac:dyDescent="0.2">
      <c r="A72" s="59" t="s">
        <v>91</v>
      </c>
      <c r="B72" s="53" t="s">
        <v>92</v>
      </c>
      <c r="C72" s="34">
        <f>[27]С2.1!E28</f>
        <v>14036.09995</v>
      </c>
    </row>
    <row r="73" spans="1:3" ht="38.25" x14ac:dyDescent="0.2">
      <c r="A73" s="59" t="s">
        <v>93</v>
      </c>
      <c r="B73" s="65" t="s">
        <v>94</v>
      </c>
      <c r="C73" s="52">
        <f>[27]С2.3!E21</f>
        <v>0</v>
      </c>
    </row>
    <row r="74" spans="1:3" ht="25.5" x14ac:dyDescent="0.2">
      <c r="A74" s="59" t="s">
        <v>95</v>
      </c>
      <c r="B74" s="66" t="s">
        <v>96</v>
      </c>
      <c r="C74" s="67">
        <f>[27]С2.3!E11</f>
        <v>5.45</v>
      </c>
    </row>
    <row r="75" spans="1:3" ht="25.5" x14ac:dyDescent="0.2">
      <c r="A75" s="59" t="s">
        <v>97</v>
      </c>
      <c r="B75" s="66" t="s">
        <v>98</v>
      </c>
      <c r="C75" s="62">
        <f>[27]С2.3!E13</f>
        <v>300</v>
      </c>
    </row>
    <row r="76" spans="1:3" ht="25.5" x14ac:dyDescent="0.2">
      <c r="A76" s="59" t="s">
        <v>99</v>
      </c>
      <c r="B76" s="65" t="s">
        <v>100</v>
      </c>
      <c r="C76" s="68">
        <f>IF([27]С2.3!E22&gt;0,[27]С2.3!E22,[27]С2.3!E14)</f>
        <v>61211</v>
      </c>
    </row>
    <row r="77" spans="1:3" ht="38.25" x14ac:dyDescent="0.2">
      <c r="A77" s="59" t="s">
        <v>101</v>
      </c>
      <c r="B77" s="65" t="s">
        <v>102</v>
      </c>
      <c r="C77" s="68">
        <f>IF([27]С2.3!E23&gt;0,[27]С2.3!E23,[27]С2.3!E15)</f>
        <v>45675</v>
      </c>
    </row>
    <row r="78" spans="1:3" ht="30" x14ac:dyDescent="0.2">
      <c r="A78" s="59" t="s">
        <v>103</v>
      </c>
      <c r="B78" s="53" t="s">
        <v>104</v>
      </c>
      <c r="C78" s="34">
        <f>[27]С2.1!E29</f>
        <v>9518.3274000000001</v>
      </c>
    </row>
    <row r="79" spans="1:3" ht="38.25" x14ac:dyDescent="0.2">
      <c r="A79" s="59" t="s">
        <v>105</v>
      </c>
      <c r="B79" s="65" t="s">
        <v>106</v>
      </c>
      <c r="C79" s="52">
        <f>[27]С2.3!E25</f>
        <v>0</v>
      </c>
    </row>
    <row r="80" spans="1:3" ht="25.5" x14ac:dyDescent="0.2">
      <c r="A80" s="59" t="s">
        <v>107</v>
      </c>
      <c r="B80" s="66" t="s">
        <v>108</v>
      </c>
      <c r="C80" s="67">
        <f>[27]С2.3!E12</f>
        <v>0.2</v>
      </c>
    </row>
    <row r="81" spans="1:3" ht="25.5" x14ac:dyDescent="0.2">
      <c r="A81" s="59" t="s">
        <v>109</v>
      </c>
      <c r="B81" s="66" t="s">
        <v>98</v>
      </c>
      <c r="C81" s="62">
        <f>[27]С2.3!E13</f>
        <v>300</v>
      </c>
    </row>
    <row r="82" spans="1:3" ht="25.5" x14ac:dyDescent="0.2">
      <c r="A82" s="59" t="s">
        <v>110</v>
      </c>
      <c r="B82" s="69" t="s">
        <v>111</v>
      </c>
      <c r="C82" s="68">
        <f>IF([27]С2.3!E26&gt;0,[27]С2.3!E26,[27]С2.3!E16)</f>
        <v>65637</v>
      </c>
    </row>
    <row r="83" spans="1:3" ht="38.25" x14ac:dyDescent="0.2">
      <c r="A83" s="59" t="s">
        <v>112</v>
      </c>
      <c r="B83" s="69" t="s">
        <v>113</v>
      </c>
      <c r="C83" s="68">
        <f>IF([27]С2.3!E27&gt;0,[27]С2.3!E27,[27]С2.3!E17)</f>
        <v>31684</v>
      </c>
    </row>
    <row r="84" spans="1:3" ht="30" x14ac:dyDescent="0.2">
      <c r="A84" s="59" t="s">
        <v>249</v>
      </c>
      <c r="B84" s="60" t="s">
        <v>250</v>
      </c>
      <c r="C84" s="68">
        <f>IF([27]С2.1!E19&gt;0,[27]С2.1!E19,[27]С2!F26)</f>
        <v>2892</v>
      </c>
    </row>
    <row r="85" spans="1:3" ht="17.25" x14ac:dyDescent="0.2">
      <c r="A85" s="59" t="s">
        <v>114</v>
      </c>
      <c r="B85" s="33" t="s">
        <v>115</v>
      </c>
      <c r="C85" s="35">
        <f>[27]С2!F31</f>
        <v>0.17804631770487722</v>
      </c>
    </row>
    <row r="86" spans="1:3" ht="30" x14ac:dyDescent="0.2">
      <c r="A86" s="59" t="s">
        <v>116</v>
      </c>
      <c r="B86" s="53" t="s">
        <v>117</v>
      </c>
      <c r="C86" s="70">
        <f>[27]С2!F32</f>
        <v>0.1652189781021898</v>
      </c>
    </row>
    <row r="87" spans="1:3" ht="17.25" x14ac:dyDescent="0.2">
      <c r="A87" s="59" t="s">
        <v>118</v>
      </c>
      <c r="B87" s="71" t="s">
        <v>119</v>
      </c>
      <c r="C87" s="35">
        <f>[27]С2!F33</f>
        <v>0.13880000000000001</v>
      </c>
    </row>
    <row r="88" spans="1:3" s="63" customFormat="1" ht="18" thickBot="1" x14ac:dyDescent="0.25">
      <c r="A88" s="72" t="s">
        <v>120</v>
      </c>
      <c r="B88" s="73" t="s">
        <v>121</v>
      </c>
      <c r="C88" s="74">
        <f>[27]С2!F34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[27]С3!F14</f>
        <v>10281.56929785238</v>
      </c>
    </row>
    <row r="92" spans="1:3" s="63" customFormat="1" ht="42.75" x14ac:dyDescent="0.2">
      <c r="A92" s="77" t="s">
        <v>126</v>
      </c>
      <c r="B92" s="53" t="s">
        <v>127</v>
      </c>
      <c r="C92" s="78">
        <f>[27]С3!F15</f>
        <v>0.25</v>
      </c>
    </row>
    <row r="93" spans="1:3" s="63" customFormat="1" ht="14.25" x14ac:dyDescent="0.2">
      <c r="A93" s="77" t="s">
        <v>128</v>
      </c>
      <c r="B93" s="79" t="s">
        <v>129</v>
      </c>
      <c r="C93" s="62">
        <f>[27]С3!F18</f>
        <v>15</v>
      </c>
    </row>
    <row r="94" spans="1:3" s="63" customFormat="1" ht="17.25" x14ac:dyDescent="0.2">
      <c r="A94" s="77" t="s">
        <v>130</v>
      </c>
      <c r="B94" s="33" t="s">
        <v>131</v>
      </c>
      <c r="C94" s="34">
        <f>[27]С3!F19</f>
        <v>2924.0805304518653</v>
      </c>
    </row>
    <row r="95" spans="1:3" s="63" customFormat="1" ht="55.5" x14ac:dyDescent="0.2">
      <c r="A95" s="77" t="s">
        <v>132</v>
      </c>
      <c r="B95" s="53" t="s">
        <v>133</v>
      </c>
      <c r="C95" s="80">
        <f>[27]С3!F20</f>
        <v>2.1999999999999999E-2</v>
      </c>
    </row>
    <row r="96" spans="1:3" s="63" customFormat="1" ht="14.25" x14ac:dyDescent="0.2">
      <c r="A96" s="77" t="s">
        <v>134</v>
      </c>
      <c r="B96" s="58" t="s">
        <v>80</v>
      </c>
      <c r="C96" s="62">
        <f>[27]С3!F21</f>
        <v>10</v>
      </c>
    </row>
    <row r="97" spans="1:3" s="63" customFormat="1" ht="17.25" x14ac:dyDescent="0.2">
      <c r="A97" s="77" t="s">
        <v>135</v>
      </c>
      <c r="B97" s="33" t="s">
        <v>136</v>
      </c>
      <c r="C97" s="34">
        <f>[27]С3!F22</f>
        <v>1.1007324513546124</v>
      </c>
    </row>
    <row r="98" spans="1:3" s="63" customFormat="1" ht="55.5" x14ac:dyDescent="0.2">
      <c r="A98" s="77" t="s">
        <v>137</v>
      </c>
      <c r="B98" s="53" t="s">
        <v>138</v>
      </c>
      <c r="C98" s="80">
        <f>[27]С3!F23</f>
        <v>3.0000000000000001E-3</v>
      </c>
    </row>
    <row r="99" spans="1:3" s="63" customFormat="1" ht="30.75" thickBot="1" x14ac:dyDescent="0.25">
      <c r="A99" s="81" t="s">
        <v>139</v>
      </c>
      <c r="B99" s="82" t="s">
        <v>82</v>
      </c>
      <c r="C99" s="83">
        <f>[27]С3!F24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[27]С4!F16</f>
        <v>832.33500000000004</v>
      </c>
    </row>
    <row r="103" spans="1:3" ht="30" x14ac:dyDescent="0.2">
      <c r="A103" s="59" t="s">
        <v>145</v>
      </c>
      <c r="B103" s="58" t="s">
        <v>252</v>
      </c>
      <c r="C103" s="34">
        <f>[27]С4!F17</f>
        <v>43385</v>
      </c>
    </row>
    <row r="104" spans="1:3" ht="17.25" x14ac:dyDescent="0.2">
      <c r="A104" s="59" t="s">
        <v>147</v>
      </c>
      <c r="B104" s="58" t="s">
        <v>148</v>
      </c>
      <c r="C104" s="40">
        <f>[27]С4!F18</f>
        <v>1.4999999999999999E-2</v>
      </c>
    </row>
    <row r="105" spans="1:3" ht="30" x14ac:dyDescent="0.2">
      <c r="A105" s="59" t="s">
        <v>149</v>
      </c>
      <c r="B105" s="58" t="s">
        <v>150</v>
      </c>
      <c r="C105" s="34">
        <f>[27]С4!F19</f>
        <v>12104</v>
      </c>
    </row>
    <row r="106" spans="1:3" ht="31.5" x14ac:dyDescent="0.2">
      <c r="A106" s="59" t="s">
        <v>151</v>
      </c>
      <c r="B106" s="58" t="s">
        <v>152</v>
      </c>
      <c r="C106" s="40">
        <f>[27]С4!F20</f>
        <v>1.4999999999999999E-2</v>
      </c>
    </row>
    <row r="107" spans="1:3" ht="30" x14ac:dyDescent="0.2">
      <c r="A107" s="59" t="s">
        <v>153</v>
      </c>
      <c r="B107" s="33" t="s">
        <v>253</v>
      </c>
      <c r="C107" s="34">
        <f>[27]С4!F21</f>
        <v>1221.9019409821399</v>
      </c>
    </row>
    <row r="108" spans="1:3" ht="45.6" customHeight="1" x14ac:dyDescent="0.2">
      <c r="A108" s="59" t="s">
        <v>155</v>
      </c>
      <c r="B108" s="53" t="s">
        <v>156</v>
      </c>
      <c r="C108" s="85" t="str">
        <f>IF([27]С4.2!F8="да",[27]С4.2!D21,[27]С4.2!D15)</f>
        <v>АО "Новосибирскэнергосбыт"</v>
      </c>
    </row>
    <row r="109" spans="1:3" ht="68.25" customHeight="1" x14ac:dyDescent="0.2">
      <c r="A109" s="59" t="s">
        <v>157</v>
      </c>
      <c r="B109" s="53" t="s">
        <v>158</v>
      </c>
      <c r="C109" s="34">
        <f>[27]С4!F22</f>
        <v>3.6112641666666665</v>
      </c>
    </row>
    <row r="110" spans="1:3" ht="30" x14ac:dyDescent="0.2">
      <c r="A110" s="59" t="s">
        <v>159</v>
      </c>
      <c r="B110" s="58" t="s">
        <v>254</v>
      </c>
      <c r="C110" s="62">
        <f>[27]С4!F23</f>
        <v>110</v>
      </c>
    </row>
    <row r="111" spans="1:3" ht="14.25" x14ac:dyDescent="0.2">
      <c r="A111" s="59" t="s">
        <v>161</v>
      </c>
      <c r="B111" s="53" t="s">
        <v>162</v>
      </c>
      <c r="C111" s="34">
        <f>[27]С4!F24</f>
        <v>8497.1999999999989</v>
      </c>
    </row>
    <row r="112" spans="1:3" ht="14.25" x14ac:dyDescent="0.2">
      <c r="A112" s="59" t="s">
        <v>163</v>
      </c>
      <c r="B112" s="58" t="s">
        <v>164</v>
      </c>
      <c r="C112" s="40">
        <f>[27]С4!F25</f>
        <v>0.36199999999999999</v>
      </c>
    </row>
    <row r="113" spans="1:3" ht="17.25" x14ac:dyDescent="0.2">
      <c r="A113" s="59" t="s">
        <v>165</v>
      </c>
      <c r="B113" s="33" t="s">
        <v>166</v>
      </c>
      <c r="C113" s="34">
        <f>[27]С4!F26</f>
        <v>26.476980000000001</v>
      </c>
    </row>
    <row r="114" spans="1:3" ht="25.5" x14ac:dyDescent="0.2">
      <c r="A114" s="59" t="s">
        <v>167</v>
      </c>
      <c r="B114" s="53" t="s">
        <v>94</v>
      </c>
      <c r="C114" s="85">
        <f>[27]С4.3!E16</f>
        <v>0</v>
      </c>
    </row>
    <row r="115" spans="1:3" ht="25.5" x14ac:dyDescent="0.2">
      <c r="A115" s="59" t="s">
        <v>168</v>
      </c>
      <c r="B115" s="53" t="s">
        <v>169</v>
      </c>
      <c r="C115" s="34">
        <f>[27]С4.3!E17</f>
        <v>13.48</v>
      </c>
    </row>
    <row r="116" spans="1:3" ht="38.25" x14ac:dyDescent="0.2">
      <c r="A116" s="59" t="s">
        <v>170</v>
      </c>
      <c r="B116" s="53" t="s">
        <v>106</v>
      </c>
      <c r="C116" s="85">
        <f>[27]С4.3!E18</f>
        <v>0</v>
      </c>
    </row>
    <row r="117" spans="1:3" x14ac:dyDescent="0.2">
      <c r="A117" s="59" t="s">
        <v>171</v>
      </c>
      <c r="B117" s="53" t="s">
        <v>172</v>
      </c>
      <c r="C117" s="34">
        <f>[27]С4.3!E19</f>
        <v>5.94</v>
      </c>
    </row>
    <row r="118" spans="1:3" x14ac:dyDescent="0.2">
      <c r="A118" s="59" t="s">
        <v>173</v>
      </c>
      <c r="B118" s="58" t="s">
        <v>174</v>
      </c>
      <c r="C118" s="62">
        <f>[27]С4.3!E11</f>
        <v>1871</v>
      </c>
    </row>
    <row r="119" spans="1:3" x14ac:dyDescent="0.2">
      <c r="A119" s="59" t="s">
        <v>175</v>
      </c>
      <c r="B119" s="58" t="s">
        <v>176</v>
      </c>
      <c r="C119" s="52">
        <f>[27]С4.3!E12</f>
        <v>61</v>
      </c>
    </row>
    <row r="120" spans="1:3" x14ac:dyDescent="0.2">
      <c r="A120" s="59" t="s">
        <v>177</v>
      </c>
      <c r="B120" s="58" t="s">
        <v>178</v>
      </c>
      <c r="C120" s="52">
        <f>[27]С4.3!E13</f>
        <v>73</v>
      </c>
    </row>
    <row r="121" spans="1:3" ht="30" x14ac:dyDescent="0.2">
      <c r="A121" s="59" t="s">
        <v>179</v>
      </c>
      <c r="B121" s="33" t="s">
        <v>255</v>
      </c>
      <c r="C121" s="34">
        <f>[27]С4!F27</f>
        <v>904.62444244124072</v>
      </c>
    </row>
    <row r="122" spans="1:3" ht="25.5" x14ac:dyDescent="0.2">
      <c r="A122" s="59" t="s">
        <v>181</v>
      </c>
      <c r="B122" s="53" t="s">
        <v>256</v>
      </c>
      <c r="C122" s="34">
        <f>[27]С4!F28</f>
        <v>694.79603874135228</v>
      </c>
    </row>
    <row r="123" spans="1:3" ht="42.75" x14ac:dyDescent="0.2">
      <c r="A123" s="59" t="s">
        <v>183</v>
      </c>
      <c r="B123" s="53" t="s">
        <v>184</v>
      </c>
      <c r="C123" s="34">
        <f>[27]С4!F29</f>
        <v>209.82840369988838</v>
      </c>
    </row>
    <row r="124" spans="1:3" ht="30.75" thickBot="1" x14ac:dyDescent="0.25">
      <c r="A124" s="72" t="s">
        <v>185</v>
      </c>
      <c r="B124" s="90" t="s">
        <v>186</v>
      </c>
      <c r="C124" s="83">
        <f>[27]С4!F30</f>
        <v>806.69182552501252</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[27]С5!F17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IF([27]С6.1!E11="нет",[27]С6!F13,"")</f>
        <v/>
      </c>
    </row>
    <row r="131" spans="1:3" ht="42.75" x14ac:dyDescent="0.2">
      <c r="A131" s="59" t="s">
        <v>204</v>
      </c>
      <c r="B131" s="86" t="s">
        <v>205</v>
      </c>
      <c r="C131" s="92" t="str">
        <f>IF([27]С6.1!E12="нет",[27]С6.1!E17,"")</f>
        <v/>
      </c>
    </row>
    <row r="132" spans="1:3" ht="68.25" x14ac:dyDescent="0.2">
      <c r="A132" s="59" t="s">
        <v>206</v>
      </c>
      <c r="B132" s="91" t="s">
        <v>207</v>
      </c>
      <c r="C132" s="127" t="str">
        <f>IF([27]С6.1!E18="нет",[27]С6!F19,"")</f>
        <v/>
      </c>
    </row>
    <row r="133" spans="1:3" ht="55.5" x14ac:dyDescent="0.2">
      <c r="A133" s="59" t="s">
        <v>208</v>
      </c>
      <c r="B133" s="86" t="s">
        <v>209</v>
      </c>
      <c r="C133" s="35" t="str">
        <f>IF([27]С6.1!E18="нет",[27]С6.1!E19,"")</f>
        <v/>
      </c>
    </row>
    <row r="134" spans="1:3" ht="61.5" customHeight="1" x14ac:dyDescent="0.2">
      <c r="A134" s="59" t="s">
        <v>210</v>
      </c>
      <c r="B134" s="86" t="s">
        <v>257</v>
      </c>
      <c r="C134" s="35" t="str">
        <f>IF([27]С6.1!E18="нет",[27]С6.1!E22,"")</f>
        <v/>
      </c>
    </row>
    <row r="135" spans="1:3" ht="69" thickBot="1" x14ac:dyDescent="0.25">
      <c r="A135" s="72" t="s">
        <v>212</v>
      </c>
      <c r="B135" s="98" t="s">
        <v>213</v>
      </c>
      <c r="C135" s="74" t="str">
        <f>IF([27]С6.1!E18="нет",[27]С6.1!E23,"")</f>
        <v/>
      </c>
    </row>
    <row r="136" spans="1:3" s="89" customFormat="1" ht="13.5" thickBot="1" x14ac:dyDescent="0.25">
      <c r="A136" s="47"/>
      <c r="B136" s="75"/>
      <c r="C136" s="15"/>
    </row>
    <row r="137" spans="1:3" ht="15.75" x14ac:dyDescent="0.2">
      <c r="A137" s="84" t="s">
        <v>214</v>
      </c>
      <c r="B137" s="99" t="s">
        <v>215</v>
      </c>
      <c r="C137" s="100">
        <f>[27]С2!F39</f>
        <v>21.531904799999996</v>
      </c>
    </row>
    <row r="138" spans="1:3" ht="14.25" x14ac:dyDescent="0.2">
      <c r="A138" s="59" t="s">
        <v>216</v>
      </c>
      <c r="B138" s="58" t="s">
        <v>217</v>
      </c>
      <c r="C138" s="34">
        <f>[27]С2!F40</f>
        <v>7</v>
      </c>
    </row>
    <row r="139" spans="1:3" ht="17.25" x14ac:dyDescent="0.2">
      <c r="A139" s="59" t="s">
        <v>218</v>
      </c>
      <c r="B139" s="58" t="s">
        <v>219</v>
      </c>
      <c r="C139" s="34">
        <f>[27]С2!F42</f>
        <v>0.97</v>
      </c>
    </row>
    <row r="140" spans="1:3" ht="15" thickBot="1" x14ac:dyDescent="0.25">
      <c r="A140" s="72" t="s">
        <v>220</v>
      </c>
      <c r="B140" s="73" t="s">
        <v>221</v>
      </c>
      <c r="C140" s="46">
        <f>[27]С2!F44</f>
        <v>0.36199999999999999</v>
      </c>
    </row>
    <row r="141" spans="1:3" s="89" customFormat="1" ht="13.5" thickBot="1" x14ac:dyDescent="0.25">
      <c r="A141" s="47"/>
      <c r="B141" s="75"/>
      <c r="C141" s="15"/>
    </row>
    <row r="142" spans="1:3" ht="17.25" x14ac:dyDescent="0.2">
      <c r="A142" s="84" t="s">
        <v>222</v>
      </c>
      <c r="B142" s="103" t="s">
        <v>258</v>
      </c>
      <c r="C142" s="128">
        <f>[27]С2!F37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[27]С2.5!$E$11</f>
        <v>-2.9000000000000026E-2</v>
      </c>
    </row>
    <row r="146" spans="1:3" x14ac:dyDescent="0.2">
      <c r="B146" s="131">
        <f>B145+1</f>
        <v>2021</v>
      </c>
      <c r="C146" s="133">
        <f>[27]С2.5!$F$11</f>
        <v>0.245</v>
      </c>
    </row>
    <row r="147" spans="1:3" x14ac:dyDescent="0.2">
      <c r="B147" s="131">
        <f t="shared" ref="B147:B210" si="0">B146+1</f>
        <v>2022</v>
      </c>
      <c r="C147" s="134">
        <f>[27]С2.5!$G$11</f>
        <v>0.114</v>
      </c>
    </row>
    <row r="148" spans="1:3" x14ac:dyDescent="0.2">
      <c r="B148" s="110">
        <f t="shared" si="0"/>
        <v>2023</v>
      </c>
      <c r="C148" s="135">
        <f>[27]С2.5!$H$11</f>
        <v>0.04</v>
      </c>
    </row>
    <row r="149" spans="1:3" x14ac:dyDescent="0.2">
      <c r="B149" s="110">
        <f t="shared" si="0"/>
        <v>2024</v>
      </c>
      <c r="C149" s="135">
        <f>[27]С2.5!$I$11</f>
        <v>0.11700000000000001</v>
      </c>
    </row>
    <row r="150" spans="1:3" ht="13.5" thickBot="1" x14ac:dyDescent="0.25">
      <c r="B150" s="110">
        <f t="shared" si="0"/>
        <v>2025</v>
      </c>
      <c r="C150" s="135">
        <f>[27]С2.5!$J$11</f>
        <v>6.0999999999999999E-2</v>
      </c>
    </row>
    <row r="151" spans="1:3" ht="13.5" hidden="1" thickBot="1" x14ac:dyDescent="0.25">
      <c r="B151" s="110">
        <f t="shared" si="0"/>
        <v>2026</v>
      </c>
      <c r="C151" s="135">
        <f>[27]С2.5!$K$11</f>
        <v>0</v>
      </c>
    </row>
    <row r="152" spans="1:3" ht="13.5" hidden="1" thickBot="1" x14ac:dyDescent="0.25">
      <c r="B152" s="110">
        <f t="shared" si="0"/>
        <v>2027</v>
      </c>
      <c r="C152" s="135">
        <f>[27]С2.5!$L$11</f>
        <v>0</v>
      </c>
    </row>
    <row r="153" spans="1:3" ht="13.5" hidden="1" thickBot="1" x14ac:dyDescent="0.25">
      <c r="B153" s="110">
        <f t="shared" si="0"/>
        <v>2028</v>
      </c>
      <c r="C153" s="135">
        <f>[27]С2.5!$M$11</f>
        <v>0</v>
      </c>
    </row>
    <row r="154" spans="1:3" ht="13.5" hidden="1" thickBot="1" x14ac:dyDescent="0.25">
      <c r="B154" s="110">
        <f t="shared" si="0"/>
        <v>2029</v>
      </c>
      <c r="C154" s="135">
        <f>[27]С2.5!$N$11</f>
        <v>0</v>
      </c>
    </row>
    <row r="155" spans="1:3" ht="13.5" hidden="1" thickBot="1" x14ac:dyDescent="0.25">
      <c r="B155" s="110">
        <f t="shared" si="0"/>
        <v>2030</v>
      </c>
      <c r="C155" s="135">
        <f>[27]С2.5!$O$11</f>
        <v>0</v>
      </c>
    </row>
    <row r="156" spans="1:3" ht="13.5" hidden="1" thickBot="1" x14ac:dyDescent="0.25">
      <c r="B156" s="110">
        <f t="shared" si="0"/>
        <v>2031</v>
      </c>
      <c r="C156" s="135">
        <f>[27]С2.5!$P$11</f>
        <v>0</v>
      </c>
    </row>
    <row r="157" spans="1:3" ht="13.5" hidden="1" thickBot="1" x14ac:dyDescent="0.25">
      <c r="B157" s="110">
        <f t="shared" si="0"/>
        <v>2032</v>
      </c>
      <c r="C157" s="135">
        <f>[27]С2.5!$Q$11</f>
        <v>0</v>
      </c>
    </row>
    <row r="158" spans="1:3" ht="13.5" hidden="1" thickBot="1" x14ac:dyDescent="0.25">
      <c r="B158" s="110">
        <f t="shared" si="0"/>
        <v>2033</v>
      </c>
      <c r="C158" s="135">
        <f>[27]С2.5!$R$11</f>
        <v>0</v>
      </c>
    </row>
    <row r="159" spans="1:3" ht="13.5" hidden="1" thickBot="1" x14ac:dyDescent="0.25">
      <c r="B159" s="110">
        <f t="shared" si="0"/>
        <v>2034</v>
      </c>
      <c r="C159" s="135">
        <f>[27]С2.5!$S$11</f>
        <v>0</v>
      </c>
    </row>
    <row r="160" spans="1:3" ht="13.5" hidden="1" thickBot="1" x14ac:dyDescent="0.25">
      <c r="B160" s="110">
        <f t="shared" si="0"/>
        <v>2035</v>
      </c>
      <c r="C160" s="135">
        <f>[27]С2.5!$T$11</f>
        <v>0</v>
      </c>
    </row>
    <row r="161" spans="2:3" ht="13.5" hidden="1" thickBot="1" x14ac:dyDescent="0.25">
      <c r="B161" s="110">
        <f t="shared" si="0"/>
        <v>2036</v>
      </c>
      <c r="C161" s="135">
        <f>[27]С2.5!$U$11</f>
        <v>0</v>
      </c>
    </row>
    <row r="162" spans="2:3" ht="13.5" hidden="1" thickBot="1" x14ac:dyDescent="0.25">
      <c r="B162" s="110">
        <f t="shared" si="0"/>
        <v>2037</v>
      </c>
      <c r="C162" s="135">
        <f>[27]С2.5!$V$11</f>
        <v>0</v>
      </c>
    </row>
    <row r="163" spans="2:3" ht="13.5" hidden="1" thickBot="1" x14ac:dyDescent="0.25">
      <c r="B163" s="110">
        <f t="shared" si="0"/>
        <v>2038</v>
      </c>
      <c r="C163" s="135">
        <f>[27]С2.5!$W$11</f>
        <v>0</v>
      </c>
    </row>
    <row r="164" spans="2:3" ht="13.5" hidden="1" thickBot="1" x14ac:dyDescent="0.25">
      <c r="B164" s="110">
        <f t="shared" si="0"/>
        <v>2039</v>
      </c>
      <c r="C164" s="135">
        <f>[27]С2.5!$X$11</f>
        <v>0</v>
      </c>
    </row>
    <row r="165" spans="2:3" ht="13.5" hidden="1" thickBot="1" x14ac:dyDescent="0.25">
      <c r="B165" s="110">
        <f t="shared" si="0"/>
        <v>2040</v>
      </c>
      <c r="C165" s="135">
        <f>[27]С2.5!$Y$11</f>
        <v>0</v>
      </c>
    </row>
    <row r="166" spans="2:3" ht="13.5" hidden="1" thickBot="1" x14ac:dyDescent="0.25">
      <c r="B166" s="110">
        <f t="shared" si="0"/>
        <v>2041</v>
      </c>
      <c r="C166" s="135">
        <f>[27]С2.5!$Z$11</f>
        <v>0</v>
      </c>
    </row>
    <row r="167" spans="2:3" ht="13.5" hidden="1" thickBot="1" x14ac:dyDescent="0.25">
      <c r="B167" s="110">
        <f t="shared" si="0"/>
        <v>2042</v>
      </c>
      <c r="C167" s="135">
        <f>[27]С2.5!$AA$11</f>
        <v>0</v>
      </c>
    </row>
    <row r="168" spans="2:3" ht="13.5" hidden="1" thickBot="1" x14ac:dyDescent="0.25">
      <c r="B168" s="110">
        <f t="shared" si="0"/>
        <v>2043</v>
      </c>
      <c r="C168" s="135">
        <f>[27]С2.5!$AB$11</f>
        <v>0</v>
      </c>
    </row>
    <row r="169" spans="2:3" ht="13.5" hidden="1" thickBot="1" x14ac:dyDescent="0.25">
      <c r="B169" s="110">
        <f t="shared" si="0"/>
        <v>2044</v>
      </c>
      <c r="C169" s="135">
        <f>[27]С2.5!$AC$11</f>
        <v>0</v>
      </c>
    </row>
    <row r="170" spans="2:3" ht="13.5" hidden="1" thickBot="1" x14ac:dyDescent="0.25">
      <c r="B170" s="110">
        <f t="shared" si="0"/>
        <v>2045</v>
      </c>
      <c r="C170" s="135">
        <f>[27]С2.5!$AD$11</f>
        <v>0</v>
      </c>
    </row>
    <row r="171" spans="2:3" ht="13.5" hidden="1" thickBot="1" x14ac:dyDescent="0.25">
      <c r="B171" s="110">
        <f t="shared" si="0"/>
        <v>2046</v>
      </c>
      <c r="C171" s="135">
        <f>[27]С2.5!$AE$11</f>
        <v>0</v>
      </c>
    </row>
    <row r="172" spans="2:3" ht="13.5" hidden="1" thickBot="1" x14ac:dyDescent="0.25">
      <c r="B172" s="110">
        <f t="shared" si="0"/>
        <v>2047</v>
      </c>
      <c r="C172" s="135">
        <f>[27]С2.5!$AF$11</f>
        <v>0</v>
      </c>
    </row>
    <row r="173" spans="2:3" ht="13.5" hidden="1" thickBot="1" x14ac:dyDescent="0.25">
      <c r="B173" s="110">
        <f t="shared" si="0"/>
        <v>2048</v>
      </c>
      <c r="C173" s="135">
        <f>[27]С2.5!$AG$11</f>
        <v>0</v>
      </c>
    </row>
    <row r="174" spans="2:3" ht="13.5" hidden="1" thickBot="1" x14ac:dyDescent="0.25">
      <c r="B174" s="110">
        <f t="shared" si="0"/>
        <v>2049</v>
      </c>
      <c r="C174" s="135">
        <f>[27]С2.5!$AH$11</f>
        <v>0</v>
      </c>
    </row>
    <row r="175" spans="2:3" ht="13.5" hidden="1" thickBot="1" x14ac:dyDescent="0.25">
      <c r="B175" s="110">
        <f t="shared" si="0"/>
        <v>2050</v>
      </c>
      <c r="C175" s="135">
        <f>[27]С2.5!$AI$11</f>
        <v>0</v>
      </c>
    </row>
    <row r="176" spans="2:3" ht="13.5" hidden="1" thickBot="1" x14ac:dyDescent="0.25">
      <c r="B176" s="110">
        <f t="shared" si="0"/>
        <v>2051</v>
      </c>
      <c r="C176" s="135">
        <f>[27]С2.5!$AJ$11</f>
        <v>0</v>
      </c>
    </row>
    <row r="177" spans="2:3" ht="13.5" hidden="1" thickBot="1" x14ac:dyDescent="0.25">
      <c r="B177" s="110">
        <f t="shared" si="0"/>
        <v>2052</v>
      </c>
      <c r="C177" s="135">
        <f>[27]С2.5!$AK$11</f>
        <v>0</v>
      </c>
    </row>
    <row r="178" spans="2:3" ht="13.5" hidden="1" thickBot="1" x14ac:dyDescent="0.25">
      <c r="B178" s="110">
        <f t="shared" si="0"/>
        <v>2053</v>
      </c>
      <c r="C178" s="135">
        <f>[27]С2.5!$AL$11</f>
        <v>0</v>
      </c>
    </row>
    <row r="179" spans="2:3" ht="13.5" hidden="1" thickBot="1" x14ac:dyDescent="0.25">
      <c r="B179" s="110">
        <f t="shared" si="0"/>
        <v>2054</v>
      </c>
      <c r="C179" s="135">
        <f>[27]С2.5!$AM$11</f>
        <v>0</v>
      </c>
    </row>
    <row r="180" spans="2:3" ht="13.5" hidden="1" thickBot="1" x14ac:dyDescent="0.25">
      <c r="B180" s="110">
        <f t="shared" si="0"/>
        <v>2055</v>
      </c>
      <c r="C180" s="135">
        <f>[27]С2.5!$AN$11</f>
        <v>0</v>
      </c>
    </row>
    <row r="181" spans="2:3" ht="13.5" hidden="1" thickBot="1" x14ac:dyDescent="0.25">
      <c r="B181" s="110">
        <f t="shared" si="0"/>
        <v>2056</v>
      </c>
      <c r="C181" s="135">
        <f>[27]С2.5!$AO$11</f>
        <v>0</v>
      </c>
    </row>
    <row r="182" spans="2:3" ht="13.5" hidden="1" thickBot="1" x14ac:dyDescent="0.25">
      <c r="B182" s="110">
        <f t="shared" si="0"/>
        <v>2057</v>
      </c>
      <c r="C182" s="135">
        <f>[27]С2.5!$AP$11</f>
        <v>0</v>
      </c>
    </row>
    <row r="183" spans="2:3" ht="13.5" hidden="1" thickBot="1" x14ac:dyDescent="0.25">
      <c r="B183" s="110">
        <f t="shared" si="0"/>
        <v>2058</v>
      </c>
      <c r="C183" s="135">
        <f>[27]С2.5!$AQ$11</f>
        <v>0</v>
      </c>
    </row>
    <row r="184" spans="2:3" ht="13.5" hidden="1" thickBot="1" x14ac:dyDescent="0.25">
      <c r="B184" s="110">
        <f t="shared" si="0"/>
        <v>2059</v>
      </c>
      <c r="C184" s="135">
        <f>[27]С2.5!$AR$11</f>
        <v>0</v>
      </c>
    </row>
    <row r="185" spans="2:3" ht="13.5" hidden="1" thickBot="1" x14ac:dyDescent="0.25">
      <c r="B185" s="110">
        <f t="shared" si="0"/>
        <v>2060</v>
      </c>
      <c r="C185" s="135">
        <f>[27]С2.5!$AS$11</f>
        <v>0</v>
      </c>
    </row>
    <row r="186" spans="2:3" ht="13.5" hidden="1" thickBot="1" x14ac:dyDescent="0.25">
      <c r="B186" s="110">
        <f t="shared" si="0"/>
        <v>2061</v>
      </c>
      <c r="C186" s="135">
        <f>[27]С2.5!$AT$11</f>
        <v>0</v>
      </c>
    </row>
    <row r="187" spans="2:3" ht="13.5" hidden="1" thickBot="1" x14ac:dyDescent="0.25">
      <c r="B187" s="110">
        <f t="shared" si="0"/>
        <v>2062</v>
      </c>
      <c r="C187" s="135">
        <f>[27]С2.5!$AU$11</f>
        <v>0</v>
      </c>
    </row>
    <row r="188" spans="2:3" ht="13.5" hidden="1" thickBot="1" x14ac:dyDescent="0.25">
      <c r="B188" s="110">
        <f t="shared" si="0"/>
        <v>2063</v>
      </c>
      <c r="C188" s="135">
        <f>[27]С2.5!$AV$11</f>
        <v>0</v>
      </c>
    </row>
    <row r="189" spans="2:3" ht="13.5" hidden="1" thickBot="1" x14ac:dyDescent="0.25">
      <c r="B189" s="110">
        <f t="shared" si="0"/>
        <v>2064</v>
      </c>
      <c r="C189" s="135">
        <f>[27]С2.5!$AW$11</f>
        <v>0</v>
      </c>
    </row>
    <row r="190" spans="2:3" ht="13.5" hidden="1" thickBot="1" x14ac:dyDescent="0.25">
      <c r="B190" s="110">
        <f t="shared" si="0"/>
        <v>2065</v>
      </c>
      <c r="C190" s="135">
        <f>[27]С2.5!$AX$11</f>
        <v>0</v>
      </c>
    </row>
    <row r="191" spans="2:3" ht="13.5" hidden="1" thickBot="1" x14ac:dyDescent="0.25">
      <c r="B191" s="110">
        <f t="shared" si="0"/>
        <v>2066</v>
      </c>
      <c r="C191" s="135">
        <f>[27]С2.5!$AY$11</f>
        <v>0</v>
      </c>
    </row>
    <row r="192" spans="2:3" ht="13.5" hidden="1" thickBot="1" x14ac:dyDescent="0.25">
      <c r="B192" s="110">
        <f t="shared" si="0"/>
        <v>2067</v>
      </c>
      <c r="C192" s="135">
        <f>[27]С2.5!$AZ$11</f>
        <v>0</v>
      </c>
    </row>
    <row r="193" spans="2:3" ht="13.5" hidden="1" thickBot="1" x14ac:dyDescent="0.25">
      <c r="B193" s="110">
        <f t="shared" si="0"/>
        <v>2068</v>
      </c>
      <c r="C193" s="135">
        <f>[27]С2.5!$BA$11</f>
        <v>0</v>
      </c>
    </row>
    <row r="194" spans="2:3" ht="13.5" hidden="1" thickBot="1" x14ac:dyDescent="0.25">
      <c r="B194" s="110">
        <f t="shared" si="0"/>
        <v>2069</v>
      </c>
      <c r="C194" s="135">
        <f>[27]С2.5!$BB$11</f>
        <v>0</v>
      </c>
    </row>
    <row r="195" spans="2:3" ht="13.5" hidden="1" thickBot="1" x14ac:dyDescent="0.25">
      <c r="B195" s="110">
        <f t="shared" si="0"/>
        <v>2070</v>
      </c>
      <c r="C195" s="135">
        <f>[27]С2.5!$BC$11</f>
        <v>0</v>
      </c>
    </row>
    <row r="196" spans="2:3" ht="13.5" hidden="1" thickBot="1" x14ac:dyDescent="0.25">
      <c r="B196" s="110">
        <f t="shared" si="0"/>
        <v>2071</v>
      </c>
      <c r="C196" s="135">
        <f>[27]С2.5!$BD$11</f>
        <v>0</v>
      </c>
    </row>
    <row r="197" spans="2:3" ht="13.5" hidden="1" thickBot="1" x14ac:dyDescent="0.25">
      <c r="B197" s="110">
        <f t="shared" si="0"/>
        <v>2072</v>
      </c>
      <c r="C197" s="135">
        <f>[27]С2.5!$BE$11</f>
        <v>0</v>
      </c>
    </row>
    <row r="198" spans="2:3" ht="13.5" hidden="1" thickBot="1" x14ac:dyDescent="0.25">
      <c r="B198" s="110">
        <f t="shared" si="0"/>
        <v>2073</v>
      </c>
      <c r="C198" s="135">
        <f>[27]С2.5!$BF$11</f>
        <v>0</v>
      </c>
    </row>
    <row r="199" spans="2:3" ht="13.5" hidden="1" thickBot="1" x14ac:dyDescent="0.25">
      <c r="B199" s="110">
        <f t="shared" si="0"/>
        <v>2074</v>
      </c>
      <c r="C199" s="135">
        <f>[27]С2.5!$BG$11</f>
        <v>0</v>
      </c>
    </row>
    <row r="200" spans="2:3" ht="13.5" hidden="1" thickBot="1" x14ac:dyDescent="0.25">
      <c r="B200" s="110">
        <f t="shared" si="0"/>
        <v>2075</v>
      </c>
      <c r="C200" s="135">
        <f>[27]С2.5!$BH$11</f>
        <v>0</v>
      </c>
    </row>
    <row r="201" spans="2:3" ht="13.5" hidden="1" thickBot="1" x14ac:dyDescent="0.25">
      <c r="B201" s="110">
        <f t="shared" si="0"/>
        <v>2076</v>
      </c>
      <c r="C201" s="135">
        <f>[27]С2.5!$BI$11</f>
        <v>0</v>
      </c>
    </row>
    <row r="202" spans="2:3" ht="13.5" hidden="1" thickBot="1" x14ac:dyDescent="0.25">
      <c r="B202" s="110">
        <f t="shared" si="0"/>
        <v>2077</v>
      </c>
      <c r="C202" s="135">
        <f>[27]С2.5!$BJ$11</f>
        <v>0</v>
      </c>
    </row>
    <row r="203" spans="2:3" ht="13.5" hidden="1" thickBot="1" x14ac:dyDescent="0.25">
      <c r="B203" s="110">
        <f t="shared" si="0"/>
        <v>2078</v>
      </c>
      <c r="C203" s="135">
        <f>[27]С2.5!$BK$11</f>
        <v>0</v>
      </c>
    </row>
    <row r="204" spans="2:3" ht="13.5" hidden="1" thickBot="1" x14ac:dyDescent="0.25">
      <c r="B204" s="110">
        <f t="shared" si="0"/>
        <v>2079</v>
      </c>
      <c r="C204" s="135">
        <f>[27]С2.5!$BL$11</f>
        <v>0</v>
      </c>
    </row>
    <row r="205" spans="2:3" ht="13.5" hidden="1" thickBot="1" x14ac:dyDescent="0.25">
      <c r="B205" s="110">
        <f t="shared" si="0"/>
        <v>2080</v>
      </c>
      <c r="C205" s="135">
        <f>[27]С2.5!$BM$11</f>
        <v>0</v>
      </c>
    </row>
    <row r="206" spans="2:3" ht="13.5" hidden="1" thickBot="1" x14ac:dyDescent="0.25">
      <c r="B206" s="110">
        <f t="shared" si="0"/>
        <v>2081</v>
      </c>
      <c r="C206" s="135">
        <f>[27]С2.5!$BN$11</f>
        <v>0</v>
      </c>
    </row>
    <row r="207" spans="2:3" ht="13.5" hidden="1" thickBot="1" x14ac:dyDescent="0.25">
      <c r="B207" s="110">
        <f t="shared" si="0"/>
        <v>2082</v>
      </c>
      <c r="C207" s="135">
        <f>[27]С2.5!$BO$11</f>
        <v>0</v>
      </c>
    </row>
    <row r="208" spans="2:3" ht="13.5" hidden="1" thickBot="1" x14ac:dyDescent="0.25">
      <c r="B208" s="110">
        <f t="shared" si="0"/>
        <v>2083</v>
      </c>
      <c r="C208" s="135">
        <f>[27]С2.5!$BP$11</f>
        <v>0</v>
      </c>
    </row>
    <row r="209" spans="2:3" ht="13.5" hidden="1" thickBot="1" x14ac:dyDescent="0.25">
      <c r="B209" s="110">
        <f t="shared" si="0"/>
        <v>2084</v>
      </c>
      <c r="C209" s="135">
        <f>[27]С2.5!$BQ$11</f>
        <v>0</v>
      </c>
    </row>
    <row r="210" spans="2:3" ht="13.5" hidden="1" thickBot="1" x14ac:dyDescent="0.25">
      <c r="B210" s="110">
        <f t="shared" si="0"/>
        <v>2085</v>
      </c>
      <c r="C210" s="135">
        <f>[27]С2.5!$BR$11</f>
        <v>0</v>
      </c>
    </row>
    <row r="211" spans="2:3" ht="13.5" hidden="1" thickBot="1" x14ac:dyDescent="0.25">
      <c r="B211" s="110">
        <f t="shared" ref="B211:B224" si="1">B210+1</f>
        <v>2086</v>
      </c>
      <c r="C211" s="135">
        <f>[27]С2.5!$BS$11</f>
        <v>0</v>
      </c>
    </row>
    <row r="212" spans="2:3" ht="13.5" hidden="1" thickBot="1" x14ac:dyDescent="0.25">
      <c r="B212" s="110">
        <f t="shared" si="1"/>
        <v>2087</v>
      </c>
      <c r="C212" s="135">
        <f>[27]С2.5!$BT$11</f>
        <v>0</v>
      </c>
    </row>
    <row r="213" spans="2:3" ht="13.5" hidden="1" thickBot="1" x14ac:dyDescent="0.25">
      <c r="B213" s="110">
        <f t="shared" si="1"/>
        <v>2088</v>
      </c>
      <c r="C213" s="135">
        <f>[27]С2.5!$BU$11</f>
        <v>0</v>
      </c>
    </row>
    <row r="214" spans="2:3" ht="13.5" hidden="1" thickBot="1" x14ac:dyDescent="0.25">
      <c r="B214" s="110">
        <f t="shared" si="1"/>
        <v>2089</v>
      </c>
      <c r="C214" s="135">
        <f>[27]С2.5!$BV$11</f>
        <v>0</v>
      </c>
    </row>
    <row r="215" spans="2:3" ht="13.5" hidden="1" thickBot="1" x14ac:dyDescent="0.25">
      <c r="B215" s="110">
        <f t="shared" si="1"/>
        <v>2090</v>
      </c>
      <c r="C215" s="135">
        <f>[27]С2.5!$BW$11</f>
        <v>0</v>
      </c>
    </row>
    <row r="216" spans="2:3" ht="13.5" hidden="1" thickBot="1" x14ac:dyDescent="0.25">
      <c r="B216" s="110">
        <f t="shared" si="1"/>
        <v>2091</v>
      </c>
      <c r="C216" s="135">
        <f>[27]С2.5!$BX$11</f>
        <v>0</v>
      </c>
    </row>
    <row r="217" spans="2:3" ht="13.5" hidden="1" thickBot="1" x14ac:dyDescent="0.25">
      <c r="B217" s="110">
        <f t="shared" si="1"/>
        <v>2092</v>
      </c>
      <c r="C217" s="135">
        <f>[27]С2.5!$BY$11</f>
        <v>0</v>
      </c>
    </row>
    <row r="218" spans="2:3" ht="13.5" hidden="1" thickBot="1" x14ac:dyDescent="0.25">
      <c r="B218" s="110">
        <f t="shared" si="1"/>
        <v>2093</v>
      </c>
      <c r="C218" s="135">
        <f>[27]С2.5!$BZ$11</f>
        <v>0</v>
      </c>
    </row>
    <row r="219" spans="2:3" ht="13.5" hidden="1" thickBot="1" x14ac:dyDescent="0.25">
      <c r="B219" s="110">
        <f t="shared" si="1"/>
        <v>2094</v>
      </c>
      <c r="C219" s="135">
        <f>[27]С2.5!$CA$11</f>
        <v>0</v>
      </c>
    </row>
    <row r="220" spans="2:3" ht="13.5" hidden="1" thickBot="1" x14ac:dyDescent="0.25">
      <c r="B220" s="110">
        <f t="shared" si="1"/>
        <v>2095</v>
      </c>
      <c r="C220" s="135">
        <f>[27]С2.5!$CB$11</f>
        <v>0</v>
      </c>
    </row>
    <row r="221" spans="2:3" ht="13.5" hidden="1" thickBot="1" x14ac:dyDescent="0.25">
      <c r="B221" s="110">
        <f t="shared" si="1"/>
        <v>2096</v>
      </c>
      <c r="C221" s="135">
        <f>[27]С2.5!$CC$11</f>
        <v>0</v>
      </c>
    </row>
    <row r="222" spans="2:3" ht="13.5" hidden="1" thickBot="1" x14ac:dyDescent="0.25">
      <c r="B222" s="110">
        <f t="shared" si="1"/>
        <v>2097</v>
      </c>
      <c r="C222" s="135">
        <f>[27]С2.5!$CD$11</f>
        <v>0</v>
      </c>
    </row>
    <row r="223" spans="2:3" ht="13.5" hidden="1" thickBot="1" x14ac:dyDescent="0.25">
      <c r="B223" s="110">
        <f t="shared" si="1"/>
        <v>2098</v>
      </c>
      <c r="C223" s="135">
        <f>[27]С2.5!$CE$11</f>
        <v>0</v>
      </c>
    </row>
    <row r="224" spans="2:3" ht="13.5" hidden="1" thickBot="1" x14ac:dyDescent="0.25">
      <c r="B224" s="110">
        <f t="shared" si="1"/>
        <v>2099</v>
      </c>
      <c r="C224" s="135">
        <f>[27]С2.5!$CF$11</f>
        <v>0</v>
      </c>
    </row>
    <row r="225" spans="2:3" ht="13.5" hidden="1" thickBot="1" x14ac:dyDescent="0.25">
      <c r="B225" s="112">
        <f>B162+1</f>
        <v>2038</v>
      </c>
      <c r="C225" s="136" t="e">
        <f>[27]С2.5!#REF!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5" sqref="B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[38]И1!D13</f>
        <v>Субъект Российской Федерации</v>
      </c>
      <c r="C4" s="10" t="str">
        <f>[38]И1!E13</f>
        <v>Новосибирская область</v>
      </c>
    </row>
    <row r="5" spans="1:3" ht="46.9" customHeight="1" x14ac:dyDescent="0.2">
      <c r="A5" s="8"/>
      <c r="B5" s="9" t="str">
        <f>[38]И1!D14</f>
        <v>Тип муниципального образования (выберите из списка)</v>
      </c>
      <c r="C5" s="10" t="str">
        <f>[38]И1!E14</f>
        <v>село Преображенка, Искитимский муниципальный район</v>
      </c>
    </row>
    <row r="6" spans="1:3" x14ac:dyDescent="0.2">
      <c r="A6" s="8"/>
      <c r="B6" s="9" t="str">
        <f>IF([38]И1!E15="","",[38]И1!D15)</f>
        <v/>
      </c>
      <c r="C6" s="10" t="str">
        <f>IF([38]И1!E15="","",[38]И1!E15)</f>
        <v/>
      </c>
    </row>
    <row r="7" spans="1:3" x14ac:dyDescent="0.2">
      <c r="A7" s="8"/>
      <c r="B7" s="9" t="str">
        <f>[38]И1!D16</f>
        <v>Код ОКТМО</v>
      </c>
      <c r="C7" s="11" t="str">
        <f>[38]И1!E16</f>
        <v xml:space="preserve"> (50615419101)</v>
      </c>
    </row>
    <row r="8" spans="1:3" x14ac:dyDescent="0.2">
      <c r="A8" s="8"/>
      <c r="B8" s="12" t="str">
        <f>[38]И1!D17</f>
        <v>Система теплоснабжения</v>
      </c>
      <c r="C8" s="13">
        <f>[38]И1!E17</f>
        <v>0</v>
      </c>
    </row>
    <row r="9" spans="1:3" x14ac:dyDescent="0.2">
      <c r="A9" s="8"/>
      <c r="B9" s="9" t="str">
        <f>[38]И1!D8</f>
        <v>Период регулирования (i)-й</v>
      </c>
      <c r="C9" s="14">
        <f>[38]И1!E8</f>
        <v>2025</v>
      </c>
    </row>
    <row r="10" spans="1:3" x14ac:dyDescent="0.2">
      <c r="A10" s="8"/>
      <c r="B10" s="9" t="str">
        <f>[38]И1!D9</f>
        <v>Период регулирования (i-1)-й</v>
      </c>
      <c r="C10" s="14">
        <f>[38]И1!E9</f>
        <v>2024</v>
      </c>
    </row>
    <row r="11" spans="1:3" x14ac:dyDescent="0.2">
      <c r="A11" s="8"/>
      <c r="B11" s="9" t="str">
        <f>[38]И1!D10</f>
        <v>Период регулирования (i-2)-й</v>
      </c>
      <c r="C11" s="14">
        <f>[38]И1!E10</f>
        <v>2023</v>
      </c>
    </row>
    <row r="12" spans="1:3" x14ac:dyDescent="0.2">
      <c r="A12" s="8"/>
      <c r="B12" s="9" t="str">
        <f>[38]И1!D11</f>
        <v>Базовый год (б)</v>
      </c>
      <c r="C12" s="14">
        <f>[38]И1!E11</f>
        <v>2019</v>
      </c>
    </row>
    <row r="13" spans="1:3" ht="38.25" x14ac:dyDescent="0.2">
      <c r="A13" s="8"/>
      <c r="B13" s="9" t="str">
        <f>[38]И1!D18</f>
        <v>Вид топлива, использование которого преобладает в системе теплоснабжения</v>
      </c>
      <c r="C13" s="15" t="str">
        <f>[38]С1.1!E13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5627.4058509236438</v>
      </c>
    </row>
    <row r="18" spans="1:3" ht="42.75" x14ac:dyDescent="0.2">
      <c r="A18" s="22" t="s">
        <v>8</v>
      </c>
      <c r="B18" s="25" t="s">
        <v>9</v>
      </c>
      <c r="C18" s="26">
        <f>[38]С1!F12</f>
        <v>1011.184453971724</v>
      </c>
    </row>
    <row r="19" spans="1:3" ht="42.75" x14ac:dyDescent="0.2">
      <c r="A19" s="22" t="s">
        <v>10</v>
      </c>
      <c r="B19" s="25" t="s">
        <v>11</v>
      </c>
      <c r="C19" s="26">
        <f>[38]С2!F12</f>
        <v>3063.2235383547568</v>
      </c>
    </row>
    <row r="20" spans="1:3" ht="30" x14ac:dyDescent="0.2">
      <c r="A20" s="22" t="s">
        <v>12</v>
      </c>
      <c r="B20" s="25" t="s">
        <v>13</v>
      </c>
      <c r="C20" s="26">
        <f>[38]С3!F12</f>
        <v>917.89815316767874</v>
      </c>
    </row>
    <row r="21" spans="1:3" ht="42.75" x14ac:dyDescent="0.2">
      <c r="A21" s="22" t="s">
        <v>14</v>
      </c>
      <c r="B21" s="25" t="s">
        <v>15</v>
      </c>
      <c r="C21" s="26">
        <f>[38]С4!F12</f>
        <v>524.75841423490226</v>
      </c>
    </row>
    <row r="22" spans="1:3" ht="30" x14ac:dyDescent="0.2">
      <c r="A22" s="22" t="s">
        <v>16</v>
      </c>
      <c r="B22" s="25" t="s">
        <v>17</v>
      </c>
      <c r="C22" s="26">
        <f>[38]С5!F12</f>
        <v>110.34129119458125</v>
      </c>
    </row>
    <row r="23" spans="1:3" ht="43.5" thickBot="1" x14ac:dyDescent="0.25">
      <c r="A23" s="27" t="s">
        <v>18</v>
      </c>
      <c r="B23" s="140" t="s">
        <v>19</v>
      </c>
      <c r="C23" s="28" t="str">
        <f>[38]С6!F12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[38]С1.1!E16</f>
        <v>5100</v>
      </c>
    </row>
    <row r="29" spans="1:3" ht="42.75" x14ac:dyDescent="0.2">
      <c r="A29" s="22" t="s">
        <v>10</v>
      </c>
      <c r="B29" s="33" t="s">
        <v>22</v>
      </c>
      <c r="C29" s="34">
        <f>[38]С1.1!E27</f>
        <v>3647.6</v>
      </c>
    </row>
    <row r="30" spans="1:3" ht="17.25" x14ac:dyDescent="0.2">
      <c r="A30" s="22" t="s">
        <v>12</v>
      </c>
      <c r="B30" s="33" t="s">
        <v>23</v>
      </c>
      <c r="C30" s="35">
        <f>[38]С1.1!E19</f>
        <v>1.4E-2</v>
      </c>
    </row>
    <row r="31" spans="1:3" ht="17.25" x14ac:dyDescent="0.2">
      <c r="A31" s="22" t="s">
        <v>14</v>
      </c>
      <c r="B31" s="33" t="s">
        <v>24</v>
      </c>
      <c r="C31" s="35">
        <f>[38]С1.1!E20</f>
        <v>0.04</v>
      </c>
    </row>
    <row r="32" spans="1:3" ht="30" x14ac:dyDescent="0.2">
      <c r="A32" s="22" t="s">
        <v>16</v>
      </c>
      <c r="B32" s="36" t="s">
        <v>25</v>
      </c>
      <c r="C32" s="37">
        <f>[38]С1!F13</f>
        <v>176.4</v>
      </c>
    </row>
    <row r="33" spans="1:3" x14ac:dyDescent="0.2">
      <c r="A33" s="22" t="s">
        <v>18</v>
      </c>
      <c r="B33" s="36" t="s">
        <v>26</v>
      </c>
      <c r="C33" s="38">
        <f>[38]С1!F16</f>
        <v>7000</v>
      </c>
    </row>
    <row r="34" spans="1:3" ht="14.25" x14ac:dyDescent="0.2">
      <c r="A34" s="22" t="s">
        <v>27</v>
      </c>
      <c r="B34" s="39" t="s">
        <v>28</v>
      </c>
      <c r="C34" s="40">
        <f>[38]С1!F17</f>
        <v>0.72857142857142854</v>
      </c>
    </row>
    <row r="35" spans="1:3" ht="15.75" x14ac:dyDescent="0.2">
      <c r="A35" s="41" t="s">
        <v>29</v>
      </c>
      <c r="B35" s="42" t="s">
        <v>30</v>
      </c>
      <c r="C35" s="40">
        <f>[38]С1!F20</f>
        <v>21.588411179999994</v>
      </c>
    </row>
    <row r="36" spans="1:3" ht="15.75" x14ac:dyDescent="0.2">
      <c r="A36" s="41" t="s">
        <v>31</v>
      </c>
      <c r="B36" s="43" t="s">
        <v>32</v>
      </c>
      <c r="C36" s="40">
        <f>[38]С1!F21</f>
        <v>20.818139999999996</v>
      </c>
    </row>
    <row r="37" spans="1:3" ht="14.25" x14ac:dyDescent="0.2">
      <c r="A37" s="41" t="s">
        <v>33</v>
      </c>
      <c r="B37" s="44" t="s">
        <v>34</v>
      </c>
      <c r="C37" s="40">
        <f>[38]С1!F22</f>
        <v>1.0369999999999999</v>
      </c>
    </row>
    <row r="38" spans="1:3" ht="53.25" thickBot="1" x14ac:dyDescent="0.25">
      <c r="A38" s="27" t="s">
        <v>35</v>
      </c>
      <c r="B38" s="45" t="s">
        <v>36</v>
      </c>
      <c r="C38" s="46">
        <f>[38]С1!F23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[38]С2.1!E12</f>
        <v>V</v>
      </c>
    </row>
    <row r="42" spans="1:3" ht="25.5" x14ac:dyDescent="0.2">
      <c r="A42" s="22" t="s">
        <v>41</v>
      </c>
      <c r="B42" s="33" t="s">
        <v>42</v>
      </c>
      <c r="C42" s="51" t="str">
        <f>[38]С2.1!E13</f>
        <v>6 и менее баллов</v>
      </c>
    </row>
    <row r="43" spans="1:3" ht="25.5" x14ac:dyDescent="0.2">
      <c r="A43" s="22" t="s">
        <v>43</v>
      </c>
      <c r="B43" s="33" t="s">
        <v>44</v>
      </c>
      <c r="C43" s="51" t="str">
        <f>[38]С2.1!E14</f>
        <v>от 200 до 500</v>
      </c>
    </row>
    <row r="44" spans="1:3" ht="25.5" x14ac:dyDescent="0.2">
      <c r="A44" s="22" t="s">
        <v>45</v>
      </c>
      <c r="B44" s="33" t="s">
        <v>46</v>
      </c>
      <c r="C44" s="52" t="str">
        <f>[38]С2.1!E15</f>
        <v>нет</v>
      </c>
    </row>
    <row r="45" spans="1:3" ht="30" x14ac:dyDescent="0.2">
      <c r="A45" s="22" t="s">
        <v>47</v>
      </c>
      <c r="B45" s="33" t="s">
        <v>48</v>
      </c>
      <c r="C45" s="34">
        <f>[38]С2!F18</f>
        <v>38910.02669467502</v>
      </c>
    </row>
    <row r="46" spans="1:3" ht="30" x14ac:dyDescent="0.2">
      <c r="A46" s="22" t="s">
        <v>49</v>
      </c>
      <c r="B46" s="53" t="s">
        <v>50</v>
      </c>
      <c r="C46" s="34">
        <f>IF([38]С2!F19&gt;0,[38]С2!F19,[38]С2!F20)</f>
        <v>23441.524932855718</v>
      </c>
    </row>
    <row r="47" spans="1:3" ht="25.5" x14ac:dyDescent="0.2">
      <c r="A47" s="22" t="s">
        <v>51</v>
      </c>
      <c r="B47" s="54" t="s">
        <v>52</v>
      </c>
      <c r="C47" s="34">
        <f>[38]С2.1!E19</f>
        <v>-38</v>
      </c>
    </row>
    <row r="48" spans="1:3" ht="25.5" x14ac:dyDescent="0.2">
      <c r="A48" s="22" t="s">
        <v>53</v>
      </c>
      <c r="B48" s="54" t="s">
        <v>54</v>
      </c>
      <c r="C48" s="34" t="str">
        <f>[38]С2.1!E22</f>
        <v>нет</v>
      </c>
    </row>
    <row r="49" spans="1:3" ht="38.25" x14ac:dyDescent="0.2">
      <c r="A49" s="22" t="s">
        <v>55</v>
      </c>
      <c r="B49" s="55" t="s">
        <v>56</v>
      </c>
      <c r="C49" s="34">
        <f>[38]С2.2!E10</f>
        <v>1287</v>
      </c>
    </row>
    <row r="50" spans="1:3" ht="25.5" x14ac:dyDescent="0.2">
      <c r="A50" s="22" t="s">
        <v>57</v>
      </c>
      <c r="B50" s="56" t="s">
        <v>58</v>
      </c>
      <c r="C50" s="34">
        <f>[38]С2.2!E12</f>
        <v>5.97</v>
      </c>
    </row>
    <row r="51" spans="1:3" ht="52.5" x14ac:dyDescent="0.2">
      <c r="A51" s="22" t="s">
        <v>59</v>
      </c>
      <c r="B51" s="57" t="s">
        <v>60</v>
      </c>
      <c r="C51" s="34">
        <f>[38]С2.2!E13</f>
        <v>1</v>
      </c>
    </row>
    <row r="52" spans="1:3" ht="27.75" x14ac:dyDescent="0.2">
      <c r="A52" s="22" t="s">
        <v>61</v>
      </c>
      <c r="B52" s="56" t="s">
        <v>62</v>
      </c>
      <c r="C52" s="34">
        <f>[38]С2.2!E14</f>
        <v>12104</v>
      </c>
    </row>
    <row r="53" spans="1:3" ht="25.5" x14ac:dyDescent="0.2">
      <c r="A53" s="22" t="s">
        <v>63</v>
      </c>
      <c r="B53" s="57" t="s">
        <v>64</v>
      </c>
      <c r="C53" s="35">
        <f>[38]С2.2!E15</f>
        <v>4.8000000000000001E-2</v>
      </c>
    </row>
    <row r="54" spans="1:3" x14ac:dyDescent="0.2">
      <c r="A54" s="22" t="s">
        <v>65</v>
      </c>
      <c r="B54" s="57" t="s">
        <v>66</v>
      </c>
      <c r="C54" s="34">
        <f>[38]С2.2!E16</f>
        <v>1</v>
      </c>
    </row>
    <row r="55" spans="1:3" ht="15.75" x14ac:dyDescent="0.2">
      <c r="A55" s="22" t="s">
        <v>67</v>
      </c>
      <c r="B55" s="58" t="s">
        <v>68</v>
      </c>
      <c r="C55" s="34">
        <f>[38]С2!F21</f>
        <v>1</v>
      </c>
    </row>
    <row r="56" spans="1:3" ht="30" x14ac:dyDescent="0.2">
      <c r="A56" s="59" t="s">
        <v>69</v>
      </c>
      <c r="B56" s="33" t="s">
        <v>70</v>
      </c>
      <c r="C56" s="34">
        <f>[38]С2!F13</f>
        <v>203708.97017230222</v>
      </c>
    </row>
    <row r="57" spans="1:3" ht="30" x14ac:dyDescent="0.2">
      <c r="A57" s="59" t="s">
        <v>71</v>
      </c>
      <c r="B57" s="58" t="s">
        <v>72</v>
      </c>
      <c r="C57" s="34">
        <f>[38]С2!F14</f>
        <v>113455</v>
      </c>
    </row>
    <row r="58" spans="1:3" ht="15.75" x14ac:dyDescent="0.2">
      <c r="A58" s="59" t="s">
        <v>73</v>
      </c>
      <c r="B58" s="60" t="s">
        <v>74</v>
      </c>
      <c r="C58" s="40">
        <f>[38]С2!F15</f>
        <v>1.071</v>
      </c>
    </row>
    <row r="59" spans="1:3" ht="15.75" x14ac:dyDescent="0.2">
      <c r="A59" s="59" t="s">
        <v>75</v>
      </c>
      <c r="B59" s="60" t="s">
        <v>76</v>
      </c>
      <c r="C59" s="40">
        <f>[38]С2!F16</f>
        <v>1</v>
      </c>
    </row>
    <row r="60" spans="1:3" ht="17.25" x14ac:dyDescent="0.2">
      <c r="A60" s="59" t="s">
        <v>77</v>
      </c>
      <c r="B60" s="58" t="s">
        <v>78</v>
      </c>
      <c r="C60" s="34">
        <f>[38]С2!F17</f>
        <v>1.01</v>
      </c>
    </row>
    <row r="61" spans="1:3" s="63" customFormat="1" ht="14.25" x14ac:dyDescent="0.2">
      <c r="A61" s="59" t="s">
        <v>79</v>
      </c>
      <c r="B61" s="61" t="s">
        <v>80</v>
      </c>
      <c r="C61" s="62">
        <f>[38]С2!F33</f>
        <v>10</v>
      </c>
    </row>
    <row r="62" spans="1:3" ht="30" x14ac:dyDescent="0.2">
      <c r="A62" s="59" t="s">
        <v>81</v>
      </c>
      <c r="B62" s="64" t="s">
        <v>82</v>
      </c>
      <c r="C62" s="34">
        <f>[38]С2!F26</f>
        <v>3082.0508637929142</v>
      </c>
    </row>
    <row r="63" spans="1:3" ht="17.25" x14ac:dyDescent="0.2">
      <c r="A63" s="59" t="s">
        <v>83</v>
      </c>
      <c r="B63" s="53" t="s">
        <v>84</v>
      </c>
      <c r="C63" s="34">
        <f>[38]С2!F27</f>
        <v>0.44209422600000003</v>
      </c>
    </row>
    <row r="64" spans="1:3" ht="17.25" x14ac:dyDescent="0.2">
      <c r="A64" s="59" t="s">
        <v>85</v>
      </c>
      <c r="B64" s="58" t="s">
        <v>86</v>
      </c>
      <c r="C64" s="62">
        <f>[38]С2!F28</f>
        <v>4200</v>
      </c>
    </row>
    <row r="65" spans="1:3" ht="42.75" x14ac:dyDescent="0.2">
      <c r="A65" s="59" t="s">
        <v>87</v>
      </c>
      <c r="B65" s="33" t="s">
        <v>88</v>
      </c>
      <c r="C65" s="34">
        <f>[38]С2!F22</f>
        <v>42890.921752741691</v>
      </c>
    </row>
    <row r="66" spans="1:3" ht="30" x14ac:dyDescent="0.2">
      <c r="A66" s="59" t="s">
        <v>89</v>
      </c>
      <c r="B66" s="60" t="s">
        <v>90</v>
      </c>
      <c r="C66" s="34">
        <f>[38]С2!F23</f>
        <v>1990</v>
      </c>
    </row>
    <row r="67" spans="1:3" ht="30" x14ac:dyDescent="0.2">
      <c r="A67" s="59" t="s">
        <v>91</v>
      </c>
      <c r="B67" s="53" t="s">
        <v>92</v>
      </c>
      <c r="C67" s="34">
        <f>[38]С2.1!E27</f>
        <v>14307.876789999998</v>
      </c>
    </row>
    <row r="68" spans="1:3" ht="38.25" x14ac:dyDescent="0.2">
      <c r="A68" s="59" t="s">
        <v>93</v>
      </c>
      <c r="B68" s="65" t="s">
        <v>94</v>
      </c>
      <c r="C68" s="52">
        <f>[38]С2.3!E21</f>
        <v>0</v>
      </c>
    </row>
    <row r="69" spans="1:3" ht="25.5" x14ac:dyDescent="0.2">
      <c r="A69" s="59" t="s">
        <v>95</v>
      </c>
      <c r="B69" s="66" t="s">
        <v>96</v>
      </c>
      <c r="C69" s="67">
        <f>[38]С2.3!E11</f>
        <v>9.89</v>
      </c>
    </row>
    <row r="70" spans="1:3" ht="25.5" x14ac:dyDescent="0.2">
      <c r="A70" s="59" t="s">
        <v>97</v>
      </c>
      <c r="B70" s="66" t="s">
        <v>98</v>
      </c>
      <c r="C70" s="62">
        <f>[38]С2.3!E13</f>
        <v>300</v>
      </c>
    </row>
    <row r="71" spans="1:3" ht="25.5" x14ac:dyDescent="0.2">
      <c r="A71" s="59" t="s">
        <v>99</v>
      </c>
      <c r="B71" s="65" t="s">
        <v>100</v>
      </c>
      <c r="C71" s="68">
        <f>IF([38]С2.3!E22&gt;0,[38]С2.3!E22,[38]С2.3!E14)</f>
        <v>61211</v>
      </c>
    </row>
    <row r="72" spans="1:3" ht="38.25" x14ac:dyDescent="0.2">
      <c r="A72" s="59" t="s">
        <v>101</v>
      </c>
      <c r="B72" s="65" t="s">
        <v>102</v>
      </c>
      <c r="C72" s="68">
        <f>IF([38]С2.3!E23&gt;0,[38]С2.3!E23,[38]С2.3!E15)</f>
        <v>45675</v>
      </c>
    </row>
    <row r="73" spans="1:3" ht="30" x14ac:dyDescent="0.2">
      <c r="A73" s="59" t="s">
        <v>103</v>
      </c>
      <c r="B73" s="53" t="s">
        <v>104</v>
      </c>
      <c r="C73" s="34">
        <f>[38]С2.1!E28</f>
        <v>9541.9567200000001</v>
      </c>
    </row>
    <row r="74" spans="1:3" ht="38.25" x14ac:dyDescent="0.2">
      <c r="A74" s="59" t="s">
        <v>105</v>
      </c>
      <c r="B74" s="65" t="s">
        <v>106</v>
      </c>
      <c r="C74" s="52">
        <f>[38]С2.3!E25</f>
        <v>0</v>
      </c>
    </row>
    <row r="75" spans="1:3" ht="25.5" x14ac:dyDescent="0.2">
      <c r="A75" s="59" t="s">
        <v>107</v>
      </c>
      <c r="B75" s="66" t="s">
        <v>108</v>
      </c>
      <c r="C75" s="67">
        <f>[38]С2.3!E12</f>
        <v>0.56000000000000005</v>
      </c>
    </row>
    <row r="76" spans="1:3" ht="25.5" x14ac:dyDescent="0.2">
      <c r="A76" s="59" t="s">
        <v>109</v>
      </c>
      <c r="B76" s="66" t="s">
        <v>98</v>
      </c>
      <c r="C76" s="62">
        <f>[38]С2.3!E13</f>
        <v>300</v>
      </c>
    </row>
    <row r="77" spans="1:3" ht="25.5" x14ac:dyDescent="0.2">
      <c r="A77" s="59" t="s">
        <v>110</v>
      </c>
      <c r="B77" s="69" t="s">
        <v>111</v>
      </c>
      <c r="C77" s="68">
        <f>IF([38]С2.3!E26&gt;0,[38]С2.3!E26,[38]С2.3!E16)</f>
        <v>65637</v>
      </c>
    </row>
    <row r="78" spans="1:3" ht="38.25" x14ac:dyDescent="0.2">
      <c r="A78" s="59" t="s">
        <v>112</v>
      </c>
      <c r="B78" s="69" t="s">
        <v>113</v>
      </c>
      <c r="C78" s="68">
        <f>IF([38]С2.3!E27&gt;0,[38]С2.3!E27,[38]С2.3!E17)</f>
        <v>31684</v>
      </c>
    </row>
    <row r="79" spans="1:3" ht="17.25" x14ac:dyDescent="0.2">
      <c r="A79" s="59" t="s">
        <v>114</v>
      </c>
      <c r="B79" s="33" t="s">
        <v>115</v>
      </c>
      <c r="C79" s="35">
        <f>[38]С2!F29</f>
        <v>0.17804631770487722</v>
      </c>
    </row>
    <row r="80" spans="1:3" ht="30" x14ac:dyDescent="0.2">
      <c r="A80" s="59" t="s">
        <v>116</v>
      </c>
      <c r="B80" s="53" t="s">
        <v>117</v>
      </c>
      <c r="C80" s="70">
        <f>[38]С2!F30</f>
        <v>0.1652189781021898</v>
      </c>
    </row>
    <row r="81" spans="1:3" ht="17.25" x14ac:dyDescent="0.2">
      <c r="A81" s="59" t="s">
        <v>118</v>
      </c>
      <c r="B81" s="71" t="s">
        <v>119</v>
      </c>
      <c r="C81" s="35">
        <f>[38]С2!F31</f>
        <v>0.13880000000000001</v>
      </c>
    </row>
    <row r="82" spans="1:3" s="63" customFormat="1" ht="18" thickBot="1" x14ac:dyDescent="0.25">
      <c r="A82" s="72" t="s">
        <v>120</v>
      </c>
      <c r="B82" s="73" t="s">
        <v>121</v>
      </c>
      <c r="C82" s="74">
        <f>[38]С2!F32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[38]С3!F14</f>
        <v>14912.207299372252</v>
      </c>
    </row>
    <row r="86" spans="1:3" s="63" customFormat="1" ht="42.75" x14ac:dyDescent="0.2">
      <c r="A86" s="77" t="s">
        <v>126</v>
      </c>
      <c r="B86" s="53" t="s">
        <v>127</v>
      </c>
      <c r="C86" s="78">
        <f>[38]С3!F15</f>
        <v>0.25</v>
      </c>
    </row>
    <row r="87" spans="1:3" s="63" customFormat="1" ht="14.25" x14ac:dyDescent="0.2">
      <c r="A87" s="77" t="s">
        <v>128</v>
      </c>
      <c r="B87" s="79" t="s">
        <v>129</v>
      </c>
      <c r="C87" s="62">
        <f>[38]С3!F18</f>
        <v>15</v>
      </c>
    </row>
    <row r="88" spans="1:3" s="63" customFormat="1" ht="17.25" x14ac:dyDescent="0.2">
      <c r="A88" s="77" t="s">
        <v>130</v>
      </c>
      <c r="B88" s="33" t="s">
        <v>131</v>
      </c>
      <c r="C88" s="34">
        <f>[38]С3!F19</f>
        <v>4187.478806422544</v>
      </c>
    </row>
    <row r="89" spans="1:3" s="63" customFormat="1" ht="55.5" x14ac:dyDescent="0.2">
      <c r="A89" s="77" t="s">
        <v>132</v>
      </c>
      <c r="B89" s="53" t="s">
        <v>133</v>
      </c>
      <c r="C89" s="80">
        <f>[38]С3!F20</f>
        <v>2.1999999999999999E-2</v>
      </c>
    </row>
    <row r="90" spans="1:3" s="63" customFormat="1" ht="14.25" x14ac:dyDescent="0.2">
      <c r="A90" s="77" t="s">
        <v>134</v>
      </c>
      <c r="B90" s="58" t="s">
        <v>80</v>
      </c>
      <c r="C90" s="62">
        <f>[38]С3!F21</f>
        <v>10</v>
      </c>
    </row>
    <row r="91" spans="1:3" s="63" customFormat="1" ht="17.25" x14ac:dyDescent="0.2">
      <c r="A91" s="77" t="s">
        <v>135</v>
      </c>
      <c r="B91" s="33" t="s">
        <v>136</v>
      </c>
      <c r="C91" s="34">
        <f>[38]С3!F22</f>
        <v>9.2461525913787437</v>
      </c>
    </row>
    <row r="92" spans="1:3" s="63" customFormat="1" ht="55.5" x14ac:dyDescent="0.2">
      <c r="A92" s="77" t="s">
        <v>137</v>
      </c>
      <c r="B92" s="53" t="s">
        <v>138</v>
      </c>
      <c r="C92" s="80">
        <f>[38]С3!F23</f>
        <v>3.0000000000000001E-3</v>
      </c>
    </row>
    <row r="93" spans="1:3" s="63" customFormat="1" ht="27.75" thickBot="1" x14ac:dyDescent="0.25">
      <c r="A93" s="81" t="s">
        <v>139</v>
      </c>
      <c r="B93" s="82" t="s">
        <v>140</v>
      </c>
      <c r="C93" s="83">
        <f>[38]С3!F24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[38]С4!F16</f>
        <v>1652.5</v>
      </c>
    </row>
    <row r="97" spans="1:3" ht="30" x14ac:dyDescent="0.2">
      <c r="A97" s="59" t="s">
        <v>145</v>
      </c>
      <c r="B97" s="58" t="s">
        <v>146</v>
      </c>
      <c r="C97" s="34">
        <f>[38]С4!F17</f>
        <v>73547</v>
      </c>
    </row>
    <row r="98" spans="1:3" ht="17.25" x14ac:dyDescent="0.2">
      <c r="A98" s="59" t="s">
        <v>147</v>
      </c>
      <c r="B98" s="58" t="s">
        <v>148</v>
      </c>
      <c r="C98" s="40">
        <f>[38]С4!F18</f>
        <v>0.02</v>
      </c>
    </row>
    <row r="99" spans="1:3" ht="30" x14ac:dyDescent="0.2">
      <c r="A99" s="59" t="s">
        <v>149</v>
      </c>
      <c r="B99" s="58" t="s">
        <v>150</v>
      </c>
      <c r="C99" s="34">
        <f>[38]С4!F19</f>
        <v>12104</v>
      </c>
    </row>
    <row r="100" spans="1:3" ht="31.5" x14ac:dyDescent="0.2">
      <c r="A100" s="59" t="s">
        <v>151</v>
      </c>
      <c r="B100" s="58" t="s">
        <v>152</v>
      </c>
      <c r="C100" s="40">
        <f>[38]С4!F20</f>
        <v>1.4999999999999999E-2</v>
      </c>
    </row>
    <row r="101" spans="1:3" ht="30" x14ac:dyDescent="0.2">
      <c r="A101" s="59" t="s">
        <v>153</v>
      </c>
      <c r="B101" s="33" t="s">
        <v>154</v>
      </c>
      <c r="C101" s="34">
        <f>[38]С4!F21</f>
        <v>1933.1949342509995</v>
      </c>
    </row>
    <row r="102" spans="1:3" ht="24" customHeight="1" x14ac:dyDescent="0.2">
      <c r="A102" s="59" t="s">
        <v>155</v>
      </c>
      <c r="B102" s="53" t="s">
        <v>156</v>
      </c>
      <c r="C102" s="85">
        <f>IF([38]С4.2!F8="да",[38]С4.2!D21,[38]С4.2!D15)</f>
        <v>0</v>
      </c>
    </row>
    <row r="103" spans="1:3" ht="68.25" x14ac:dyDescent="0.2">
      <c r="A103" s="59" t="s">
        <v>157</v>
      </c>
      <c r="B103" s="53" t="s">
        <v>158</v>
      </c>
      <c r="C103" s="34">
        <f>[38]С4!F22</f>
        <v>3.6112641666666665</v>
      </c>
    </row>
    <row r="104" spans="1:3" ht="30" x14ac:dyDescent="0.2">
      <c r="A104" s="59" t="s">
        <v>159</v>
      </c>
      <c r="B104" s="58" t="s">
        <v>160</v>
      </c>
      <c r="C104" s="34">
        <f>[38]С4!F23</f>
        <v>180</v>
      </c>
    </row>
    <row r="105" spans="1:3" ht="14.25" x14ac:dyDescent="0.2">
      <c r="A105" s="59" t="s">
        <v>161</v>
      </c>
      <c r="B105" s="53" t="s">
        <v>162</v>
      </c>
      <c r="C105" s="34">
        <f>[38]С4!F24</f>
        <v>8497.1999999999989</v>
      </c>
    </row>
    <row r="106" spans="1:3" ht="14.25" x14ac:dyDescent="0.2">
      <c r="A106" s="59" t="s">
        <v>163</v>
      </c>
      <c r="B106" s="58" t="s">
        <v>164</v>
      </c>
      <c r="C106" s="40">
        <f>[38]С4!F25</f>
        <v>0.35</v>
      </c>
    </row>
    <row r="107" spans="1:3" ht="17.25" x14ac:dyDescent="0.2">
      <c r="A107" s="59" t="s">
        <v>165</v>
      </c>
      <c r="B107" s="33" t="s">
        <v>166</v>
      </c>
      <c r="C107" s="34">
        <f>[38]С4!F26</f>
        <v>79.717680000000001</v>
      </c>
    </row>
    <row r="108" spans="1:3" ht="25.5" x14ac:dyDescent="0.2">
      <c r="A108" s="59" t="s">
        <v>167</v>
      </c>
      <c r="B108" s="53" t="s">
        <v>94</v>
      </c>
      <c r="C108" s="85">
        <f>[38]С4.3!E16</f>
        <v>0</v>
      </c>
    </row>
    <row r="109" spans="1:3" ht="25.5" x14ac:dyDescent="0.2">
      <c r="A109" s="59" t="s">
        <v>168</v>
      </c>
      <c r="B109" s="53" t="s">
        <v>169</v>
      </c>
      <c r="C109" s="34">
        <f>[38]С4.3!E17</f>
        <v>21.88</v>
      </c>
    </row>
    <row r="110" spans="1:3" ht="38.25" x14ac:dyDescent="0.2">
      <c r="A110" s="59" t="s">
        <v>170</v>
      </c>
      <c r="B110" s="53" t="s">
        <v>106</v>
      </c>
      <c r="C110" s="85">
        <f>[38]С4.3!E18</f>
        <v>0</v>
      </c>
    </row>
    <row r="111" spans="1:3" x14ac:dyDescent="0.2">
      <c r="A111" s="59" t="s">
        <v>171</v>
      </c>
      <c r="B111" s="53" t="s">
        <v>172</v>
      </c>
      <c r="C111" s="34">
        <f>[38]С4.3!E19</f>
        <v>14.63</v>
      </c>
    </row>
    <row r="112" spans="1:3" x14ac:dyDescent="0.2">
      <c r="A112" s="59" t="s">
        <v>173</v>
      </c>
      <c r="B112" s="58" t="s">
        <v>174</v>
      </c>
      <c r="C112" s="34">
        <f>[38]С4.3!E11</f>
        <v>1871</v>
      </c>
    </row>
    <row r="113" spans="1:3" x14ac:dyDescent="0.2">
      <c r="A113" s="59" t="s">
        <v>175</v>
      </c>
      <c r="B113" s="58" t="s">
        <v>176</v>
      </c>
      <c r="C113" s="52">
        <f>[38]С4.3!E12</f>
        <v>1636</v>
      </c>
    </row>
    <row r="114" spans="1:3" x14ac:dyDescent="0.2">
      <c r="A114" s="59" t="s">
        <v>177</v>
      </c>
      <c r="B114" s="58" t="s">
        <v>178</v>
      </c>
      <c r="C114" s="52">
        <f>[38]С4.3!E13</f>
        <v>204</v>
      </c>
    </row>
    <row r="115" spans="1:3" ht="30" x14ac:dyDescent="0.2">
      <c r="A115" s="59" t="s">
        <v>179</v>
      </c>
      <c r="B115" s="33" t="s">
        <v>180</v>
      </c>
      <c r="C115" s="34">
        <f>[38]С4!F27</f>
        <v>1291.2863994686898</v>
      </c>
    </row>
    <row r="116" spans="1:3" ht="25.5" x14ac:dyDescent="0.2">
      <c r="A116" s="59" t="s">
        <v>181</v>
      </c>
      <c r="B116" s="53" t="s">
        <v>182</v>
      </c>
      <c r="C116" s="34">
        <f>[38]С4!F28</f>
        <v>991.77142816335618</v>
      </c>
    </row>
    <row r="117" spans="1:3" ht="42.75" x14ac:dyDescent="0.2">
      <c r="A117" s="59" t="s">
        <v>183</v>
      </c>
      <c r="B117" s="53" t="s">
        <v>184</v>
      </c>
      <c r="C117" s="34">
        <f>[38]С4!F29</f>
        <v>299.51497130533357</v>
      </c>
    </row>
    <row r="118" spans="1:3" ht="30" x14ac:dyDescent="0.2">
      <c r="A118" s="59" t="s">
        <v>185</v>
      </c>
      <c r="B118" s="39" t="s">
        <v>186</v>
      </c>
      <c r="C118" s="34">
        <f>[38]С4!F30</f>
        <v>2696.9879670466253</v>
      </c>
    </row>
    <row r="119" spans="1:3" ht="42.75" x14ac:dyDescent="0.2">
      <c r="A119" s="59" t="s">
        <v>187</v>
      </c>
      <c r="B119" s="86" t="s">
        <v>188</v>
      </c>
      <c r="C119" s="34">
        <f>[38]С4!F33</f>
        <v>1490.6092480024834</v>
      </c>
    </row>
    <row r="120" spans="1:3" ht="30" x14ac:dyDescent="0.2">
      <c r="A120" s="59" t="s">
        <v>189</v>
      </c>
      <c r="B120" s="87" t="s">
        <v>190</v>
      </c>
      <c r="C120" s="34">
        <f>[38]С4!F35</f>
        <v>17.040680999999999</v>
      </c>
    </row>
    <row r="121" spans="1:3" ht="14.25" x14ac:dyDescent="0.2">
      <c r="A121" s="59" t="s">
        <v>191</v>
      </c>
      <c r="B121" s="56" t="s">
        <v>192</v>
      </c>
      <c r="C121" s="34">
        <f>[38]С4!F36</f>
        <v>14319.9</v>
      </c>
    </row>
    <row r="122" spans="1:3" ht="28.5" thickBot="1" x14ac:dyDescent="0.25">
      <c r="A122" s="72" t="s">
        <v>193</v>
      </c>
      <c r="B122" s="88" t="s">
        <v>194</v>
      </c>
      <c r="C122" s="83">
        <f>[38]С4!F37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[38]С5!F17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[38]С2!F37</f>
        <v>20.818139999999996</v>
      </c>
    </row>
    <row r="136" spans="1:3" ht="14.25" x14ac:dyDescent="0.2">
      <c r="A136" s="59" t="s">
        <v>216</v>
      </c>
      <c r="B136" s="101" t="s">
        <v>217</v>
      </c>
      <c r="C136" s="34">
        <f>[38]С2!F38</f>
        <v>7</v>
      </c>
    </row>
    <row r="137" spans="1:3" ht="17.25" x14ac:dyDescent="0.2">
      <c r="A137" s="59" t="s">
        <v>218</v>
      </c>
      <c r="B137" s="101" t="s">
        <v>219</v>
      </c>
      <c r="C137" s="34">
        <f>[38]С2!F40</f>
        <v>0.97</v>
      </c>
    </row>
    <row r="138" spans="1:3" ht="15" thickBot="1" x14ac:dyDescent="0.25">
      <c r="A138" s="72" t="s">
        <v>220</v>
      </c>
      <c r="B138" s="102" t="s">
        <v>221</v>
      </c>
      <c r="C138" s="46">
        <f>[38]С2!F42</f>
        <v>0.35</v>
      </c>
    </row>
    <row r="139" spans="1:3" s="89" customFormat="1" ht="13.5" thickBot="1" x14ac:dyDescent="0.25">
      <c r="A139" s="47"/>
      <c r="B139" s="75"/>
      <c r="C139" s="15"/>
    </row>
    <row r="140" spans="1:3" ht="30" x14ac:dyDescent="0.2">
      <c r="A140" s="84" t="s">
        <v>222</v>
      </c>
      <c r="B140" s="103" t="s">
        <v>223</v>
      </c>
      <c r="C140" s="104">
        <f>[38]С2!F35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[38]С2.5!$E$11</f>
        <v>-2.9000000000000026E-2</v>
      </c>
    </row>
    <row r="144" spans="1:3" x14ac:dyDescent="0.2">
      <c r="A144" s="105"/>
      <c r="B144" s="110">
        <f>B143+1</f>
        <v>2021</v>
      </c>
      <c r="C144" s="111">
        <f>[38]С2.5!$F$11</f>
        <v>0.245</v>
      </c>
    </row>
    <row r="145" spans="1:3" x14ac:dyDescent="0.2">
      <c r="A145" s="105"/>
      <c r="B145" s="110">
        <f t="shared" ref="B145:B208" si="0">B144+1</f>
        <v>2022</v>
      </c>
      <c r="C145" s="111">
        <f>[38]С2.5!$G$11</f>
        <v>0.114</v>
      </c>
    </row>
    <row r="146" spans="1:3" ht="13.5" thickBot="1" x14ac:dyDescent="0.25">
      <c r="A146" s="105"/>
      <c r="B146" s="112">
        <f t="shared" si="0"/>
        <v>2023</v>
      </c>
      <c r="C146" s="113">
        <f>[38]С2.5!$H$11</f>
        <v>0.04</v>
      </c>
    </row>
    <row r="147" spans="1:3" x14ac:dyDescent="0.2">
      <c r="A147" s="105"/>
      <c r="B147" s="114">
        <f t="shared" si="0"/>
        <v>2024</v>
      </c>
      <c r="C147" s="115">
        <f>[38]С2.5!$I$11</f>
        <v>0.11700000000000001</v>
      </c>
    </row>
    <row r="148" spans="1:3" x14ac:dyDescent="0.2">
      <c r="A148" s="105"/>
      <c r="B148" s="110">
        <f t="shared" si="0"/>
        <v>2025</v>
      </c>
      <c r="C148" s="111">
        <f>[38]С2.5!$J$11</f>
        <v>6.0999999999999999E-2</v>
      </c>
    </row>
    <row r="149" spans="1:3" hidden="1" x14ac:dyDescent="0.2">
      <c r="A149" s="105"/>
      <c r="B149" s="110">
        <f t="shared" si="0"/>
        <v>2026</v>
      </c>
      <c r="C149" s="111">
        <f>[38]С2.5!$K$11</f>
        <v>3.5813361771260002E-2</v>
      </c>
    </row>
    <row r="150" spans="1:3" hidden="1" x14ac:dyDescent="0.2">
      <c r="A150" s="105"/>
      <c r="B150" s="110">
        <f t="shared" si="0"/>
        <v>2027</v>
      </c>
      <c r="C150" s="111">
        <f>[38]С2.5!$L$11</f>
        <v>3.2682303599220003E-2</v>
      </c>
    </row>
    <row r="151" spans="1:3" hidden="1" x14ac:dyDescent="0.2">
      <c r="A151" s="105"/>
      <c r="B151" s="110">
        <f t="shared" si="0"/>
        <v>2028</v>
      </c>
      <c r="C151" s="111">
        <f>[38]С2.5!$M$11</f>
        <v>0</v>
      </c>
    </row>
    <row r="152" spans="1:3" hidden="1" x14ac:dyDescent="0.2">
      <c r="A152" s="105"/>
      <c r="B152" s="110">
        <f t="shared" si="0"/>
        <v>2029</v>
      </c>
      <c r="C152" s="111">
        <f>[38]С2.5!$N$11</f>
        <v>0</v>
      </c>
    </row>
    <row r="153" spans="1:3" hidden="1" x14ac:dyDescent="0.2">
      <c r="A153" s="105"/>
      <c r="B153" s="110">
        <f t="shared" si="0"/>
        <v>2030</v>
      </c>
      <c r="C153" s="111">
        <f>[38]С2.5!$O$11</f>
        <v>0</v>
      </c>
    </row>
    <row r="154" spans="1:3" hidden="1" x14ac:dyDescent="0.2">
      <c r="A154" s="105"/>
      <c r="B154" s="110">
        <f t="shared" si="0"/>
        <v>2031</v>
      </c>
      <c r="C154" s="111">
        <f>[38]С2.5!$P$11</f>
        <v>0</v>
      </c>
    </row>
    <row r="155" spans="1:3" hidden="1" x14ac:dyDescent="0.2">
      <c r="A155" s="89"/>
      <c r="B155" s="110">
        <f t="shared" si="0"/>
        <v>2032</v>
      </c>
      <c r="C155" s="111">
        <f>[38]С2.5!$Q$11</f>
        <v>0</v>
      </c>
    </row>
    <row r="156" spans="1:3" hidden="1" x14ac:dyDescent="0.2">
      <c r="A156" s="89"/>
      <c r="B156" s="110">
        <f t="shared" si="0"/>
        <v>2033</v>
      </c>
      <c r="C156" s="111">
        <f>[38]С2.5!$R$11</f>
        <v>0</v>
      </c>
    </row>
    <row r="157" spans="1:3" hidden="1" x14ac:dyDescent="0.2">
      <c r="B157" s="110">
        <f t="shared" si="0"/>
        <v>2034</v>
      </c>
      <c r="C157" s="111">
        <f>[38]С2.5!$S$11</f>
        <v>0</v>
      </c>
    </row>
    <row r="158" spans="1:3" hidden="1" x14ac:dyDescent="0.2">
      <c r="B158" s="110">
        <f t="shared" si="0"/>
        <v>2035</v>
      </c>
      <c r="C158" s="111">
        <f>[38]С2.5!$T$11</f>
        <v>0</v>
      </c>
    </row>
    <row r="159" spans="1:3" hidden="1" x14ac:dyDescent="0.2">
      <c r="B159" s="110">
        <f t="shared" si="0"/>
        <v>2036</v>
      </c>
      <c r="C159" s="111">
        <f>[38]С2.5!$U$11</f>
        <v>0</v>
      </c>
    </row>
    <row r="160" spans="1:3" hidden="1" x14ac:dyDescent="0.2">
      <c r="B160" s="110">
        <f t="shared" si="0"/>
        <v>2037</v>
      </c>
      <c r="C160" s="111">
        <f>[38]С2.5!$V$11</f>
        <v>0</v>
      </c>
    </row>
    <row r="161" spans="2:3" hidden="1" x14ac:dyDescent="0.2">
      <c r="B161" s="110">
        <f t="shared" si="0"/>
        <v>2038</v>
      </c>
      <c r="C161" s="111">
        <f>[38]С2.5!$W$11</f>
        <v>0</v>
      </c>
    </row>
    <row r="162" spans="2:3" hidden="1" x14ac:dyDescent="0.2">
      <c r="B162" s="110">
        <f t="shared" si="0"/>
        <v>2039</v>
      </c>
      <c r="C162" s="111">
        <f>[38]С2.5!$X$11</f>
        <v>0</v>
      </c>
    </row>
    <row r="163" spans="2:3" hidden="1" x14ac:dyDescent="0.2">
      <c r="B163" s="110">
        <f t="shared" si="0"/>
        <v>2040</v>
      </c>
      <c r="C163" s="111">
        <f>[38]С2.5!$Y$11</f>
        <v>0</v>
      </c>
    </row>
    <row r="164" spans="2:3" hidden="1" x14ac:dyDescent="0.2">
      <c r="B164" s="110">
        <f t="shared" si="0"/>
        <v>2041</v>
      </c>
      <c r="C164" s="111">
        <f>[38]С2.5!$Z$11</f>
        <v>0</v>
      </c>
    </row>
    <row r="165" spans="2:3" hidden="1" x14ac:dyDescent="0.2">
      <c r="B165" s="110">
        <f t="shared" si="0"/>
        <v>2042</v>
      </c>
      <c r="C165" s="111">
        <f>[38]С2.5!$AA$11</f>
        <v>0</v>
      </c>
    </row>
    <row r="166" spans="2:3" hidden="1" x14ac:dyDescent="0.2">
      <c r="B166" s="110">
        <f t="shared" si="0"/>
        <v>2043</v>
      </c>
      <c r="C166" s="111">
        <f>[38]С2.5!$AB$11</f>
        <v>0</v>
      </c>
    </row>
    <row r="167" spans="2:3" hidden="1" x14ac:dyDescent="0.2">
      <c r="B167" s="110">
        <f t="shared" si="0"/>
        <v>2044</v>
      </c>
      <c r="C167" s="111">
        <f>[38]С2.5!$AC$11</f>
        <v>0</v>
      </c>
    </row>
    <row r="168" spans="2:3" hidden="1" x14ac:dyDescent="0.2">
      <c r="B168" s="110">
        <f t="shared" si="0"/>
        <v>2045</v>
      </c>
      <c r="C168" s="111">
        <f>[38]С2.5!$AD$11</f>
        <v>0</v>
      </c>
    </row>
    <row r="169" spans="2:3" hidden="1" x14ac:dyDescent="0.2">
      <c r="B169" s="110">
        <f t="shared" si="0"/>
        <v>2046</v>
      </c>
      <c r="C169" s="111">
        <f>[38]С2.5!$AE$11</f>
        <v>0</v>
      </c>
    </row>
    <row r="170" spans="2:3" hidden="1" x14ac:dyDescent="0.2">
      <c r="B170" s="110">
        <f t="shared" si="0"/>
        <v>2047</v>
      </c>
      <c r="C170" s="111">
        <f>[38]С2.5!$AF$11</f>
        <v>0</v>
      </c>
    </row>
    <row r="171" spans="2:3" hidden="1" x14ac:dyDescent="0.2">
      <c r="B171" s="110">
        <f t="shared" si="0"/>
        <v>2048</v>
      </c>
      <c r="C171" s="111">
        <f>[38]С2.5!$AG$11</f>
        <v>0</v>
      </c>
    </row>
    <row r="172" spans="2:3" hidden="1" x14ac:dyDescent="0.2">
      <c r="B172" s="110">
        <f t="shared" si="0"/>
        <v>2049</v>
      </c>
      <c r="C172" s="111">
        <f>[38]С2.5!$AH$11</f>
        <v>0</v>
      </c>
    </row>
    <row r="173" spans="2:3" hidden="1" x14ac:dyDescent="0.2">
      <c r="B173" s="110">
        <f t="shared" si="0"/>
        <v>2050</v>
      </c>
      <c r="C173" s="111">
        <f>[38]С2.5!$AI$11</f>
        <v>0</v>
      </c>
    </row>
    <row r="174" spans="2:3" hidden="1" x14ac:dyDescent="0.2">
      <c r="B174" s="110">
        <f t="shared" si="0"/>
        <v>2051</v>
      </c>
      <c r="C174" s="111">
        <f>[38]С2.5!$AJ$11</f>
        <v>0</v>
      </c>
    </row>
    <row r="175" spans="2:3" hidden="1" x14ac:dyDescent="0.2">
      <c r="B175" s="110">
        <f t="shared" si="0"/>
        <v>2052</v>
      </c>
      <c r="C175" s="111">
        <f>[38]С2.5!$AK$11</f>
        <v>0</v>
      </c>
    </row>
    <row r="176" spans="2:3" hidden="1" x14ac:dyDescent="0.2">
      <c r="B176" s="110">
        <f t="shared" si="0"/>
        <v>2053</v>
      </c>
      <c r="C176" s="111">
        <f>[38]С2.5!$AL$11</f>
        <v>0</v>
      </c>
    </row>
    <row r="177" spans="2:3" hidden="1" x14ac:dyDescent="0.2">
      <c r="B177" s="110">
        <f t="shared" si="0"/>
        <v>2054</v>
      </c>
      <c r="C177" s="111">
        <f>[38]С2.5!$AM$11</f>
        <v>0</v>
      </c>
    </row>
    <row r="178" spans="2:3" hidden="1" x14ac:dyDescent="0.2">
      <c r="B178" s="110">
        <f t="shared" si="0"/>
        <v>2055</v>
      </c>
      <c r="C178" s="111">
        <f>[38]С2.5!$AN$11</f>
        <v>0</v>
      </c>
    </row>
    <row r="179" spans="2:3" hidden="1" x14ac:dyDescent="0.2">
      <c r="B179" s="110">
        <f t="shared" si="0"/>
        <v>2056</v>
      </c>
      <c r="C179" s="111">
        <f>[38]С2.5!$AO$11</f>
        <v>0</v>
      </c>
    </row>
    <row r="180" spans="2:3" hidden="1" x14ac:dyDescent="0.2">
      <c r="B180" s="110">
        <f t="shared" si="0"/>
        <v>2057</v>
      </c>
      <c r="C180" s="111">
        <f>[38]С2.5!$AP$11</f>
        <v>0</v>
      </c>
    </row>
    <row r="181" spans="2:3" hidden="1" x14ac:dyDescent="0.2">
      <c r="B181" s="110">
        <f t="shared" si="0"/>
        <v>2058</v>
      </c>
      <c r="C181" s="111">
        <f>[38]С2.5!$AQ$11</f>
        <v>0</v>
      </c>
    </row>
    <row r="182" spans="2:3" hidden="1" x14ac:dyDescent="0.2">
      <c r="B182" s="110">
        <f t="shared" si="0"/>
        <v>2059</v>
      </c>
      <c r="C182" s="111">
        <f>[38]С2.5!$AR$11</f>
        <v>0</v>
      </c>
    </row>
    <row r="183" spans="2:3" hidden="1" x14ac:dyDescent="0.2">
      <c r="B183" s="110">
        <f t="shared" si="0"/>
        <v>2060</v>
      </c>
      <c r="C183" s="111">
        <f>[38]С2.5!$AS$11</f>
        <v>0</v>
      </c>
    </row>
    <row r="184" spans="2:3" hidden="1" x14ac:dyDescent="0.2">
      <c r="B184" s="110">
        <f t="shared" si="0"/>
        <v>2061</v>
      </c>
      <c r="C184" s="111">
        <f>[38]С2.5!$AT$11</f>
        <v>0</v>
      </c>
    </row>
    <row r="185" spans="2:3" hidden="1" x14ac:dyDescent="0.2">
      <c r="B185" s="110">
        <f t="shared" si="0"/>
        <v>2062</v>
      </c>
      <c r="C185" s="111">
        <f>[38]С2.5!$AU$11</f>
        <v>0</v>
      </c>
    </row>
    <row r="186" spans="2:3" hidden="1" x14ac:dyDescent="0.2">
      <c r="B186" s="110">
        <f t="shared" si="0"/>
        <v>2063</v>
      </c>
      <c r="C186" s="111">
        <f>[38]С2.5!$AV$11</f>
        <v>0</v>
      </c>
    </row>
    <row r="187" spans="2:3" hidden="1" x14ac:dyDescent="0.2">
      <c r="B187" s="110">
        <f t="shared" si="0"/>
        <v>2064</v>
      </c>
      <c r="C187" s="111">
        <f>[38]С2.5!$AW$11</f>
        <v>0</v>
      </c>
    </row>
    <row r="188" spans="2:3" hidden="1" x14ac:dyDescent="0.2">
      <c r="B188" s="110">
        <f t="shared" si="0"/>
        <v>2065</v>
      </c>
      <c r="C188" s="111">
        <f>[38]С2.5!$AX$11</f>
        <v>0</v>
      </c>
    </row>
    <row r="189" spans="2:3" hidden="1" x14ac:dyDescent="0.2">
      <c r="B189" s="110">
        <f t="shared" si="0"/>
        <v>2066</v>
      </c>
      <c r="C189" s="111">
        <f>[38]С2.5!$AY$11</f>
        <v>0</v>
      </c>
    </row>
    <row r="190" spans="2:3" hidden="1" x14ac:dyDescent="0.2">
      <c r="B190" s="110">
        <f t="shared" si="0"/>
        <v>2067</v>
      </c>
      <c r="C190" s="111">
        <f>[38]С2.5!$AZ$11</f>
        <v>0</v>
      </c>
    </row>
    <row r="191" spans="2:3" hidden="1" x14ac:dyDescent="0.2">
      <c r="B191" s="110">
        <f t="shared" si="0"/>
        <v>2068</v>
      </c>
      <c r="C191" s="111">
        <f>[38]С2.5!$BA$11</f>
        <v>0</v>
      </c>
    </row>
    <row r="192" spans="2:3" hidden="1" x14ac:dyDescent="0.2">
      <c r="B192" s="110">
        <f t="shared" si="0"/>
        <v>2069</v>
      </c>
      <c r="C192" s="111">
        <f>[38]С2.5!$BB$11</f>
        <v>0</v>
      </c>
    </row>
    <row r="193" spans="2:3" hidden="1" x14ac:dyDescent="0.2">
      <c r="B193" s="110">
        <f t="shared" si="0"/>
        <v>2070</v>
      </c>
      <c r="C193" s="111">
        <f>[38]С2.5!$BC$11</f>
        <v>0</v>
      </c>
    </row>
    <row r="194" spans="2:3" hidden="1" x14ac:dyDescent="0.2">
      <c r="B194" s="110">
        <f t="shared" si="0"/>
        <v>2071</v>
      </c>
      <c r="C194" s="111">
        <f>[38]С2.5!$BD$11</f>
        <v>0</v>
      </c>
    </row>
    <row r="195" spans="2:3" hidden="1" x14ac:dyDescent="0.2">
      <c r="B195" s="110">
        <f t="shared" si="0"/>
        <v>2072</v>
      </c>
      <c r="C195" s="111">
        <f>[38]С2.5!$BE$11</f>
        <v>0</v>
      </c>
    </row>
    <row r="196" spans="2:3" hidden="1" x14ac:dyDescent="0.2">
      <c r="B196" s="110">
        <f t="shared" si="0"/>
        <v>2073</v>
      </c>
      <c r="C196" s="111">
        <f>[38]С2.5!$BF$11</f>
        <v>0</v>
      </c>
    </row>
    <row r="197" spans="2:3" hidden="1" x14ac:dyDescent="0.2">
      <c r="B197" s="110">
        <f t="shared" si="0"/>
        <v>2074</v>
      </c>
      <c r="C197" s="111">
        <f>[38]С2.5!$BG$11</f>
        <v>0</v>
      </c>
    </row>
    <row r="198" spans="2:3" hidden="1" x14ac:dyDescent="0.2">
      <c r="B198" s="110">
        <f t="shared" si="0"/>
        <v>2075</v>
      </c>
      <c r="C198" s="111">
        <f>[38]С2.5!$BH$11</f>
        <v>0</v>
      </c>
    </row>
    <row r="199" spans="2:3" hidden="1" x14ac:dyDescent="0.2">
      <c r="B199" s="110">
        <f t="shared" si="0"/>
        <v>2076</v>
      </c>
      <c r="C199" s="111">
        <f>[38]С2.5!$BI$11</f>
        <v>0</v>
      </c>
    </row>
    <row r="200" spans="2:3" hidden="1" x14ac:dyDescent="0.2">
      <c r="B200" s="110">
        <f t="shared" si="0"/>
        <v>2077</v>
      </c>
      <c r="C200" s="111">
        <f>[38]С2.5!$BJ$11</f>
        <v>0</v>
      </c>
    </row>
    <row r="201" spans="2:3" hidden="1" x14ac:dyDescent="0.2">
      <c r="B201" s="110">
        <f t="shared" si="0"/>
        <v>2078</v>
      </c>
      <c r="C201" s="111">
        <f>[38]С2.5!$BK$11</f>
        <v>0</v>
      </c>
    </row>
    <row r="202" spans="2:3" hidden="1" x14ac:dyDescent="0.2">
      <c r="B202" s="110">
        <f t="shared" si="0"/>
        <v>2079</v>
      </c>
      <c r="C202" s="111">
        <f>[38]С2.5!$BL$11</f>
        <v>0</v>
      </c>
    </row>
    <row r="203" spans="2:3" hidden="1" x14ac:dyDescent="0.2">
      <c r="B203" s="110">
        <f t="shared" si="0"/>
        <v>2080</v>
      </c>
      <c r="C203" s="111">
        <f>[38]С2.5!$BM$11</f>
        <v>0</v>
      </c>
    </row>
    <row r="204" spans="2:3" hidden="1" x14ac:dyDescent="0.2">
      <c r="B204" s="110">
        <f t="shared" si="0"/>
        <v>2081</v>
      </c>
      <c r="C204" s="111">
        <f>[38]С2.5!$BN$11</f>
        <v>0</v>
      </c>
    </row>
    <row r="205" spans="2:3" hidden="1" x14ac:dyDescent="0.2">
      <c r="B205" s="110">
        <f t="shared" si="0"/>
        <v>2082</v>
      </c>
      <c r="C205" s="111">
        <f>[38]С2.5!$BO$11</f>
        <v>0</v>
      </c>
    </row>
    <row r="206" spans="2:3" hidden="1" x14ac:dyDescent="0.2">
      <c r="B206" s="110">
        <f t="shared" si="0"/>
        <v>2083</v>
      </c>
      <c r="C206" s="111">
        <f>[38]С2.5!$BP$11</f>
        <v>0</v>
      </c>
    </row>
    <row r="207" spans="2:3" hidden="1" x14ac:dyDescent="0.2">
      <c r="B207" s="110">
        <f t="shared" si="0"/>
        <v>2084</v>
      </c>
      <c r="C207" s="111">
        <f>[38]С2.5!$BQ$11</f>
        <v>0</v>
      </c>
    </row>
    <row r="208" spans="2:3" hidden="1" x14ac:dyDescent="0.2">
      <c r="B208" s="110">
        <f t="shared" si="0"/>
        <v>2085</v>
      </c>
      <c r="C208" s="111">
        <f>[38]С2.5!$BR$11</f>
        <v>0</v>
      </c>
    </row>
    <row r="209" spans="2:3" hidden="1" x14ac:dyDescent="0.2">
      <c r="B209" s="110">
        <f t="shared" ref="B209:B223" si="1">B208+1</f>
        <v>2086</v>
      </c>
      <c r="C209" s="111">
        <f>[38]С2.5!$BS$11</f>
        <v>0</v>
      </c>
    </row>
    <row r="210" spans="2:3" hidden="1" x14ac:dyDescent="0.2">
      <c r="B210" s="110">
        <f t="shared" si="1"/>
        <v>2087</v>
      </c>
      <c r="C210" s="111">
        <f>[38]С2.5!$BT$11</f>
        <v>0</v>
      </c>
    </row>
    <row r="211" spans="2:3" hidden="1" x14ac:dyDescent="0.2">
      <c r="B211" s="110">
        <f t="shared" si="1"/>
        <v>2088</v>
      </c>
      <c r="C211" s="111">
        <f>[38]С2.5!$BU$11</f>
        <v>0</v>
      </c>
    </row>
    <row r="212" spans="2:3" hidden="1" x14ac:dyDescent="0.2">
      <c r="B212" s="110">
        <f t="shared" si="1"/>
        <v>2089</v>
      </c>
      <c r="C212" s="111">
        <f>[38]С2.5!$BV$11</f>
        <v>0</v>
      </c>
    </row>
    <row r="213" spans="2:3" hidden="1" x14ac:dyDescent="0.2">
      <c r="B213" s="110">
        <f t="shared" si="1"/>
        <v>2090</v>
      </c>
      <c r="C213" s="111">
        <f>[38]С2.5!$BW$11</f>
        <v>0</v>
      </c>
    </row>
    <row r="214" spans="2:3" hidden="1" x14ac:dyDescent="0.2">
      <c r="B214" s="110">
        <f t="shared" si="1"/>
        <v>2091</v>
      </c>
      <c r="C214" s="111">
        <f>[38]С2.5!$BX$11</f>
        <v>0</v>
      </c>
    </row>
    <row r="215" spans="2:3" hidden="1" x14ac:dyDescent="0.2">
      <c r="B215" s="110">
        <f t="shared" si="1"/>
        <v>2092</v>
      </c>
      <c r="C215" s="111">
        <f>[38]С2.5!$BY$11</f>
        <v>0</v>
      </c>
    </row>
    <row r="216" spans="2:3" hidden="1" x14ac:dyDescent="0.2">
      <c r="B216" s="110">
        <f t="shared" si="1"/>
        <v>2093</v>
      </c>
      <c r="C216" s="111">
        <f>[38]С2.5!$BZ$11</f>
        <v>0</v>
      </c>
    </row>
    <row r="217" spans="2:3" hidden="1" x14ac:dyDescent="0.2">
      <c r="B217" s="110">
        <f t="shared" si="1"/>
        <v>2094</v>
      </c>
      <c r="C217" s="111">
        <f>[38]С2.5!$CA$11</f>
        <v>0</v>
      </c>
    </row>
    <row r="218" spans="2:3" hidden="1" x14ac:dyDescent="0.2">
      <c r="B218" s="110">
        <f t="shared" si="1"/>
        <v>2095</v>
      </c>
      <c r="C218" s="111">
        <f>[38]С2.5!$CB$11</f>
        <v>0</v>
      </c>
    </row>
    <row r="219" spans="2:3" hidden="1" x14ac:dyDescent="0.2">
      <c r="B219" s="110">
        <f t="shared" si="1"/>
        <v>2096</v>
      </c>
      <c r="C219" s="111">
        <f>[38]С2.5!$CC$11</f>
        <v>0</v>
      </c>
    </row>
    <row r="220" spans="2:3" hidden="1" x14ac:dyDescent="0.2">
      <c r="B220" s="110">
        <f t="shared" si="1"/>
        <v>2097</v>
      </c>
      <c r="C220" s="111">
        <f>[38]С2.5!$CD$11</f>
        <v>0</v>
      </c>
    </row>
    <row r="221" spans="2:3" hidden="1" x14ac:dyDescent="0.2">
      <c r="B221" s="110">
        <f t="shared" si="1"/>
        <v>2098</v>
      </c>
      <c r="C221" s="111">
        <f>[38]С2.5!$CE$11</f>
        <v>0</v>
      </c>
    </row>
    <row r="222" spans="2:3" hidden="1" x14ac:dyDescent="0.2">
      <c r="B222" s="110">
        <f t="shared" si="1"/>
        <v>2099</v>
      </c>
      <c r="C222" s="111">
        <f>[38]С2.5!$CF$11</f>
        <v>0</v>
      </c>
    </row>
    <row r="223" spans="2:3" ht="13.5" hidden="1" thickBot="1" x14ac:dyDescent="0.25">
      <c r="B223" s="112">
        <f t="shared" si="1"/>
        <v>2100</v>
      </c>
      <c r="C223" s="113">
        <f>[38]С2.5!$CG$11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4" sqref="F4"/>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[28]И1!D13</f>
        <v>Субъект Российской Федерации</v>
      </c>
      <c r="C4" s="10" t="str">
        <f>[28]И1!E13</f>
        <v>Новосибирская область</v>
      </c>
    </row>
    <row r="5" spans="1:3" ht="48.6" customHeight="1" x14ac:dyDescent="0.2">
      <c r="A5" s="8"/>
      <c r="B5" s="9" t="str">
        <f>[28]И1!D14</f>
        <v>Тип муниципального образования (выберите из списка)</v>
      </c>
      <c r="C5" s="10" t="str">
        <f>[28]И1!E14</f>
        <v>поселок Керамкомбинат, Искитимский муниципальный район</v>
      </c>
    </row>
    <row r="6" spans="1:3" x14ac:dyDescent="0.2">
      <c r="A6" s="8"/>
      <c r="B6" s="9" t="str">
        <f>IF([28]И1!E15="","",[28]И1!D15)</f>
        <v/>
      </c>
      <c r="C6" s="7" t="str">
        <f>IF([28]И1!E15="","",[28]И1!E15)</f>
        <v/>
      </c>
    </row>
    <row r="7" spans="1:3" x14ac:dyDescent="0.2">
      <c r="A7" s="8"/>
      <c r="B7" s="9" t="str">
        <f>[28]И1!D16</f>
        <v>Код ОКТМО</v>
      </c>
      <c r="C7" s="11" t="str">
        <f>[28]И1!E16</f>
        <v xml:space="preserve"> (50615420101)</v>
      </c>
    </row>
    <row r="8" spans="1:3" x14ac:dyDescent="0.2">
      <c r="A8" s="8"/>
      <c r="B8" s="12" t="str">
        <f>[28]И1!D17</f>
        <v>Система теплоснабжения</v>
      </c>
      <c r="C8" s="13">
        <f>[28]И1!E17</f>
        <v>0</v>
      </c>
    </row>
    <row r="9" spans="1:3" x14ac:dyDescent="0.2">
      <c r="A9" s="8"/>
      <c r="B9" s="9" t="str">
        <f>[28]И1!D8</f>
        <v>Период регулирования (i)-й</v>
      </c>
      <c r="C9" s="14">
        <f>[28]И1!E8</f>
        <v>2025</v>
      </c>
    </row>
    <row r="10" spans="1:3" x14ac:dyDescent="0.2">
      <c r="A10" s="8"/>
      <c r="B10" s="9" t="str">
        <f>[28]И1!D9</f>
        <v>Период регулирования (i-1)-й</v>
      </c>
      <c r="C10" s="14">
        <f>[28]И1!E9</f>
        <v>2024</v>
      </c>
    </row>
    <row r="11" spans="1:3" x14ac:dyDescent="0.2">
      <c r="A11" s="8"/>
      <c r="B11" s="9" t="str">
        <f>[28]И1!D10</f>
        <v>Период регулирования (i-2)-й</v>
      </c>
      <c r="C11" s="14">
        <f>[28]И1!E10</f>
        <v>2023</v>
      </c>
    </row>
    <row r="12" spans="1:3" x14ac:dyDescent="0.2">
      <c r="A12" s="8"/>
      <c r="B12" s="9" t="str">
        <f>[28]И1!D11</f>
        <v>Базовый год (б)</v>
      </c>
      <c r="C12" s="14">
        <f>[28]И1!E11</f>
        <v>2019</v>
      </c>
    </row>
    <row r="13" spans="1:3" x14ac:dyDescent="0.2">
      <c r="A13" s="8"/>
      <c r="B13" s="9" t="str">
        <f>[28]И1!D18</f>
        <v>Вид топлива, использование которого преобладает в системе теплоснабжения</v>
      </c>
      <c r="C13" s="15" t="str">
        <f>[28]И1!E18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4217.0531374912034</v>
      </c>
    </row>
    <row r="18" spans="1:3" ht="42.75" x14ac:dyDescent="0.2">
      <c r="A18" s="22" t="s">
        <v>8</v>
      </c>
      <c r="B18" s="25" t="s">
        <v>9</v>
      </c>
      <c r="C18" s="26">
        <f>[28]С1!F12</f>
        <v>1201.0642791911237</v>
      </c>
    </row>
    <row r="19" spans="1:3" ht="42.75" x14ac:dyDescent="0.2">
      <c r="A19" s="22" t="s">
        <v>10</v>
      </c>
      <c r="B19" s="25" t="s">
        <v>11</v>
      </c>
      <c r="C19" s="26">
        <f>[28]С2!F12</f>
        <v>2049.7946392543367</v>
      </c>
    </row>
    <row r="20" spans="1:3" ht="30" x14ac:dyDescent="0.2">
      <c r="A20" s="22" t="s">
        <v>12</v>
      </c>
      <c r="B20" s="25" t="s">
        <v>13</v>
      </c>
      <c r="C20" s="26">
        <f>[28]С3!F12</f>
        <v>613.3572799725365</v>
      </c>
    </row>
    <row r="21" spans="1:3" ht="42.75" x14ac:dyDescent="0.2">
      <c r="A21" s="22" t="s">
        <v>14</v>
      </c>
      <c r="B21" s="25" t="s">
        <v>228</v>
      </c>
      <c r="C21" s="26">
        <f>[28]С4!F12</f>
        <v>270.14962265181038</v>
      </c>
    </row>
    <row r="22" spans="1:3" ht="33" customHeight="1" x14ac:dyDescent="0.2">
      <c r="A22" s="22" t="s">
        <v>16</v>
      </c>
      <c r="B22" s="25" t="s">
        <v>229</v>
      </c>
      <c r="C22" s="26">
        <f>[28]С5!F12</f>
        <v>82.687316421396162</v>
      </c>
    </row>
    <row r="23" spans="1:3" ht="45.75" customHeight="1" thickBot="1" x14ac:dyDescent="0.25">
      <c r="A23" s="27" t="s">
        <v>18</v>
      </c>
      <c r="B23" s="140" t="s">
        <v>230</v>
      </c>
      <c r="C23" s="28">
        <f>[28]С6!F12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[28]С1.1!E16</f>
        <v>7900</v>
      </c>
    </row>
    <row r="29" spans="1:3" ht="42.75" x14ac:dyDescent="0.2">
      <c r="A29" s="22" t="s">
        <v>10</v>
      </c>
      <c r="B29" s="33" t="s">
        <v>232</v>
      </c>
      <c r="C29" s="34">
        <f>[28]С1.1!E32</f>
        <v>6213.94</v>
      </c>
    </row>
    <row r="30" spans="1:3" ht="38.25" x14ac:dyDescent="0.2">
      <c r="A30" s="22" t="s">
        <v>233</v>
      </c>
      <c r="B30" s="33" t="s">
        <v>234</v>
      </c>
      <c r="C30" s="85" t="str">
        <f>[28]С1.1!E25</f>
        <v>ООО "Газпром газораспределение Томск"</v>
      </c>
    </row>
    <row r="31" spans="1:3" ht="38.25" x14ac:dyDescent="0.2">
      <c r="A31" s="22" t="s">
        <v>235</v>
      </c>
      <c r="B31" s="33" t="str">
        <f>[28]С1.1!D26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[28]С1.1!E26</f>
        <v>5099</v>
      </c>
    </row>
    <row r="32" spans="1:3" ht="25.5" x14ac:dyDescent="0.2">
      <c r="A32" s="22" t="s">
        <v>236</v>
      </c>
      <c r="B32" s="33" t="str">
        <f>[28]С1.1!D27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[28]С1.1!E27</f>
        <v>740.38</v>
      </c>
    </row>
    <row r="33" spans="1:3" ht="25.5" x14ac:dyDescent="0.2">
      <c r="A33" s="22" t="s">
        <v>237</v>
      </c>
      <c r="B33" s="33" t="str">
        <f>[28]С1.1!D28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[28]С1.1!E28</f>
        <v>144.72999999999999</v>
      </c>
    </row>
    <row r="34" spans="1:3" ht="38.25" x14ac:dyDescent="0.2">
      <c r="A34" s="22" t="s">
        <v>238</v>
      </c>
      <c r="B34" s="33" t="str">
        <f>[28]С1.1!D29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[28]С1.1!E29</f>
        <v>229.83</v>
      </c>
    </row>
    <row r="35" spans="1:3" ht="17.25" x14ac:dyDescent="0.2">
      <c r="A35" s="22" t="s">
        <v>12</v>
      </c>
      <c r="B35" s="33" t="s">
        <v>23</v>
      </c>
      <c r="C35" s="35">
        <f>[28]С1.1!E20</f>
        <v>0.112</v>
      </c>
    </row>
    <row r="36" spans="1:3" ht="17.25" x14ac:dyDescent="0.2">
      <c r="A36" s="22" t="s">
        <v>14</v>
      </c>
      <c r="B36" s="33" t="s">
        <v>24</v>
      </c>
      <c r="C36" s="35">
        <f>[28]С1.1!E21</f>
        <v>0.21299999999999999</v>
      </c>
    </row>
    <row r="37" spans="1:3" ht="30" x14ac:dyDescent="0.2">
      <c r="A37" s="22" t="s">
        <v>16</v>
      </c>
      <c r="B37" s="36" t="s">
        <v>239</v>
      </c>
      <c r="C37" s="121">
        <f>[28]С1!F13</f>
        <v>156.1</v>
      </c>
    </row>
    <row r="38" spans="1:3" x14ac:dyDescent="0.2">
      <c r="A38" s="22" t="s">
        <v>18</v>
      </c>
      <c r="B38" s="36" t="s">
        <v>26</v>
      </c>
      <c r="C38" s="38">
        <f>[28]С1!F16</f>
        <v>7000</v>
      </c>
    </row>
    <row r="39" spans="1:3" ht="14.25" x14ac:dyDescent="0.2">
      <c r="A39" s="122" t="s">
        <v>27</v>
      </c>
      <c r="B39" s="39" t="s">
        <v>240</v>
      </c>
      <c r="C39" s="40">
        <f>[28]С1!F17</f>
        <v>1.1285714285714286</v>
      </c>
    </row>
    <row r="40" spans="1:3" ht="15.75" x14ac:dyDescent="0.2">
      <c r="A40" s="123" t="s">
        <v>29</v>
      </c>
      <c r="B40" s="42" t="s">
        <v>30</v>
      </c>
      <c r="C40" s="40">
        <f>[28]С1!F20</f>
        <v>22.307053372799995</v>
      </c>
    </row>
    <row r="41" spans="1:3" ht="15.75" x14ac:dyDescent="0.2">
      <c r="A41" s="123" t="s">
        <v>31</v>
      </c>
      <c r="B41" s="43" t="s">
        <v>32</v>
      </c>
      <c r="C41" s="40">
        <f>[28]С1!F21</f>
        <v>21.531904799999996</v>
      </c>
    </row>
    <row r="42" spans="1:3" ht="14.25" x14ac:dyDescent="0.2">
      <c r="A42" s="123" t="s">
        <v>33</v>
      </c>
      <c r="B42" s="44" t="s">
        <v>34</v>
      </c>
      <c r="C42" s="40">
        <f>[28]С1!F22</f>
        <v>1.036</v>
      </c>
    </row>
    <row r="43" spans="1:3" ht="53.25" thickBot="1" x14ac:dyDescent="0.25">
      <c r="A43" s="27" t="s">
        <v>35</v>
      </c>
      <c r="B43" s="45" t="s">
        <v>36</v>
      </c>
      <c r="C43" s="46" t="str">
        <f>[28]С1!F23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[28]С2.1!E12</f>
        <v>V</v>
      </c>
    </row>
    <row r="47" spans="1:3" ht="25.5" x14ac:dyDescent="0.2">
      <c r="A47" s="22" t="s">
        <v>41</v>
      </c>
      <c r="B47" s="33" t="s">
        <v>42</v>
      </c>
      <c r="C47" s="51" t="str">
        <f>[28]С2.1!E13</f>
        <v>6 и менее баллов</v>
      </c>
    </row>
    <row r="48" spans="1:3" ht="25.5" x14ac:dyDescent="0.2">
      <c r="A48" s="22" t="s">
        <v>43</v>
      </c>
      <c r="B48" s="33" t="s">
        <v>241</v>
      </c>
      <c r="C48" s="51" t="str">
        <f>[28]С2.1!E14</f>
        <v>от 200 до 500</v>
      </c>
    </row>
    <row r="49" spans="1:3" ht="25.5" x14ac:dyDescent="0.2">
      <c r="A49" s="22" t="s">
        <v>45</v>
      </c>
      <c r="B49" s="33" t="s">
        <v>242</v>
      </c>
      <c r="C49" s="52" t="str">
        <f>[28]С2.1!E15</f>
        <v>нет</v>
      </c>
    </row>
    <row r="50" spans="1:3" ht="30" x14ac:dyDescent="0.2">
      <c r="A50" s="22" t="s">
        <v>47</v>
      </c>
      <c r="B50" s="33" t="s">
        <v>48</v>
      </c>
      <c r="C50" s="34">
        <f>[28]С2!F18</f>
        <v>38910.02669467502</v>
      </c>
    </row>
    <row r="51" spans="1:3" ht="30" x14ac:dyDescent="0.2">
      <c r="A51" s="22" t="s">
        <v>49</v>
      </c>
      <c r="B51" s="53" t="s">
        <v>50</v>
      </c>
      <c r="C51" s="34">
        <f>IF([28]С2!F19&gt;0,[28]С2!F19,[28]С2!F20)</f>
        <v>23441.524932855718</v>
      </c>
    </row>
    <row r="52" spans="1:3" ht="25.5" x14ac:dyDescent="0.2">
      <c r="A52" s="22" t="s">
        <v>51</v>
      </c>
      <c r="B52" s="54" t="s">
        <v>52</v>
      </c>
      <c r="C52" s="34">
        <f>[28]С2.1!E20</f>
        <v>-38</v>
      </c>
    </row>
    <row r="53" spans="1:3" ht="25.5" x14ac:dyDescent="0.2">
      <c r="A53" s="22" t="s">
        <v>53</v>
      </c>
      <c r="B53" s="54" t="s">
        <v>54</v>
      </c>
      <c r="C53" s="34" t="str">
        <f>[28]С2.1!E23</f>
        <v>нет</v>
      </c>
    </row>
    <row r="54" spans="1:3" ht="38.25" x14ac:dyDescent="0.2">
      <c r="A54" s="22" t="s">
        <v>55</v>
      </c>
      <c r="B54" s="55" t="s">
        <v>56</v>
      </c>
      <c r="C54" s="34">
        <f>[28]С2.2!E10</f>
        <v>1287</v>
      </c>
    </row>
    <row r="55" spans="1:3" ht="25.5" x14ac:dyDescent="0.2">
      <c r="A55" s="22" t="s">
        <v>57</v>
      </c>
      <c r="B55" s="56" t="s">
        <v>58</v>
      </c>
      <c r="C55" s="34">
        <f>[28]С2.2!E12</f>
        <v>5.97</v>
      </c>
    </row>
    <row r="56" spans="1:3" ht="52.5" x14ac:dyDescent="0.2">
      <c r="A56" s="22" t="s">
        <v>59</v>
      </c>
      <c r="B56" s="57" t="s">
        <v>60</v>
      </c>
      <c r="C56" s="34">
        <f>[28]С2.2!E13</f>
        <v>1</v>
      </c>
    </row>
    <row r="57" spans="1:3" ht="27.75" x14ac:dyDescent="0.2">
      <c r="A57" s="22" t="s">
        <v>61</v>
      </c>
      <c r="B57" s="56" t="s">
        <v>62</v>
      </c>
      <c r="C57" s="34">
        <f>[28]С2.2!E14</f>
        <v>12104</v>
      </c>
    </row>
    <row r="58" spans="1:3" ht="25.5" x14ac:dyDescent="0.2">
      <c r="A58" s="22" t="s">
        <v>63</v>
      </c>
      <c r="B58" s="57" t="s">
        <v>64</v>
      </c>
      <c r="C58" s="35">
        <f>[28]С2.2!E15</f>
        <v>4.8000000000000001E-2</v>
      </c>
    </row>
    <row r="59" spans="1:3" x14ac:dyDescent="0.2">
      <c r="A59" s="22" t="s">
        <v>65</v>
      </c>
      <c r="B59" s="57" t="s">
        <v>66</v>
      </c>
      <c r="C59" s="124">
        <f>[28]С2.2!E16</f>
        <v>1</v>
      </c>
    </row>
    <row r="60" spans="1:3" ht="15.75" x14ac:dyDescent="0.2">
      <c r="A60" s="22" t="s">
        <v>67</v>
      </c>
      <c r="B60" s="58" t="s">
        <v>68</v>
      </c>
      <c r="C60" s="34">
        <f>[28]С2!F21</f>
        <v>1</v>
      </c>
    </row>
    <row r="61" spans="1:3" ht="30" x14ac:dyDescent="0.2">
      <c r="A61" s="59" t="s">
        <v>69</v>
      </c>
      <c r="B61" s="33" t="s">
        <v>243</v>
      </c>
      <c r="C61" s="34">
        <f>[28]С2!F13</f>
        <v>116526.45062105893</v>
      </c>
    </row>
    <row r="62" spans="1:3" ht="30" x14ac:dyDescent="0.2">
      <c r="A62" s="59" t="s">
        <v>71</v>
      </c>
      <c r="B62" s="60" t="s">
        <v>244</v>
      </c>
      <c r="C62" s="34">
        <f>[28]С2!F14</f>
        <v>64899</v>
      </c>
    </row>
    <row r="63" spans="1:3" ht="15.75" x14ac:dyDescent="0.2">
      <c r="A63" s="59" t="s">
        <v>73</v>
      </c>
      <c r="B63" s="60" t="s">
        <v>74</v>
      </c>
      <c r="C63" s="40">
        <f>[28]С2!F15</f>
        <v>1.071</v>
      </c>
    </row>
    <row r="64" spans="1:3" ht="15.75" x14ac:dyDescent="0.2">
      <c r="A64" s="59" t="s">
        <v>75</v>
      </c>
      <c r="B64" s="60" t="s">
        <v>76</v>
      </c>
      <c r="C64" s="125">
        <f>[28]С2!F16</f>
        <v>1</v>
      </c>
    </row>
    <row r="65" spans="1:3" ht="17.25" x14ac:dyDescent="0.2">
      <c r="A65" s="59" t="s">
        <v>77</v>
      </c>
      <c r="B65" s="60" t="s">
        <v>78</v>
      </c>
      <c r="C65" s="126">
        <f>[28]С2!F17</f>
        <v>1.01</v>
      </c>
    </row>
    <row r="66" spans="1:3" s="63" customFormat="1" ht="14.25" x14ac:dyDescent="0.2">
      <c r="A66" s="59" t="s">
        <v>79</v>
      </c>
      <c r="B66" s="61" t="s">
        <v>80</v>
      </c>
      <c r="C66" s="62">
        <f>[28]С2!F35</f>
        <v>10</v>
      </c>
    </row>
    <row r="67" spans="1:3" ht="30" x14ac:dyDescent="0.2">
      <c r="A67" s="59" t="s">
        <v>81</v>
      </c>
      <c r="B67" s="64" t="s">
        <v>82</v>
      </c>
      <c r="C67" s="34">
        <f>[28]С2!F28</f>
        <v>366.91081711820414</v>
      </c>
    </row>
    <row r="68" spans="1:3" ht="17.25" x14ac:dyDescent="0.2">
      <c r="A68" s="59" t="s">
        <v>83</v>
      </c>
      <c r="B68" s="53" t="s">
        <v>245</v>
      </c>
      <c r="C68" s="40">
        <f>[28]С2!F29</f>
        <v>0.44209422600000003</v>
      </c>
    </row>
    <row r="69" spans="1:3" ht="17.25" x14ac:dyDescent="0.2">
      <c r="A69" s="59" t="s">
        <v>85</v>
      </c>
      <c r="B69" s="58" t="s">
        <v>246</v>
      </c>
      <c r="C69" s="62">
        <f>[28]С2!F30</f>
        <v>500</v>
      </c>
    </row>
    <row r="70" spans="1:3" ht="42.75" x14ac:dyDescent="0.2">
      <c r="A70" s="59" t="s">
        <v>87</v>
      </c>
      <c r="B70" s="33" t="s">
        <v>247</v>
      </c>
      <c r="C70" s="34">
        <f>[28]С2!F22</f>
        <v>43932.649760529566</v>
      </c>
    </row>
    <row r="71" spans="1:3" ht="30" x14ac:dyDescent="0.2">
      <c r="A71" s="59" t="s">
        <v>89</v>
      </c>
      <c r="B71" s="60" t="s">
        <v>248</v>
      </c>
      <c r="C71" s="34">
        <f>[28]С2!F23</f>
        <v>21</v>
      </c>
    </row>
    <row r="72" spans="1:3" ht="30" x14ac:dyDescent="0.2">
      <c r="A72" s="59" t="s">
        <v>91</v>
      </c>
      <c r="B72" s="53" t="s">
        <v>92</v>
      </c>
      <c r="C72" s="34">
        <f>[28]С2.1!E28</f>
        <v>14036.09995</v>
      </c>
    </row>
    <row r="73" spans="1:3" ht="38.25" x14ac:dyDescent="0.2">
      <c r="A73" s="59" t="s">
        <v>93</v>
      </c>
      <c r="B73" s="65" t="s">
        <v>94</v>
      </c>
      <c r="C73" s="52">
        <f>[28]С2.3!E21</f>
        <v>0</v>
      </c>
    </row>
    <row r="74" spans="1:3" ht="25.5" x14ac:dyDescent="0.2">
      <c r="A74" s="59" t="s">
        <v>95</v>
      </c>
      <c r="B74" s="66" t="s">
        <v>96</v>
      </c>
      <c r="C74" s="67">
        <f>[28]С2.3!E11</f>
        <v>5.45</v>
      </c>
    </row>
    <row r="75" spans="1:3" ht="25.5" x14ac:dyDescent="0.2">
      <c r="A75" s="59" t="s">
        <v>97</v>
      </c>
      <c r="B75" s="66" t="s">
        <v>98</v>
      </c>
      <c r="C75" s="62">
        <f>[28]С2.3!E13</f>
        <v>300</v>
      </c>
    </row>
    <row r="76" spans="1:3" ht="25.5" x14ac:dyDescent="0.2">
      <c r="A76" s="59" t="s">
        <v>99</v>
      </c>
      <c r="B76" s="65" t="s">
        <v>100</v>
      </c>
      <c r="C76" s="68">
        <f>IF([28]С2.3!E22&gt;0,[28]С2.3!E22,[28]С2.3!E14)</f>
        <v>61211</v>
      </c>
    </row>
    <row r="77" spans="1:3" ht="38.25" x14ac:dyDescent="0.2">
      <c r="A77" s="59" t="s">
        <v>101</v>
      </c>
      <c r="B77" s="65" t="s">
        <v>102</v>
      </c>
      <c r="C77" s="68">
        <f>IF([28]С2.3!E23&gt;0,[28]С2.3!E23,[28]С2.3!E15)</f>
        <v>45675</v>
      </c>
    </row>
    <row r="78" spans="1:3" ht="30" x14ac:dyDescent="0.2">
      <c r="A78" s="59" t="s">
        <v>103</v>
      </c>
      <c r="B78" s="53" t="s">
        <v>104</v>
      </c>
      <c r="C78" s="34">
        <f>[28]С2.1!E29</f>
        <v>9518.3274000000001</v>
      </c>
    </row>
    <row r="79" spans="1:3" ht="38.25" x14ac:dyDescent="0.2">
      <c r="A79" s="59" t="s">
        <v>105</v>
      </c>
      <c r="B79" s="65" t="s">
        <v>106</v>
      </c>
      <c r="C79" s="52">
        <f>[28]С2.3!E25</f>
        <v>0</v>
      </c>
    </row>
    <row r="80" spans="1:3" ht="25.5" x14ac:dyDescent="0.2">
      <c r="A80" s="59" t="s">
        <v>107</v>
      </c>
      <c r="B80" s="66" t="s">
        <v>108</v>
      </c>
      <c r="C80" s="67">
        <f>[28]С2.3!E12</f>
        <v>0.2</v>
      </c>
    </row>
    <row r="81" spans="1:3" ht="25.5" x14ac:dyDescent="0.2">
      <c r="A81" s="59" t="s">
        <v>109</v>
      </c>
      <c r="B81" s="66" t="s">
        <v>98</v>
      </c>
      <c r="C81" s="62">
        <f>[28]С2.3!E13</f>
        <v>300</v>
      </c>
    </row>
    <row r="82" spans="1:3" ht="25.5" x14ac:dyDescent="0.2">
      <c r="A82" s="59" t="s">
        <v>110</v>
      </c>
      <c r="B82" s="69" t="s">
        <v>111</v>
      </c>
      <c r="C82" s="68">
        <f>IF([28]С2.3!E26&gt;0,[28]С2.3!E26,[28]С2.3!E16)</f>
        <v>65637</v>
      </c>
    </row>
    <row r="83" spans="1:3" ht="38.25" x14ac:dyDescent="0.2">
      <c r="A83" s="59" t="s">
        <v>112</v>
      </c>
      <c r="B83" s="69" t="s">
        <v>113</v>
      </c>
      <c r="C83" s="68">
        <f>IF([28]С2.3!E27&gt;0,[28]С2.3!E27,[28]С2.3!E17)</f>
        <v>31684</v>
      </c>
    </row>
    <row r="84" spans="1:3" ht="30" x14ac:dyDescent="0.2">
      <c r="A84" s="59" t="s">
        <v>249</v>
      </c>
      <c r="B84" s="60" t="s">
        <v>250</v>
      </c>
      <c r="C84" s="68">
        <f>IF([28]С2.1!E19&gt;0,[28]С2.1!E19,[28]С2!F26)</f>
        <v>2892</v>
      </c>
    </row>
    <row r="85" spans="1:3" ht="17.25" x14ac:dyDescent="0.2">
      <c r="A85" s="59" t="s">
        <v>114</v>
      </c>
      <c r="B85" s="33" t="s">
        <v>115</v>
      </c>
      <c r="C85" s="35">
        <f>[28]С2!F31</f>
        <v>0.17804631770487722</v>
      </c>
    </row>
    <row r="86" spans="1:3" ht="30" x14ac:dyDescent="0.2">
      <c r="A86" s="59" t="s">
        <v>116</v>
      </c>
      <c r="B86" s="53" t="s">
        <v>117</v>
      </c>
      <c r="C86" s="70">
        <f>[28]С2!F32</f>
        <v>0.1652189781021898</v>
      </c>
    </row>
    <row r="87" spans="1:3" ht="17.25" x14ac:dyDescent="0.2">
      <c r="A87" s="59" t="s">
        <v>118</v>
      </c>
      <c r="B87" s="71" t="s">
        <v>119</v>
      </c>
      <c r="C87" s="35">
        <f>[28]С2!F33</f>
        <v>0.13880000000000001</v>
      </c>
    </row>
    <row r="88" spans="1:3" s="63" customFormat="1" ht="18" thickBot="1" x14ac:dyDescent="0.25">
      <c r="A88" s="72" t="s">
        <v>120</v>
      </c>
      <c r="B88" s="73" t="s">
        <v>121</v>
      </c>
      <c r="C88" s="74">
        <f>[28]С2!F34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[28]С3!F14</f>
        <v>10281.56929785238</v>
      </c>
    </row>
    <row r="92" spans="1:3" s="63" customFormat="1" ht="42.75" x14ac:dyDescent="0.2">
      <c r="A92" s="77" t="s">
        <v>126</v>
      </c>
      <c r="B92" s="53" t="s">
        <v>127</v>
      </c>
      <c r="C92" s="78">
        <f>[28]С3!F15</f>
        <v>0.25</v>
      </c>
    </row>
    <row r="93" spans="1:3" s="63" customFormat="1" ht="14.25" x14ac:dyDescent="0.2">
      <c r="A93" s="77" t="s">
        <v>128</v>
      </c>
      <c r="B93" s="79" t="s">
        <v>129</v>
      </c>
      <c r="C93" s="62">
        <f>[28]С3!F18</f>
        <v>15</v>
      </c>
    </row>
    <row r="94" spans="1:3" s="63" customFormat="1" ht="17.25" x14ac:dyDescent="0.2">
      <c r="A94" s="77" t="s">
        <v>130</v>
      </c>
      <c r="B94" s="33" t="s">
        <v>131</v>
      </c>
      <c r="C94" s="34">
        <f>[28]С3!F19</f>
        <v>2924.0805304518653</v>
      </c>
    </row>
    <row r="95" spans="1:3" s="63" customFormat="1" ht="55.5" x14ac:dyDescent="0.2">
      <c r="A95" s="77" t="s">
        <v>132</v>
      </c>
      <c r="B95" s="53" t="s">
        <v>133</v>
      </c>
      <c r="C95" s="80">
        <f>[28]С3!F20</f>
        <v>2.1999999999999999E-2</v>
      </c>
    </row>
    <row r="96" spans="1:3" s="63" customFormat="1" ht="14.25" x14ac:dyDescent="0.2">
      <c r="A96" s="77" t="s">
        <v>134</v>
      </c>
      <c r="B96" s="58" t="s">
        <v>80</v>
      </c>
      <c r="C96" s="62">
        <f>[28]С3!F21</f>
        <v>10</v>
      </c>
    </row>
    <row r="97" spans="1:3" s="63" customFormat="1" ht="17.25" x14ac:dyDescent="0.2">
      <c r="A97" s="77" t="s">
        <v>135</v>
      </c>
      <c r="B97" s="33" t="s">
        <v>136</v>
      </c>
      <c r="C97" s="34">
        <f>[28]С3!F22</f>
        <v>1.1007324513546124</v>
      </c>
    </row>
    <row r="98" spans="1:3" s="63" customFormat="1" ht="55.5" x14ac:dyDescent="0.2">
      <c r="A98" s="77" t="s">
        <v>137</v>
      </c>
      <c r="B98" s="53" t="s">
        <v>138</v>
      </c>
      <c r="C98" s="80">
        <f>[28]С3!F23</f>
        <v>3.0000000000000001E-3</v>
      </c>
    </row>
    <row r="99" spans="1:3" s="63" customFormat="1" ht="30.75" thickBot="1" x14ac:dyDescent="0.25">
      <c r="A99" s="81" t="s">
        <v>139</v>
      </c>
      <c r="B99" s="82" t="s">
        <v>82</v>
      </c>
      <c r="C99" s="83">
        <f>[28]С3!F24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[28]С4!F16</f>
        <v>832.33500000000004</v>
      </c>
    </row>
    <row r="103" spans="1:3" ht="30" x14ac:dyDescent="0.2">
      <c r="A103" s="59" t="s">
        <v>145</v>
      </c>
      <c r="B103" s="58" t="s">
        <v>252</v>
      </c>
      <c r="C103" s="34">
        <f>[28]С4!F17</f>
        <v>43385</v>
      </c>
    </row>
    <row r="104" spans="1:3" ht="17.25" x14ac:dyDescent="0.2">
      <c r="A104" s="59" t="s">
        <v>147</v>
      </c>
      <c r="B104" s="58" t="s">
        <v>148</v>
      </c>
      <c r="C104" s="40">
        <f>[28]С4!F18</f>
        <v>1.4999999999999999E-2</v>
      </c>
    </row>
    <row r="105" spans="1:3" ht="30" x14ac:dyDescent="0.2">
      <c r="A105" s="59" t="s">
        <v>149</v>
      </c>
      <c r="B105" s="58" t="s">
        <v>150</v>
      </c>
      <c r="C105" s="34">
        <f>[28]С4!F19</f>
        <v>12104</v>
      </c>
    </row>
    <row r="106" spans="1:3" ht="31.5" x14ac:dyDescent="0.2">
      <c r="A106" s="59" t="s">
        <v>151</v>
      </c>
      <c r="B106" s="58" t="s">
        <v>152</v>
      </c>
      <c r="C106" s="40">
        <f>[28]С4!F20</f>
        <v>1.4999999999999999E-2</v>
      </c>
    </row>
    <row r="107" spans="1:3" ht="30" x14ac:dyDescent="0.2">
      <c r="A107" s="59" t="s">
        <v>153</v>
      </c>
      <c r="B107" s="33" t="s">
        <v>253</v>
      </c>
      <c r="C107" s="34">
        <f>[28]С4!F21</f>
        <v>1221.9019409821399</v>
      </c>
    </row>
    <row r="108" spans="1:3" ht="45.6" customHeight="1" x14ac:dyDescent="0.2">
      <c r="A108" s="59" t="s">
        <v>155</v>
      </c>
      <c r="B108" s="53" t="s">
        <v>156</v>
      </c>
      <c r="C108" s="85" t="str">
        <f>IF([28]С4.2!F8="да",[28]С4.2!D21,[28]С4.2!D15)</f>
        <v>АО "Новосибирскэнергосбыт"</v>
      </c>
    </row>
    <row r="109" spans="1:3" ht="68.25" customHeight="1" x14ac:dyDescent="0.2">
      <c r="A109" s="59" t="s">
        <v>157</v>
      </c>
      <c r="B109" s="53" t="s">
        <v>158</v>
      </c>
      <c r="C109" s="34">
        <f>[28]С4!F22</f>
        <v>3.6112641666666665</v>
      </c>
    </row>
    <row r="110" spans="1:3" ht="30" x14ac:dyDescent="0.2">
      <c r="A110" s="59" t="s">
        <v>159</v>
      </c>
      <c r="B110" s="58" t="s">
        <v>254</v>
      </c>
      <c r="C110" s="62">
        <f>[28]С4!F23</f>
        <v>110</v>
      </c>
    </row>
    <row r="111" spans="1:3" ht="14.25" x14ac:dyDescent="0.2">
      <c r="A111" s="59" t="s">
        <v>161</v>
      </c>
      <c r="B111" s="53" t="s">
        <v>162</v>
      </c>
      <c r="C111" s="34">
        <f>[28]С4!F24</f>
        <v>8497.1999999999989</v>
      </c>
    </row>
    <row r="112" spans="1:3" ht="14.25" x14ac:dyDescent="0.2">
      <c r="A112" s="59" t="s">
        <v>163</v>
      </c>
      <c r="B112" s="58" t="s">
        <v>164</v>
      </c>
      <c r="C112" s="40">
        <f>[28]С4!F25</f>
        <v>0.36199999999999999</v>
      </c>
    </row>
    <row r="113" spans="1:3" ht="17.25" x14ac:dyDescent="0.2">
      <c r="A113" s="59" t="s">
        <v>165</v>
      </c>
      <c r="B113" s="33" t="s">
        <v>166</v>
      </c>
      <c r="C113" s="34">
        <f>[28]С4!F26</f>
        <v>57.949419999999996</v>
      </c>
    </row>
    <row r="114" spans="1:3" ht="25.5" x14ac:dyDescent="0.2">
      <c r="A114" s="59" t="s">
        <v>167</v>
      </c>
      <c r="B114" s="53" t="s">
        <v>94</v>
      </c>
      <c r="C114" s="85">
        <f>[28]С4.3!E16</f>
        <v>0</v>
      </c>
    </row>
    <row r="115" spans="1:3" ht="25.5" x14ac:dyDescent="0.2">
      <c r="A115" s="59" t="s">
        <v>168</v>
      </c>
      <c r="B115" s="53" t="s">
        <v>169</v>
      </c>
      <c r="C115" s="34">
        <f>[28]С4.3!E17</f>
        <v>28.83</v>
      </c>
    </row>
    <row r="116" spans="1:3" ht="38.25" x14ac:dyDescent="0.2">
      <c r="A116" s="59" t="s">
        <v>170</v>
      </c>
      <c r="B116" s="53" t="s">
        <v>106</v>
      </c>
      <c r="C116" s="85">
        <f>[28]С4.3!E18</f>
        <v>0</v>
      </c>
    </row>
    <row r="117" spans="1:3" x14ac:dyDescent="0.2">
      <c r="A117" s="59" t="s">
        <v>171</v>
      </c>
      <c r="B117" s="53" t="s">
        <v>172</v>
      </c>
      <c r="C117" s="34">
        <f>[28]С4.3!E19</f>
        <v>30.82</v>
      </c>
    </row>
    <row r="118" spans="1:3" x14ac:dyDescent="0.2">
      <c r="A118" s="59" t="s">
        <v>173</v>
      </c>
      <c r="B118" s="58" t="s">
        <v>174</v>
      </c>
      <c r="C118" s="62">
        <f>[28]С4.3!E11</f>
        <v>1871</v>
      </c>
    </row>
    <row r="119" spans="1:3" x14ac:dyDescent="0.2">
      <c r="A119" s="59" t="s">
        <v>175</v>
      </c>
      <c r="B119" s="58" t="s">
        <v>176</v>
      </c>
      <c r="C119" s="52">
        <f>[28]С4.3!E12</f>
        <v>61</v>
      </c>
    </row>
    <row r="120" spans="1:3" x14ac:dyDescent="0.2">
      <c r="A120" s="59" t="s">
        <v>177</v>
      </c>
      <c r="B120" s="58" t="s">
        <v>178</v>
      </c>
      <c r="C120" s="52">
        <f>[28]С4.3!E13</f>
        <v>73</v>
      </c>
    </row>
    <row r="121" spans="1:3" ht="30" x14ac:dyDescent="0.2">
      <c r="A121" s="59" t="s">
        <v>179</v>
      </c>
      <c r="B121" s="33" t="s">
        <v>255</v>
      </c>
      <c r="C121" s="34">
        <f>[28]С4!F27</f>
        <v>904.62444244124072</v>
      </c>
    </row>
    <row r="122" spans="1:3" ht="25.5" x14ac:dyDescent="0.2">
      <c r="A122" s="59" t="s">
        <v>181</v>
      </c>
      <c r="B122" s="53" t="s">
        <v>256</v>
      </c>
      <c r="C122" s="34">
        <f>[28]С4!F28</f>
        <v>694.79603874135228</v>
      </c>
    </row>
    <row r="123" spans="1:3" ht="42.75" x14ac:dyDescent="0.2">
      <c r="A123" s="59" t="s">
        <v>183</v>
      </c>
      <c r="B123" s="53" t="s">
        <v>184</v>
      </c>
      <c r="C123" s="34">
        <f>[28]С4!F29</f>
        <v>209.82840369988838</v>
      </c>
    </row>
    <row r="124" spans="1:3" ht="30.75" thickBot="1" x14ac:dyDescent="0.25">
      <c r="A124" s="72" t="s">
        <v>185</v>
      </c>
      <c r="B124" s="90" t="s">
        <v>186</v>
      </c>
      <c r="C124" s="83">
        <f>[28]С4!F30</f>
        <v>809.30384305385132</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[28]С5!F17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IF([28]С6.1!E11="нет",[28]С6!F13,"")</f>
        <v/>
      </c>
    </row>
    <row r="131" spans="1:3" ht="42.75" x14ac:dyDescent="0.2">
      <c r="A131" s="59" t="s">
        <v>204</v>
      </c>
      <c r="B131" s="86" t="s">
        <v>205</v>
      </c>
      <c r="C131" s="92" t="str">
        <f>IF([28]С6.1!E12="нет",[28]С6.1!E17,"")</f>
        <v/>
      </c>
    </row>
    <row r="132" spans="1:3" ht="68.25" x14ac:dyDescent="0.2">
      <c r="A132" s="59" t="s">
        <v>206</v>
      </c>
      <c r="B132" s="91" t="s">
        <v>207</v>
      </c>
      <c r="C132" s="127" t="str">
        <f>IF([28]С6.1!E18="нет",[28]С6!F19,"")</f>
        <v/>
      </c>
    </row>
    <row r="133" spans="1:3" ht="55.5" x14ac:dyDescent="0.2">
      <c r="A133" s="59" t="s">
        <v>208</v>
      </c>
      <c r="B133" s="86" t="s">
        <v>209</v>
      </c>
      <c r="C133" s="35" t="str">
        <f>IF([28]С6.1!E18="нет",[28]С6.1!E19,"")</f>
        <v/>
      </c>
    </row>
    <row r="134" spans="1:3" ht="61.5" customHeight="1" x14ac:dyDescent="0.2">
      <c r="A134" s="59" t="s">
        <v>210</v>
      </c>
      <c r="B134" s="86" t="s">
        <v>257</v>
      </c>
      <c r="C134" s="35" t="str">
        <f>IF([28]С6.1!E18="нет",[28]С6.1!E22,"")</f>
        <v/>
      </c>
    </row>
    <row r="135" spans="1:3" ht="69" thickBot="1" x14ac:dyDescent="0.25">
      <c r="A135" s="72" t="s">
        <v>212</v>
      </c>
      <c r="B135" s="98" t="s">
        <v>213</v>
      </c>
      <c r="C135" s="74" t="str">
        <f>IF([28]С6.1!E18="нет",[28]С6.1!E23,"")</f>
        <v/>
      </c>
    </row>
    <row r="136" spans="1:3" s="89" customFormat="1" ht="13.5" thickBot="1" x14ac:dyDescent="0.25">
      <c r="A136" s="47"/>
      <c r="B136" s="75"/>
      <c r="C136" s="15"/>
    </row>
    <row r="137" spans="1:3" ht="15.75" x14ac:dyDescent="0.2">
      <c r="A137" s="84" t="s">
        <v>214</v>
      </c>
      <c r="B137" s="99" t="s">
        <v>215</v>
      </c>
      <c r="C137" s="100">
        <f>[28]С2!F39</f>
        <v>21.531904799999996</v>
      </c>
    </row>
    <row r="138" spans="1:3" ht="14.25" x14ac:dyDescent="0.2">
      <c r="A138" s="59" t="s">
        <v>216</v>
      </c>
      <c r="B138" s="58" t="s">
        <v>217</v>
      </c>
      <c r="C138" s="34">
        <f>[28]С2!F40</f>
        <v>7</v>
      </c>
    </row>
    <row r="139" spans="1:3" ht="17.25" x14ac:dyDescent="0.2">
      <c r="A139" s="59" t="s">
        <v>218</v>
      </c>
      <c r="B139" s="58" t="s">
        <v>219</v>
      </c>
      <c r="C139" s="34">
        <f>[28]С2!F42</f>
        <v>0.97</v>
      </c>
    </row>
    <row r="140" spans="1:3" ht="15" thickBot="1" x14ac:dyDescent="0.25">
      <c r="A140" s="72" t="s">
        <v>220</v>
      </c>
      <c r="B140" s="73" t="s">
        <v>221</v>
      </c>
      <c r="C140" s="46">
        <f>[28]С2!F44</f>
        <v>0.36199999999999999</v>
      </c>
    </row>
    <row r="141" spans="1:3" s="89" customFormat="1" ht="13.5" thickBot="1" x14ac:dyDescent="0.25">
      <c r="A141" s="47"/>
      <c r="B141" s="75"/>
      <c r="C141" s="15"/>
    </row>
    <row r="142" spans="1:3" ht="17.25" x14ac:dyDescent="0.2">
      <c r="A142" s="84" t="s">
        <v>222</v>
      </c>
      <c r="B142" s="103" t="s">
        <v>258</v>
      </c>
      <c r="C142" s="128">
        <f>[28]С2!F37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[28]С2.5!$E$11</f>
        <v>-2.9000000000000026E-2</v>
      </c>
    </row>
    <row r="146" spans="1:3" x14ac:dyDescent="0.2">
      <c r="B146" s="131">
        <f>B145+1</f>
        <v>2021</v>
      </c>
      <c r="C146" s="133">
        <f>[28]С2.5!$F$11</f>
        <v>0.245</v>
      </c>
    </row>
    <row r="147" spans="1:3" x14ac:dyDescent="0.2">
      <c r="B147" s="131">
        <f t="shared" ref="B147:B210" si="0">B146+1</f>
        <v>2022</v>
      </c>
      <c r="C147" s="134">
        <f>[28]С2.5!$G$11</f>
        <v>0.114</v>
      </c>
    </row>
    <row r="148" spans="1:3" x14ac:dyDescent="0.2">
      <c r="B148" s="110">
        <f t="shared" si="0"/>
        <v>2023</v>
      </c>
      <c r="C148" s="135">
        <f>[28]С2.5!$H$11</f>
        <v>0.04</v>
      </c>
    </row>
    <row r="149" spans="1:3" x14ac:dyDescent="0.2">
      <c r="B149" s="110">
        <f t="shared" si="0"/>
        <v>2024</v>
      </c>
      <c r="C149" s="135">
        <f>[28]С2.5!$I$11</f>
        <v>0.11700000000000001</v>
      </c>
    </row>
    <row r="150" spans="1:3" ht="13.5" thickBot="1" x14ac:dyDescent="0.25">
      <c r="B150" s="110">
        <f t="shared" si="0"/>
        <v>2025</v>
      </c>
      <c r="C150" s="135">
        <f>[28]С2.5!$J$11</f>
        <v>6.0999999999999999E-2</v>
      </c>
    </row>
    <row r="151" spans="1:3" ht="13.5" hidden="1" thickBot="1" x14ac:dyDescent="0.25">
      <c r="B151" s="110">
        <f t="shared" si="0"/>
        <v>2026</v>
      </c>
      <c r="C151" s="135">
        <f>[28]С2.5!$K$11</f>
        <v>0</v>
      </c>
    </row>
    <row r="152" spans="1:3" ht="13.5" hidden="1" thickBot="1" x14ac:dyDescent="0.25">
      <c r="B152" s="110">
        <f t="shared" si="0"/>
        <v>2027</v>
      </c>
      <c r="C152" s="135">
        <f>[28]С2.5!$L$11</f>
        <v>0</v>
      </c>
    </row>
    <row r="153" spans="1:3" ht="13.5" hidden="1" thickBot="1" x14ac:dyDescent="0.25">
      <c r="B153" s="110">
        <f t="shared" si="0"/>
        <v>2028</v>
      </c>
      <c r="C153" s="135">
        <f>[28]С2.5!$M$11</f>
        <v>0</v>
      </c>
    </row>
    <row r="154" spans="1:3" ht="13.5" hidden="1" thickBot="1" x14ac:dyDescent="0.25">
      <c r="B154" s="110">
        <f t="shared" si="0"/>
        <v>2029</v>
      </c>
      <c r="C154" s="135">
        <f>[28]С2.5!$N$11</f>
        <v>0</v>
      </c>
    </row>
    <row r="155" spans="1:3" ht="13.5" hidden="1" thickBot="1" x14ac:dyDescent="0.25">
      <c r="B155" s="110">
        <f t="shared" si="0"/>
        <v>2030</v>
      </c>
      <c r="C155" s="135">
        <f>[28]С2.5!$O$11</f>
        <v>0</v>
      </c>
    </row>
    <row r="156" spans="1:3" ht="13.5" hidden="1" thickBot="1" x14ac:dyDescent="0.25">
      <c r="B156" s="110">
        <f t="shared" si="0"/>
        <v>2031</v>
      </c>
      <c r="C156" s="135">
        <f>[28]С2.5!$P$11</f>
        <v>0</v>
      </c>
    </row>
    <row r="157" spans="1:3" ht="13.5" hidden="1" thickBot="1" x14ac:dyDescent="0.25">
      <c r="B157" s="110">
        <f t="shared" si="0"/>
        <v>2032</v>
      </c>
      <c r="C157" s="135">
        <f>[28]С2.5!$Q$11</f>
        <v>0</v>
      </c>
    </row>
    <row r="158" spans="1:3" ht="13.5" hidden="1" thickBot="1" x14ac:dyDescent="0.25">
      <c r="B158" s="110">
        <f t="shared" si="0"/>
        <v>2033</v>
      </c>
      <c r="C158" s="135">
        <f>[28]С2.5!$R$11</f>
        <v>0</v>
      </c>
    </row>
    <row r="159" spans="1:3" ht="13.5" hidden="1" thickBot="1" x14ac:dyDescent="0.25">
      <c r="B159" s="110">
        <f t="shared" si="0"/>
        <v>2034</v>
      </c>
      <c r="C159" s="135">
        <f>[28]С2.5!$S$11</f>
        <v>0</v>
      </c>
    </row>
    <row r="160" spans="1:3" ht="13.5" hidden="1" thickBot="1" x14ac:dyDescent="0.25">
      <c r="B160" s="110">
        <f t="shared" si="0"/>
        <v>2035</v>
      </c>
      <c r="C160" s="135">
        <f>[28]С2.5!$T$11</f>
        <v>0</v>
      </c>
    </row>
    <row r="161" spans="2:3" ht="13.5" hidden="1" thickBot="1" x14ac:dyDescent="0.25">
      <c r="B161" s="110">
        <f t="shared" si="0"/>
        <v>2036</v>
      </c>
      <c r="C161" s="135">
        <f>[28]С2.5!$U$11</f>
        <v>0</v>
      </c>
    </row>
    <row r="162" spans="2:3" ht="13.5" hidden="1" thickBot="1" x14ac:dyDescent="0.25">
      <c r="B162" s="110">
        <f t="shared" si="0"/>
        <v>2037</v>
      </c>
      <c r="C162" s="135">
        <f>[28]С2.5!$V$11</f>
        <v>0</v>
      </c>
    </row>
    <row r="163" spans="2:3" ht="13.5" hidden="1" thickBot="1" x14ac:dyDescent="0.25">
      <c r="B163" s="110">
        <f t="shared" si="0"/>
        <v>2038</v>
      </c>
      <c r="C163" s="135">
        <f>[28]С2.5!$W$11</f>
        <v>0</v>
      </c>
    </row>
    <row r="164" spans="2:3" ht="13.5" hidden="1" thickBot="1" x14ac:dyDescent="0.25">
      <c r="B164" s="110">
        <f t="shared" si="0"/>
        <v>2039</v>
      </c>
      <c r="C164" s="135">
        <f>[28]С2.5!$X$11</f>
        <v>0</v>
      </c>
    </row>
    <row r="165" spans="2:3" ht="13.5" hidden="1" thickBot="1" x14ac:dyDescent="0.25">
      <c r="B165" s="110">
        <f t="shared" si="0"/>
        <v>2040</v>
      </c>
      <c r="C165" s="135">
        <f>[28]С2.5!$Y$11</f>
        <v>0</v>
      </c>
    </row>
    <row r="166" spans="2:3" ht="13.5" hidden="1" thickBot="1" x14ac:dyDescent="0.25">
      <c r="B166" s="110">
        <f t="shared" si="0"/>
        <v>2041</v>
      </c>
      <c r="C166" s="135">
        <f>[28]С2.5!$Z$11</f>
        <v>0</v>
      </c>
    </row>
    <row r="167" spans="2:3" ht="13.5" hidden="1" thickBot="1" x14ac:dyDescent="0.25">
      <c r="B167" s="110">
        <f t="shared" si="0"/>
        <v>2042</v>
      </c>
      <c r="C167" s="135">
        <f>[28]С2.5!$AA$11</f>
        <v>0</v>
      </c>
    </row>
    <row r="168" spans="2:3" ht="13.5" hidden="1" thickBot="1" x14ac:dyDescent="0.25">
      <c r="B168" s="110">
        <f t="shared" si="0"/>
        <v>2043</v>
      </c>
      <c r="C168" s="135">
        <f>[28]С2.5!$AB$11</f>
        <v>0</v>
      </c>
    </row>
    <row r="169" spans="2:3" ht="13.5" hidden="1" thickBot="1" x14ac:dyDescent="0.25">
      <c r="B169" s="110">
        <f t="shared" si="0"/>
        <v>2044</v>
      </c>
      <c r="C169" s="135">
        <f>[28]С2.5!$AC$11</f>
        <v>0</v>
      </c>
    </row>
    <row r="170" spans="2:3" ht="13.5" hidden="1" thickBot="1" x14ac:dyDescent="0.25">
      <c r="B170" s="110">
        <f t="shared" si="0"/>
        <v>2045</v>
      </c>
      <c r="C170" s="135">
        <f>[28]С2.5!$AD$11</f>
        <v>0</v>
      </c>
    </row>
    <row r="171" spans="2:3" ht="13.5" hidden="1" thickBot="1" x14ac:dyDescent="0.25">
      <c r="B171" s="110">
        <f t="shared" si="0"/>
        <v>2046</v>
      </c>
      <c r="C171" s="135">
        <f>[28]С2.5!$AE$11</f>
        <v>0</v>
      </c>
    </row>
    <row r="172" spans="2:3" ht="13.5" hidden="1" thickBot="1" x14ac:dyDescent="0.25">
      <c r="B172" s="110">
        <f t="shared" si="0"/>
        <v>2047</v>
      </c>
      <c r="C172" s="135">
        <f>[28]С2.5!$AF$11</f>
        <v>0</v>
      </c>
    </row>
    <row r="173" spans="2:3" ht="13.5" hidden="1" thickBot="1" x14ac:dyDescent="0.25">
      <c r="B173" s="110">
        <f t="shared" si="0"/>
        <v>2048</v>
      </c>
      <c r="C173" s="135">
        <f>[28]С2.5!$AG$11</f>
        <v>0</v>
      </c>
    </row>
    <row r="174" spans="2:3" ht="13.5" hidden="1" thickBot="1" x14ac:dyDescent="0.25">
      <c r="B174" s="110">
        <f t="shared" si="0"/>
        <v>2049</v>
      </c>
      <c r="C174" s="135">
        <f>[28]С2.5!$AH$11</f>
        <v>0</v>
      </c>
    </row>
    <row r="175" spans="2:3" ht="13.5" hidden="1" thickBot="1" x14ac:dyDescent="0.25">
      <c r="B175" s="110">
        <f t="shared" si="0"/>
        <v>2050</v>
      </c>
      <c r="C175" s="135">
        <f>[28]С2.5!$AI$11</f>
        <v>0</v>
      </c>
    </row>
    <row r="176" spans="2:3" ht="13.5" hidden="1" thickBot="1" x14ac:dyDescent="0.25">
      <c r="B176" s="110">
        <f t="shared" si="0"/>
        <v>2051</v>
      </c>
      <c r="C176" s="135">
        <f>[28]С2.5!$AJ$11</f>
        <v>0</v>
      </c>
    </row>
    <row r="177" spans="2:3" ht="13.5" hidden="1" thickBot="1" x14ac:dyDescent="0.25">
      <c r="B177" s="110">
        <f t="shared" si="0"/>
        <v>2052</v>
      </c>
      <c r="C177" s="135">
        <f>[28]С2.5!$AK$11</f>
        <v>0</v>
      </c>
    </row>
    <row r="178" spans="2:3" ht="13.5" hidden="1" thickBot="1" x14ac:dyDescent="0.25">
      <c r="B178" s="110">
        <f t="shared" si="0"/>
        <v>2053</v>
      </c>
      <c r="C178" s="135">
        <f>[28]С2.5!$AL$11</f>
        <v>0</v>
      </c>
    </row>
    <row r="179" spans="2:3" ht="13.5" hidden="1" thickBot="1" x14ac:dyDescent="0.25">
      <c r="B179" s="110">
        <f t="shared" si="0"/>
        <v>2054</v>
      </c>
      <c r="C179" s="135">
        <f>[28]С2.5!$AM$11</f>
        <v>0</v>
      </c>
    </row>
    <row r="180" spans="2:3" ht="13.5" hidden="1" thickBot="1" x14ac:dyDescent="0.25">
      <c r="B180" s="110">
        <f t="shared" si="0"/>
        <v>2055</v>
      </c>
      <c r="C180" s="135">
        <f>[28]С2.5!$AN$11</f>
        <v>0</v>
      </c>
    </row>
    <row r="181" spans="2:3" ht="13.5" hidden="1" thickBot="1" x14ac:dyDescent="0.25">
      <c r="B181" s="110">
        <f t="shared" si="0"/>
        <v>2056</v>
      </c>
      <c r="C181" s="135">
        <f>[28]С2.5!$AO$11</f>
        <v>0</v>
      </c>
    </row>
    <row r="182" spans="2:3" ht="13.5" hidden="1" thickBot="1" x14ac:dyDescent="0.25">
      <c r="B182" s="110">
        <f t="shared" si="0"/>
        <v>2057</v>
      </c>
      <c r="C182" s="135">
        <f>[28]С2.5!$AP$11</f>
        <v>0</v>
      </c>
    </row>
    <row r="183" spans="2:3" ht="13.5" hidden="1" thickBot="1" x14ac:dyDescent="0.25">
      <c r="B183" s="110">
        <f t="shared" si="0"/>
        <v>2058</v>
      </c>
      <c r="C183" s="135">
        <f>[28]С2.5!$AQ$11</f>
        <v>0</v>
      </c>
    </row>
    <row r="184" spans="2:3" ht="13.5" hidden="1" thickBot="1" x14ac:dyDescent="0.25">
      <c r="B184" s="110">
        <f t="shared" si="0"/>
        <v>2059</v>
      </c>
      <c r="C184" s="135">
        <f>[28]С2.5!$AR$11</f>
        <v>0</v>
      </c>
    </row>
    <row r="185" spans="2:3" ht="13.5" hidden="1" thickBot="1" x14ac:dyDescent="0.25">
      <c r="B185" s="110">
        <f t="shared" si="0"/>
        <v>2060</v>
      </c>
      <c r="C185" s="135">
        <f>[28]С2.5!$AS$11</f>
        <v>0</v>
      </c>
    </row>
    <row r="186" spans="2:3" ht="13.5" hidden="1" thickBot="1" x14ac:dyDescent="0.25">
      <c r="B186" s="110">
        <f t="shared" si="0"/>
        <v>2061</v>
      </c>
      <c r="C186" s="135">
        <f>[28]С2.5!$AT$11</f>
        <v>0</v>
      </c>
    </row>
    <row r="187" spans="2:3" ht="13.5" hidden="1" thickBot="1" x14ac:dyDescent="0.25">
      <c r="B187" s="110">
        <f t="shared" si="0"/>
        <v>2062</v>
      </c>
      <c r="C187" s="135">
        <f>[28]С2.5!$AU$11</f>
        <v>0</v>
      </c>
    </row>
    <row r="188" spans="2:3" ht="13.5" hidden="1" thickBot="1" x14ac:dyDescent="0.25">
      <c r="B188" s="110">
        <f t="shared" si="0"/>
        <v>2063</v>
      </c>
      <c r="C188" s="135">
        <f>[28]С2.5!$AV$11</f>
        <v>0</v>
      </c>
    </row>
    <row r="189" spans="2:3" ht="13.5" hidden="1" thickBot="1" x14ac:dyDescent="0.25">
      <c r="B189" s="110">
        <f t="shared" si="0"/>
        <v>2064</v>
      </c>
      <c r="C189" s="135">
        <f>[28]С2.5!$AW$11</f>
        <v>0</v>
      </c>
    </row>
    <row r="190" spans="2:3" ht="13.5" hidden="1" thickBot="1" x14ac:dyDescent="0.25">
      <c r="B190" s="110">
        <f t="shared" si="0"/>
        <v>2065</v>
      </c>
      <c r="C190" s="135">
        <f>[28]С2.5!$AX$11</f>
        <v>0</v>
      </c>
    </row>
    <row r="191" spans="2:3" ht="13.5" hidden="1" thickBot="1" x14ac:dyDescent="0.25">
      <c r="B191" s="110">
        <f t="shared" si="0"/>
        <v>2066</v>
      </c>
      <c r="C191" s="135">
        <f>[28]С2.5!$AY$11</f>
        <v>0</v>
      </c>
    </row>
    <row r="192" spans="2:3" ht="13.5" hidden="1" thickBot="1" x14ac:dyDescent="0.25">
      <c r="B192" s="110">
        <f t="shared" si="0"/>
        <v>2067</v>
      </c>
      <c r="C192" s="135">
        <f>[28]С2.5!$AZ$11</f>
        <v>0</v>
      </c>
    </row>
    <row r="193" spans="2:3" ht="13.5" hidden="1" thickBot="1" x14ac:dyDescent="0.25">
      <c r="B193" s="110">
        <f t="shared" si="0"/>
        <v>2068</v>
      </c>
      <c r="C193" s="135">
        <f>[28]С2.5!$BA$11</f>
        <v>0</v>
      </c>
    </row>
    <row r="194" spans="2:3" ht="13.5" hidden="1" thickBot="1" x14ac:dyDescent="0.25">
      <c r="B194" s="110">
        <f t="shared" si="0"/>
        <v>2069</v>
      </c>
      <c r="C194" s="135">
        <f>[28]С2.5!$BB$11</f>
        <v>0</v>
      </c>
    </row>
    <row r="195" spans="2:3" ht="13.5" hidden="1" thickBot="1" x14ac:dyDescent="0.25">
      <c r="B195" s="110">
        <f t="shared" si="0"/>
        <v>2070</v>
      </c>
      <c r="C195" s="135">
        <f>[28]С2.5!$BC$11</f>
        <v>0</v>
      </c>
    </row>
    <row r="196" spans="2:3" ht="13.5" hidden="1" thickBot="1" x14ac:dyDescent="0.25">
      <c r="B196" s="110">
        <f t="shared" si="0"/>
        <v>2071</v>
      </c>
      <c r="C196" s="135">
        <f>[28]С2.5!$BD$11</f>
        <v>0</v>
      </c>
    </row>
    <row r="197" spans="2:3" ht="13.5" hidden="1" thickBot="1" x14ac:dyDescent="0.25">
      <c r="B197" s="110">
        <f t="shared" si="0"/>
        <v>2072</v>
      </c>
      <c r="C197" s="135">
        <f>[28]С2.5!$BE$11</f>
        <v>0</v>
      </c>
    </row>
    <row r="198" spans="2:3" ht="13.5" hidden="1" thickBot="1" x14ac:dyDescent="0.25">
      <c r="B198" s="110">
        <f t="shared" si="0"/>
        <v>2073</v>
      </c>
      <c r="C198" s="135">
        <f>[28]С2.5!$BF$11</f>
        <v>0</v>
      </c>
    </row>
    <row r="199" spans="2:3" ht="13.5" hidden="1" thickBot="1" x14ac:dyDescent="0.25">
      <c r="B199" s="110">
        <f t="shared" si="0"/>
        <v>2074</v>
      </c>
      <c r="C199" s="135">
        <f>[28]С2.5!$BG$11</f>
        <v>0</v>
      </c>
    </row>
    <row r="200" spans="2:3" ht="13.5" hidden="1" thickBot="1" x14ac:dyDescent="0.25">
      <c r="B200" s="110">
        <f t="shared" si="0"/>
        <v>2075</v>
      </c>
      <c r="C200" s="135">
        <f>[28]С2.5!$BH$11</f>
        <v>0</v>
      </c>
    </row>
    <row r="201" spans="2:3" ht="13.5" hidden="1" thickBot="1" x14ac:dyDescent="0.25">
      <c r="B201" s="110">
        <f t="shared" si="0"/>
        <v>2076</v>
      </c>
      <c r="C201" s="135">
        <f>[28]С2.5!$BI$11</f>
        <v>0</v>
      </c>
    </row>
    <row r="202" spans="2:3" ht="13.5" hidden="1" thickBot="1" x14ac:dyDescent="0.25">
      <c r="B202" s="110">
        <f t="shared" si="0"/>
        <v>2077</v>
      </c>
      <c r="C202" s="135">
        <f>[28]С2.5!$BJ$11</f>
        <v>0</v>
      </c>
    </row>
    <row r="203" spans="2:3" ht="13.5" hidden="1" thickBot="1" x14ac:dyDescent="0.25">
      <c r="B203" s="110">
        <f t="shared" si="0"/>
        <v>2078</v>
      </c>
      <c r="C203" s="135">
        <f>[28]С2.5!$BK$11</f>
        <v>0</v>
      </c>
    </row>
    <row r="204" spans="2:3" ht="13.5" hidden="1" thickBot="1" x14ac:dyDescent="0.25">
      <c r="B204" s="110">
        <f t="shared" si="0"/>
        <v>2079</v>
      </c>
      <c r="C204" s="135">
        <f>[28]С2.5!$BL$11</f>
        <v>0</v>
      </c>
    </row>
    <row r="205" spans="2:3" ht="13.5" hidden="1" thickBot="1" x14ac:dyDescent="0.25">
      <c r="B205" s="110">
        <f t="shared" si="0"/>
        <v>2080</v>
      </c>
      <c r="C205" s="135">
        <f>[28]С2.5!$BM$11</f>
        <v>0</v>
      </c>
    </row>
    <row r="206" spans="2:3" ht="13.5" hidden="1" thickBot="1" x14ac:dyDescent="0.25">
      <c r="B206" s="110">
        <f t="shared" si="0"/>
        <v>2081</v>
      </c>
      <c r="C206" s="135">
        <f>[28]С2.5!$BN$11</f>
        <v>0</v>
      </c>
    </row>
    <row r="207" spans="2:3" ht="13.5" hidden="1" thickBot="1" x14ac:dyDescent="0.25">
      <c r="B207" s="110">
        <f t="shared" si="0"/>
        <v>2082</v>
      </c>
      <c r="C207" s="135">
        <f>[28]С2.5!$BO$11</f>
        <v>0</v>
      </c>
    </row>
    <row r="208" spans="2:3" ht="13.5" hidden="1" thickBot="1" x14ac:dyDescent="0.25">
      <c r="B208" s="110">
        <f t="shared" si="0"/>
        <v>2083</v>
      </c>
      <c r="C208" s="135">
        <f>[28]С2.5!$BP$11</f>
        <v>0</v>
      </c>
    </row>
    <row r="209" spans="2:3" ht="13.5" hidden="1" thickBot="1" x14ac:dyDescent="0.25">
      <c r="B209" s="110">
        <f t="shared" si="0"/>
        <v>2084</v>
      </c>
      <c r="C209" s="135">
        <f>[28]С2.5!$BQ$11</f>
        <v>0</v>
      </c>
    </row>
    <row r="210" spans="2:3" ht="13.5" hidden="1" thickBot="1" x14ac:dyDescent="0.25">
      <c r="B210" s="110">
        <f t="shared" si="0"/>
        <v>2085</v>
      </c>
      <c r="C210" s="135">
        <f>[28]С2.5!$BR$11</f>
        <v>0</v>
      </c>
    </row>
    <row r="211" spans="2:3" ht="13.5" hidden="1" thickBot="1" x14ac:dyDescent="0.25">
      <c r="B211" s="110">
        <f t="shared" ref="B211:B224" si="1">B210+1</f>
        <v>2086</v>
      </c>
      <c r="C211" s="135">
        <f>[28]С2.5!$BS$11</f>
        <v>0</v>
      </c>
    </row>
    <row r="212" spans="2:3" ht="13.5" hidden="1" thickBot="1" x14ac:dyDescent="0.25">
      <c r="B212" s="110">
        <f t="shared" si="1"/>
        <v>2087</v>
      </c>
      <c r="C212" s="135">
        <f>[28]С2.5!$BT$11</f>
        <v>0</v>
      </c>
    </row>
    <row r="213" spans="2:3" ht="13.5" hidden="1" thickBot="1" x14ac:dyDescent="0.25">
      <c r="B213" s="110">
        <f t="shared" si="1"/>
        <v>2088</v>
      </c>
      <c r="C213" s="135">
        <f>[28]С2.5!$BU$11</f>
        <v>0</v>
      </c>
    </row>
    <row r="214" spans="2:3" ht="13.5" hidden="1" thickBot="1" x14ac:dyDescent="0.25">
      <c r="B214" s="110">
        <f t="shared" si="1"/>
        <v>2089</v>
      </c>
      <c r="C214" s="135">
        <f>[28]С2.5!$BV$11</f>
        <v>0</v>
      </c>
    </row>
    <row r="215" spans="2:3" ht="13.5" hidden="1" thickBot="1" x14ac:dyDescent="0.25">
      <c r="B215" s="110">
        <f t="shared" si="1"/>
        <v>2090</v>
      </c>
      <c r="C215" s="135">
        <f>[28]С2.5!$BW$11</f>
        <v>0</v>
      </c>
    </row>
    <row r="216" spans="2:3" ht="13.5" hidden="1" thickBot="1" x14ac:dyDescent="0.25">
      <c r="B216" s="110">
        <f t="shared" si="1"/>
        <v>2091</v>
      </c>
      <c r="C216" s="135">
        <f>[28]С2.5!$BX$11</f>
        <v>0</v>
      </c>
    </row>
    <row r="217" spans="2:3" ht="13.5" hidden="1" thickBot="1" x14ac:dyDescent="0.25">
      <c r="B217" s="110">
        <f t="shared" si="1"/>
        <v>2092</v>
      </c>
      <c r="C217" s="135">
        <f>[28]С2.5!$BY$11</f>
        <v>0</v>
      </c>
    </row>
    <row r="218" spans="2:3" ht="13.5" hidden="1" thickBot="1" x14ac:dyDescent="0.25">
      <c r="B218" s="110">
        <f t="shared" si="1"/>
        <v>2093</v>
      </c>
      <c r="C218" s="135">
        <f>[28]С2.5!$BZ$11</f>
        <v>0</v>
      </c>
    </row>
    <row r="219" spans="2:3" ht="13.5" hidden="1" thickBot="1" x14ac:dyDescent="0.25">
      <c r="B219" s="110">
        <f t="shared" si="1"/>
        <v>2094</v>
      </c>
      <c r="C219" s="135">
        <f>[28]С2.5!$CA$11</f>
        <v>0</v>
      </c>
    </row>
    <row r="220" spans="2:3" ht="13.5" hidden="1" thickBot="1" x14ac:dyDescent="0.25">
      <c r="B220" s="110">
        <f t="shared" si="1"/>
        <v>2095</v>
      </c>
      <c r="C220" s="135">
        <f>[28]С2.5!$CB$11</f>
        <v>0</v>
      </c>
    </row>
    <row r="221" spans="2:3" ht="13.5" hidden="1" thickBot="1" x14ac:dyDescent="0.25">
      <c r="B221" s="110">
        <f t="shared" si="1"/>
        <v>2096</v>
      </c>
      <c r="C221" s="135">
        <f>[28]С2.5!$CC$11</f>
        <v>0</v>
      </c>
    </row>
    <row r="222" spans="2:3" ht="13.5" hidden="1" thickBot="1" x14ac:dyDescent="0.25">
      <c r="B222" s="110">
        <f t="shared" si="1"/>
        <v>2097</v>
      </c>
      <c r="C222" s="135">
        <f>[28]С2.5!$CD$11</f>
        <v>0</v>
      </c>
    </row>
    <row r="223" spans="2:3" ht="13.5" hidden="1" thickBot="1" x14ac:dyDescent="0.25">
      <c r="B223" s="110">
        <f t="shared" si="1"/>
        <v>2098</v>
      </c>
      <c r="C223" s="135">
        <f>[28]С2.5!$CE$11</f>
        <v>0</v>
      </c>
    </row>
    <row r="224" spans="2:3" ht="13.5" hidden="1" thickBot="1" x14ac:dyDescent="0.25">
      <c r="B224" s="110">
        <f t="shared" si="1"/>
        <v>2099</v>
      </c>
      <c r="C224" s="135">
        <f>[28]С2.5!$CF$11</f>
        <v>0</v>
      </c>
    </row>
    <row r="225" spans="2:3" ht="13.5" hidden="1" thickBot="1" x14ac:dyDescent="0.25">
      <c r="B225" s="112">
        <f>B162+1</f>
        <v>2038</v>
      </c>
      <c r="C225" s="136" t="e">
        <f>[28]С2.5!#REF!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4" sqref="F4"/>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[29]И1!D13</f>
        <v>Субъект Российской Федерации</v>
      </c>
      <c r="C4" s="10" t="str">
        <f>[29]И1!E13</f>
        <v>Новосибирская область</v>
      </c>
    </row>
    <row r="5" spans="1:3" ht="48.6" customHeight="1" x14ac:dyDescent="0.2">
      <c r="A5" s="8"/>
      <c r="B5" s="9" t="str">
        <f>[29]И1!D14</f>
        <v>Тип муниципального образования (выберите из списка)</v>
      </c>
      <c r="C5" s="10" t="str">
        <f>[29]И1!E14</f>
        <v>село Лебедевка, Искитимский муниципальный район</v>
      </c>
    </row>
    <row r="6" spans="1:3" x14ac:dyDescent="0.2">
      <c r="A6" s="8"/>
      <c r="B6" s="9" t="str">
        <f>IF([29]И1!E15="","",[29]И1!D15)</f>
        <v/>
      </c>
      <c r="C6" s="7" t="str">
        <f>IF([29]И1!E15="","",[29]И1!E15)</f>
        <v/>
      </c>
    </row>
    <row r="7" spans="1:3" x14ac:dyDescent="0.2">
      <c r="A7" s="8"/>
      <c r="B7" s="9" t="str">
        <f>[29]И1!D16</f>
        <v>Код ОКТМО</v>
      </c>
      <c r="C7" s="11" t="str">
        <f>[29]И1!E16</f>
        <v xml:space="preserve"> (50615422101)</v>
      </c>
    </row>
    <row r="8" spans="1:3" x14ac:dyDescent="0.2">
      <c r="A8" s="8"/>
      <c r="B8" s="12" t="str">
        <f>[29]И1!D17</f>
        <v>Система теплоснабжения</v>
      </c>
      <c r="C8" s="13">
        <f>[29]И1!E17</f>
        <v>0</v>
      </c>
    </row>
    <row r="9" spans="1:3" x14ac:dyDescent="0.2">
      <c r="A9" s="8"/>
      <c r="B9" s="9" t="str">
        <f>[29]И1!D8</f>
        <v>Период регулирования (i)-й</v>
      </c>
      <c r="C9" s="14">
        <f>[29]И1!E8</f>
        <v>2025</v>
      </c>
    </row>
    <row r="10" spans="1:3" x14ac:dyDescent="0.2">
      <c r="A10" s="8"/>
      <c r="B10" s="9" t="str">
        <f>[29]И1!D9</f>
        <v>Период регулирования (i-1)-й</v>
      </c>
      <c r="C10" s="14">
        <f>[29]И1!E9</f>
        <v>2024</v>
      </c>
    </row>
    <row r="11" spans="1:3" x14ac:dyDescent="0.2">
      <c r="A11" s="8"/>
      <c r="B11" s="9" t="str">
        <f>[29]И1!D10</f>
        <v>Период регулирования (i-2)-й</v>
      </c>
      <c r="C11" s="14">
        <f>[29]И1!E10</f>
        <v>2023</v>
      </c>
    </row>
    <row r="12" spans="1:3" x14ac:dyDescent="0.2">
      <c r="A12" s="8"/>
      <c r="B12" s="9" t="str">
        <f>[29]И1!D11</f>
        <v>Базовый год (б)</v>
      </c>
      <c r="C12" s="14">
        <f>[29]И1!E11</f>
        <v>2019</v>
      </c>
    </row>
    <row r="13" spans="1:3" x14ac:dyDescent="0.2">
      <c r="A13" s="8"/>
      <c r="B13" s="9" t="str">
        <f>[29]И1!D18</f>
        <v>Вид топлива, использование которого преобладает в системе теплоснабжения</v>
      </c>
      <c r="C13" s="15" t="str">
        <f>[29]И1!E18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4215.8735410319287</v>
      </c>
    </row>
    <row r="18" spans="1:3" ht="42.75" x14ac:dyDescent="0.2">
      <c r="A18" s="22" t="s">
        <v>8</v>
      </c>
      <c r="B18" s="25" t="s">
        <v>9</v>
      </c>
      <c r="C18" s="26">
        <f>[29]С1!F12</f>
        <v>1201.0642791911237</v>
      </c>
    </row>
    <row r="19" spans="1:3" ht="42.75" x14ac:dyDescent="0.2">
      <c r="A19" s="22" t="s">
        <v>10</v>
      </c>
      <c r="B19" s="25" t="s">
        <v>11</v>
      </c>
      <c r="C19" s="26">
        <f>[29]С2!F12</f>
        <v>2049.7946392543367</v>
      </c>
    </row>
    <row r="20" spans="1:3" ht="30" x14ac:dyDescent="0.2">
      <c r="A20" s="22" t="s">
        <v>12</v>
      </c>
      <c r="B20" s="25" t="s">
        <v>13</v>
      </c>
      <c r="C20" s="26">
        <f>[29]С3!F12</f>
        <v>613.3572799725365</v>
      </c>
    </row>
    <row r="21" spans="1:3" ht="42.75" x14ac:dyDescent="0.2">
      <c r="A21" s="22" t="s">
        <v>14</v>
      </c>
      <c r="B21" s="25" t="s">
        <v>228</v>
      </c>
      <c r="C21" s="26">
        <f>[29]С4!F12</f>
        <v>268.99315553487406</v>
      </c>
    </row>
    <row r="22" spans="1:3" ht="33" customHeight="1" x14ac:dyDescent="0.2">
      <c r="A22" s="22" t="s">
        <v>16</v>
      </c>
      <c r="B22" s="25" t="s">
        <v>229</v>
      </c>
      <c r="C22" s="26">
        <f>[29]С5!F12</f>
        <v>82.664187079057427</v>
      </c>
    </row>
    <row r="23" spans="1:3" ht="45.75" customHeight="1" thickBot="1" x14ac:dyDescent="0.25">
      <c r="A23" s="27" t="s">
        <v>18</v>
      </c>
      <c r="B23" s="140" t="s">
        <v>230</v>
      </c>
      <c r="C23" s="28">
        <f>[29]С6!F12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[29]С1.1!E16</f>
        <v>7900</v>
      </c>
    </row>
    <row r="29" spans="1:3" ht="42.75" x14ac:dyDescent="0.2">
      <c r="A29" s="22" t="s">
        <v>10</v>
      </c>
      <c r="B29" s="33" t="s">
        <v>232</v>
      </c>
      <c r="C29" s="34">
        <f>[29]С1.1!E32</f>
        <v>6213.94</v>
      </c>
    </row>
    <row r="30" spans="1:3" ht="38.25" x14ac:dyDescent="0.2">
      <c r="A30" s="22" t="s">
        <v>233</v>
      </c>
      <c r="B30" s="33" t="s">
        <v>234</v>
      </c>
      <c r="C30" s="85" t="str">
        <f>[29]С1.1!E25</f>
        <v>ООО "Газпром газораспределение Томск"</v>
      </c>
    </row>
    <row r="31" spans="1:3" ht="38.25" x14ac:dyDescent="0.2">
      <c r="A31" s="22" t="s">
        <v>235</v>
      </c>
      <c r="B31" s="33" t="str">
        <f>[29]С1.1!D26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[29]С1.1!E26</f>
        <v>5099</v>
      </c>
    </row>
    <row r="32" spans="1:3" ht="25.5" x14ac:dyDescent="0.2">
      <c r="A32" s="22" t="s">
        <v>236</v>
      </c>
      <c r="B32" s="33" t="str">
        <f>[29]С1.1!D27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[29]С1.1!E27</f>
        <v>740.38</v>
      </c>
    </row>
    <row r="33" spans="1:3" ht="25.5" x14ac:dyDescent="0.2">
      <c r="A33" s="22" t="s">
        <v>237</v>
      </c>
      <c r="B33" s="33" t="str">
        <f>[29]С1.1!D28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[29]С1.1!E28</f>
        <v>144.72999999999999</v>
      </c>
    </row>
    <row r="34" spans="1:3" ht="38.25" x14ac:dyDescent="0.2">
      <c r="A34" s="22" t="s">
        <v>238</v>
      </c>
      <c r="B34" s="33" t="str">
        <f>[29]С1.1!D29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[29]С1.1!E29</f>
        <v>229.83</v>
      </c>
    </row>
    <row r="35" spans="1:3" ht="17.25" x14ac:dyDescent="0.2">
      <c r="A35" s="22" t="s">
        <v>12</v>
      </c>
      <c r="B35" s="33" t="s">
        <v>23</v>
      </c>
      <c r="C35" s="35">
        <f>[29]С1.1!E20</f>
        <v>0.112</v>
      </c>
    </row>
    <row r="36" spans="1:3" ht="17.25" x14ac:dyDescent="0.2">
      <c r="A36" s="22" t="s">
        <v>14</v>
      </c>
      <c r="B36" s="33" t="s">
        <v>24</v>
      </c>
      <c r="C36" s="35">
        <f>[29]С1.1!E21</f>
        <v>0.21299999999999999</v>
      </c>
    </row>
    <row r="37" spans="1:3" ht="30" x14ac:dyDescent="0.2">
      <c r="A37" s="22" t="s">
        <v>16</v>
      </c>
      <c r="B37" s="36" t="s">
        <v>239</v>
      </c>
      <c r="C37" s="121">
        <f>[29]С1!F13</f>
        <v>156.1</v>
      </c>
    </row>
    <row r="38" spans="1:3" x14ac:dyDescent="0.2">
      <c r="A38" s="22" t="s">
        <v>18</v>
      </c>
      <c r="B38" s="36" t="s">
        <v>26</v>
      </c>
      <c r="C38" s="38">
        <f>[29]С1!F16</f>
        <v>7000</v>
      </c>
    </row>
    <row r="39" spans="1:3" ht="14.25" x14ac:dyDescent="0.2">
      <c r="A39" s="122" t="s">
        <v>27</v>
      </c>
      <c r="B39" s="39" t="s">
        <v>240</v>
      </c>
      <c r="C39" s="40">
        <f>[29]С1!F17</f>
        <v>1.1285714285714286</v>
      </c>
    </row>
    <row r="40" spans="1:3" ht="15.75" x14ac:dyDescent="0.2">
      <c r="A40" s="123" t="s">
        <v>29</v>
      </c>
      <c r="B40" s="42" t="s">
        <v>30</v>
      </c>
      <c r="C40" s="40">
        <f>[29]С1!F20</f>
        <v>22.307053372799995</v>
      </c>
    </row>
    <row r="41" spans="1:3" ht="15.75" x14ac:dyDescent="0.2">
      <c r="A41" s="123" t="s">
        <v>31</v>
      </c>
      <c r="B41" s="43" t="s">
        <v>32</v>
      </c>
      <c r="C41" s="40">
        <f>[29]С1!F21</f>
        <v>21.531904799999996</v>
      </c>
    </row>
    <row r="42" spans="1:3" ht="14.25" x14ac:dyDescent="0.2">
      <c r="A42" s="123" t="s">
        <v>33</v>
      </c>
      <c r="B42" s="44" t="s">
        <v>34</v>
      </c>
      <c r="C42" s="40">
        <f>[29]С1!F22</f>
        <v>1.036</v>
      </c>
    </row>
    <row r="43" spans="1:3" ht="53.25" thickBot="1" x14ac:dyDescent="0.25">
      <c r="A43" s="27" t="s">
        <v>35</v>
      </c>
      <c r="B43" s="45" t="s">
        <v>36</v>
      </c>
      <c r="C43" s="46" t="str">
        <f>[29]С1!F23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[29]С2.1!E12</f>
        <v>V</v>
      </c>
    </row>
    <row r="47" spans="1:3" ht="25.5" x14ac:dyDescent="0.2">
      <c r="A47" s="22" t="s">
        <v>41</v>
      </c>
      <c r="B47" s="33" t="s">
        <v>42</v>
      </c>
      <c r="C47" s="51" t="str">
        <f>[29]С2.1!E13</f>
        <v>6 и менее баллов</v>
      </c>
    </row>
    <row r="48" spans="1:3" ht="25.5" x14ac:dyDescent="0.2">
      <c r="A48" s="22" t="s">
        <v>43</v>
      </c>
      <c r="B48" s="33" t="s">
        <v>241</v>
      </c>
      <c r="C48" s="51" t="str">
        <f>[29]С2.1!E14</f>
        <v>от 200 до 500</v>
      </c>
    </row>
    <row r="49" spans="1:3" ht="25.5" x14ac:dyDescent="0.2">
      <c r="A49" s="22" t="s">
        <v>45</v>
      </c>
      <c r="B49" s="33" t="s">
        <v>242</v>
      </c>
      <c r="C49" s="52" t="str">
        <f>[29]С2.1!E15</f>
        <v>нет</v>
      </c>
    </row>
    <row r="50" spans="1:3" ht="30" x14ac:dyDescent="0.2">
      <c r="A50" s="22" t="s">
        <v>47</v>
      </c>
      <c r="B50" s="33" t="s">
        <v>48</v>
      </c>
      <c r="C50" s="34">
        <f>[29]С2!F18</f>
        <v>38910.02669467502</v>
      </c>
    </row>
    <row r="51" spans="1:3" ht="30" x14ac:dyDescent="0.2">
      <c r="A51" s="22" t="s">
        <v>49</v>
      </c>
      <c r="B51" s="53" t="s">
        <v>50</v>
      </c>
      <c r="C51" s="34">
        <f>IF([29]С2!F19&gt;0,[29]С2!F19,[29]С2!F20)</f>
        <v>23441.524932855718</v>
      </c>
    </row>
    <row r="52" spans="1:3" ht="25.5" x14ac:dyDescent="0.2">
      <c r="A52" s="22" t="s">
        <v>51</v>
      </c>
      <c r="B52" s="54" t="s">
        <v>52</v>
      </c>
      <c r="C52" s="34">
        <f>[29]С2.1!E20</f>
        <v>-38</v>
      </c>
    </row>
    <row r="53" spans="1:3" ht="25.5" x14ac:dyDescent="0.2">
      <c r="A53" s="22" t="s">
        <v>53</v>
      </c>
      <c r="B53" s="54" t="s">
        <v>54</v>
      </c>
      <c r="C53" s="34" t="str">
        <f>[29]С2.1!E23</f>
        <v>нет</v>
      </c>
    </row>
    <row r="54" spans="1:3" ht="38.25" x14ac:dyDescent="0.2">
      <c r="A54" s="22" t="s">
        <v>55</v>
      </c>
      <c r="B54" s="55" t="s">
        <v>56</v>
      </c>
      <c r="C54" s="34">
        <f>[29]С2.2!E10</f>
        <v>1287</v>
      </c>
    </row>
    <row r="55" spans="1:3" ht="25.5" x14ac:dyDescent="0.2">
      <c r="A55" s="22" t="s">
        <v>57</v>
      </c>
      <c r="B55" s="56" t="s">
        <v>58</v>
      </c>
      <c r="C55" s="34">
        <f>[29]С2.2!E12</f>
        <v>5.97</v>
      </c>
    </row>
    <row r="56" spans="1:3" ht="52.5" x14ac:dyDescent="0.2">
      <c r="A56" s="22" t="s">
        <v>59</v>
      </c>
      <c r="B56" s="57" t="s">
        <v>60</v>
      </c>
      <c r="C56" s="34">
        <f>[29]С2.2!E13</f>
        <v>1</v>
      </c>
    </row>
    <row r="57" spans="1:3" ht="27.75" x14ac:dyDescent="0.2">
      <c r="A57" s="22" t="s">
        <v>61</v>
      </c>
      <c r="B57" s="56" t="s">
        <v>62</v>
      </c>
      <c r="C57" s="34">
        <f>[29]С2.2!E14</f>
        <v>12104</v>
      </c>
    </row>
    <row r="58" spans="1:3" ht="25.5" x14ac:dyDescent="0.2">
      <c r="A58" s="22" t="s">
        <v>63</v>
      </c>
      <c r="B58" s="57" t="s">
        <v>64</v>
      </c>
      <c r="C58" s="35">
        <f>[29]С2.2!E15</f>
        <v>4.8000000000000001E-2</v>
      </c>
    </row>
    <row r="59" spans="1:3" x14ac:dyDescent="0.2">
      <c r="A59" s="22" t="s">
        <v>65</v>
      </c>
      <c r="B59" s="57" t="s">
        <v>66</v>
      </c>
      <c r="C59" s="124">
        <f>[29]С2.2!E16</f>
        <v>1</v>
      </c>
    </row>
    <row r="60" spans="1:3" ht="15.75" x14ac:dyDescent="0.2">
      <c r="A60" s="22" t="s">
        <v>67</v>
      </c>
      <c r="B60" s="58" t="s">
        <v>68</v>
      </c>
      <c r="C60" s="34">
        <f>[29]С2!F21</f>
        <v>1</v>
      </c>
    </row>
    <row r="61" spans="1:3" ht="30" x14ac:dyDescent="0.2">
      <c r="A61" s="59" t="s">
        <v>69</v>
      </c>
      <c r="B61" s="33" t="s">
        <v>243</v>
      </c>
      <c r="C61" s="34">
        <f>[29]С2!F13</f>
        <v>116526.45062105893</v>
      </c>
    </row>
    <row r="62" spans="1:3" ht="30" x14ac:dyDescent="0.2">
      <c r="A62" s="59" t="s">
        <v>71</v>
      </c>
      <c r="B62" s="60" t="s">
        <v>244</v>
      </c>
      <c r="C62" s="34">
        <f>[29]С2!F14</f>
        <v>64899</v>
      </c>
    </row>
    <row r="63" spans="1:3" ht="15.75" x14ac:dyDescent="0.2">
      <c r="A63" s="59" t="s">
        <v>73</v>
      </c>
      <c r="B63" s="60" t="s">
        <v>74</v>
      </c>
      <c r="C63" s="40">
        <f>[29]С2!F15</f>
        <v>1.071</v>
      </c>
    </row>
    <row r="64" spans="1:3" ht="15.75" x14ac:dyDescent="0.2">
      <c r="A64" s="59" t="s">
        <v>75</v>
      </c>
      <c r="B64" s="60" t="s">
        <v>76</v>
      </c>
      <c r="C64" s="125">
        <f>[29]С2!F16</f>
        <v>1</v>
      </c>
    </row>
    <row r="65" spans="1:3" ht="17.25" x14ac:dyDescent="0.2">
      <c r="A65" s="59" t="s">
        <v>77</v>
      </c>
      <c r="B65" s="60" t="s">
        <v>78</v>
      </c>
      <c r="C65" s="126">
        <f>[29]С2!F17</f>
        <v>1.01</v>
      </c>
    </row>
    <row r="66" spans="1:3" s="63" customFormat="1" ht="14.25" x14ac:dyDescent="0.2">
      <c r="A66" s="59" t="s">
        <v>79</v>
      </c>
      <c r="B66" s="61" t="s">
        <v>80</v>
      </c>
      <c r="C66" s="62">
        <f>[29]С2!F35</f>
        <v>10</v>
      </c>
    </row>
    <row r="67" spans="1:3" ht="30" x14ac:dyDescent="0.2">
      <c r="A67" s="59" t="s">
        <v>81</v>
      </c>
      <c r="B67" s="64" t="s">
        <v>82</v>
      </c>
      <c r="C67" s="34">
        <f>[29]С2!F28</f>
        <v>366.91081711820414</v>
      </c>
    </row>
    <row r="68" spans="1:3" ht="17.25" x14ac:dyDescent="0.2">
      <c r="A68" s="59" t="s">
        <v>83</v>
      </c>
      <c r="B68" s="53" t="s">
        <v>245</v>
      </c>
      <c r="C68" s="40">
        <f>[29]С2!F29</f>
        <v>0.44209422600000003</v>
      </c>
    </row>
    <row r="69" spans="1:3" ht="17.25" x14ac:dyDescent="0.2">
      <c r="A69" s="59" t="s">
        <v>85</v>
      </c>
      <c r="B69" s="58" t="s">
        <v>246</v>
      </c>
      <c r="C69" s="62">
        <f>[29]С2!F30</f>
        <v>500</v>
      </c>
    </row>
    <row r="70" spans="1:3" ht="42.75" x14ac:dyDescent="0.2">
      <c r="A70" s="59" t="s">
        <v>87</v>
      </c>
      <c r="B70" s="33" t="s">
        <v>247</v>
      </c>
      <c r="C70" s="34">
        <f>[29]С2!F22</f>
        <v>43932.649760529566</v>
      </c>
    </row>
    <row r="71" spans="1:3" ht="30" x14ac:dyDescent="0.2">
      <c r="A71" s="59" t="s">
        <v>89</v>
      </c>
      <c r="B71" s="60" t="s">
        <v>248</v>
      </c>
      <c r="C71" s="34">
        <f>[29]С2!F23</f>
        <v>21</v>
      </c>
    </row>
    <row r="72" spans="1:3" ht="30" x14ac:dyDescent="0.2">
      <c r="A72" s="59" t="s">
        <v>91</v>
      </c>
      <c r="B72" s="53" t="s">
        <v>92</v>
      </c>
      <c r="C72" s="34">
        <f>[29]С2.1!E28</f>
        <v>14036.09995</v>
      </c>
    </row>
    <row r="73" spans="1:3" ht="38.25" x14ac:dyDescent="0.2">
      <c r="A73" s="59" t="s">
        <v>93</v>
      </c>
      <c r="B73" s="65" t="s">
        <v>94</v>
      </c>
      <c r="C73" s="52">
        <f>[29]С2.3!E21</f>
        <v>0</v>
      </c>
    </row>
    <row r="74" spans="1:3" ht="25.5" x14ac:dyDescent="0.2">
      <c r="A74" s="59" t="s">
        <v>95</v>
      </c>
      <c r="B74" s="66" t="s">
        <v>96</v>
      </c>
      <c r="C74" s="67">
        <f>[29]С2.3!E11</f>
        <v>5.45</v>
      </c>
    </row>
    <row r="75" spans="1:3" ht="25.5" x14ac:dyDescent="0.2">
      <c r="A75" s="59" t="s">
        <v>97</v>
      </c>
      <c r="B75" s="66" t="s">
        <v>98</v>
      </c>
      <c r="C75" s="62">
        <f>[29]С2.3!E13</f>
        <v>300</v>
      </c>
    </row>
    <row r="76" spans="1:3" ht="25.5" x14ac:dyDescent="0.2">
      <c r="A76" s="59" t="s">
        <v>99</v>
      </c>
      <c r="B76" s="65" t="s">
        <v>100</v>
      </c>
      <c r="C76" s="68">
        <f>IF([29]С2.3!E22&gt;0,[29]С2.3!E22,[29]С2.3!E14)</f>
        <v>61211</v>
      </c>
    </row>
    <row r="77" spans="1:3" ht="38.25" x14ac:dyDescent="0.2">
      <c r="A77" s="59" t="s">
        <v>101</v>
      </c>
      <c r="B77" s="65" t="s">
        <v>102</v>
      </c>
      <c r="C77" s="68">
        <f>IF([29]С2.3!E23&gt;0,[29]С2.3!E23,[29]С2.3!E15)</f>
        <v>45675</v>
      </c>
    </row>
    <row r="78" spans="1:3" ht="30" x14ac:dyDescent="0.2">
      <c r="A78" s="59" t="s">
        <v>103</v>
      </c>
      <c r="B78" s="53" t="s">
        <v>104</v>
      </c>
      <c r="C78" s="34">
        <f>[29]С2.1!E29</f>
        <v>9518.3274000000001</v>
      </c>
    </row>
    <row r="79" spans="1:3" ht="38.25" x14ac:dyDescent="0.2">
      <c r="A79" s="59" t="s">
        <v>105</v>
      </c>
      <c r="B79" s="65" t="s">
        <v>106</v>
      </c>
      <c r="C79" s="52">
        <f>[29]С2.3!E25</f>
        <v>0</v>
      </c>
    </row>
    <row r="80" spans="1:3" ht="25.5" x14ac:dyDescent="0.2">
      <c r="A80" s="59" t="s">
        <v>107</v>
      </c>
      <c r="B80" s="66" t="s">
        <v>108</v>
      </c>
      <c r="C80" s="67">
        <f>[29]С2.3!E12</f>
        <v>0.2</v>
      </c>
    </row>
    <row r="81" spans="1:3" ht="25.5" x14ac:dyDescent="0.2">
      <c r="A81" s="59" t="s">
        <v>109</v>
      </c>
      <c r="B81" s="66" t="s">
        <v>98</v>
      </c>
      <c r="C81" s="62">
        <f>[29]С2.3!E13</f>
        <v>300</v>
      </c>
    </row>
    <row r="82" spans="1:3" ht="25.5" x14ac:dyDescent="0.2">
      <c r="A82" s="59" t="s">
        <v>110</v>
      </c>
      <c r="B82" s="69" t="s">
        <v>111</v>
      </c>
      <c r="C82" s="68">
        <f>IF([29]С2.3!E26&gt;0,[29]С2.3!E26,[29]С2.3!E16)</f>
        <v>65637</v>
      </c>
    </row>
    <row r="83" spans="1:3" ht="38.25" x14ac:dyDescent="0.2">
      <c r="A83" s="59" t="s">
        <v>112</v>
      </c>
      <c r="B83" s="69" t="s">
        <v>113</v>
      </c>
      <c r="C83" s="68">
        <f>IF([29]С2.3!E27&gt;0,[29]С2.3!E27,[29]С2.3!E17)</f>
        <v>31684</v>
      </c>
    </row>
    <row r="84" spans="1:3" ht="30" x14ac:dyDescent="0.2">
      <c r="A84" s="59" t="s">
        <v>249</v>
      </c>
      <c r="B84" s="60" t="s">
        <v>250</v>
      </c>
      <c r="C84" s="68">
        <f>IF([29]С2.1!E19&gt;0,[29]С2.1!E19,[29]С2!F26)</f>
        <v>2892</v>
      </c>
    </row>
    <row r="85" spans="1:3" ht="17.25" x14ac:dyDescent="0.2">
      <c r="A85" s="59" t="s">
        <v>114</v>
      </c>
      <c r="B85" s="33" t="s">
        <v>115</v>
      </c>
      <c r="C85" s="35">
        <f>[29]С2!F31</f>
        <v>0.17804631770487722</v>
      </c>
    </row>
    <row r="86" spans="1:3" ht="30" x14ac:dyDescent="0.2">
      <c r="A86" s="59" t="s">
        <v>116</v>
      </c>
      <c r="B86" s="53" t="s">
        <v>117</v>
      </c>
      <c r="C86" s="70">
        <f>[29]С2!F32</f>
        <v>0.1652189781021898</v>
      </c>
    </row>
    <row r="87" spans="1:3" ht="17.25" x14ac:dyDescent="0.2">
      <c r="A87" s="59" t="s">
        <v>118</v>
      </c>
      <c r="B87" s="71" t="s">
        <v>119</v>
      </c>
      <c r="C87" s="35">
        <f>[29]С2!F33</f>
        <v>0.13880000000000001</v>
      </c>
    </row>
    <row r="88" spans="1:3" s="63" customFormat="1" ht="18" thickBot="1" x14ac:dyDescent="0.25">
      <c r="A88" s="72" t="s">
        <v>120</v>
      </c>
      <c r="B88" s="73" t="s">
        <v>121</v>
      </c>
      <c r="C88" s="74">
        <f>[29]С2!F34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[29]С3!F14</f>
        <v>10281.56929785238</v>
      </c>
    </row>
    <row r="92" spans="1:3" s="63" customFormat="1" ht="42.75" x14ac:dyDescent="0.2">
      <c r="A92" s="77" t="s">
        <v>126</v>
      </c>
      <c r="B92" s="53" t="s">
        <v>127</v>
      </c>
      <c r="C92" s="78">
        <f>[29]С3!F15</f>
        <v>0.25</v>
      </c>
    </row>
    <row r="93" spans="1:3" s="63" customFormat="1" ht="14.25" x14ac:dyDescent="0.2">
      <c r="A93" s="77" t="s">
        <v>128</v>
      </c>
      <c r="B93" s="79" t="s">
        <v>129</v>
      </c>
      <c r="C93" s="62">
        <f>[29]С3!F18</f>
        <v>15</v>
      </c>
    </row>
    <row r="94" spans="1:3" s="63" customFormat="1" ht="17.25" x14ac:dyDescent="0.2">
      <c r="A94" s="77" t="s">
        <v>130</v>
      </c>
      <c r="B94" s="33" t="s">
        <v>131</v>
      </c>
      <c r="C94" s="34">
        <f>[29]С3!F19</f>
        <v>2924.0805304518653</v>
      </c>
    </row>
    <row r="95" spans="1:3" s="63" customFormat="1" ht="55.5" x14ac:dyDescent="0.2">
      <c r="A95" s="77" t="s">
        <v>132</v>
      </c>
      <c r="B95" s="53" t="s">
        <v>133</v>
      </c>
      <c r="C95" s="80">
        <f>[29]С3!F20</f>
        <v>2.1999999999999999E-2</v>
      </c>
    </row>
    <row r="96" spans="1:3" s="63" customFormat="1" ht="14.25" x14ac:dyDescent="0.2">
      <c r="A96" s="77" t="s">
        <v>134</v>
      </c>
      <c r="B96" s="58" t="s">
        <v>80</v>
      </c>
      <c r="C96" s="62">
        <f>[29]С3!F21</f>
        <v>10</v>
      </c>
    </row>
    <row r="97" spans="1:3" s="63" customFormat="1" ht="17.25" x14ac:dyDescent="0.2">
      <c r="A97" s="77" t="s">
        <v>135</v>
      </c>
      <c r="B97" s="33" t="s">
        <v>136</v>
      </c>
      <c r="C97" s="34">
        <f>[29]С3!F22</f>
        <v>1.1007324513546124</v>
      </c>
    </row>
    <row r="98" spans="1:3" s="63" customFormat="1" ht="55.5" x14ac:dyDescent="0.2">
      <c r="A98" s="77" t="s">
        <v>137</v>
      </c>
      <c r="B98" s="53" t="s">
        <v>138</v>
      </c>
      <c r="C98" s="80">
        <f>[29]С3!F23</f>
        <v>3.0000000000000001E-3</v>
      </c>
    </row>
    <row r="99" spans="1:3" s="63" customFormat="1" ht="30.75" thickBot="1" x14ac:dyDescent="0.25">
      <c r="A99" s="81" t="s">
        <v>139</v>
      </c>
      <c r="B99" s="82" t="s">
        <v>82</v>
      </c>
      <c r="C99" s="83">
        <f>[29]С3!F24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[29]С4!F16</f>
        <v>832.33500000000004</v>
      </c>
    </row>
    <row r="103" spans="1:3" ht="30" x14ac:dyDescent="0.2">
      <c r="A103" s="59" t="s">
        <v>145</v>
      </c>
      <c r="B103" s="58" t="s">
        <v>252</v>
      </c>
      <c r="C103" s="34">
        <f>[29]С4!F17</f>
        <v>43385</v>
      </c>
    </row>
    <row r="104" spans="1:3" ht="17.25" x14ac:dyDescent="0.2">
      <c r="A104" s="59" t="s">
        <v>147</v>
      </c>
      <c r="B104" s="58" t="s">
        <v>148</v>
      </c>
      <c r="C104" s="40">
        <f>[29]С4!F18</f>
        <v>1.4999999999999999E-2</v>
      </c>
    </row>
    <row r="105" spans="1:3" ht="30" x14ac:dyDescent="0.2">
      <c r="A105" s="59" t="s">
        <v>149</v>
      </c>
      <c r="B105" s="58" t="s">
        <v>150</v>
      </c>
      <c r="C105" s="34">
        <f>[29]С4!F19</f>
        <v>12104</v>
      </c>
    </row>
    <row r="106" spans="1:3" ht="31.5" x14ac:dyDescent="0.2">
      <c r="A106" s="59" t="s">
        <v>151</v>
      </c>
      <c r="B106" s="58" t="s">
        <v>152</v>
      </c>
      <c r="C106" s="40">
        <f>[29]С4!F20</f>
        <v>1.4999999999999999E-2</v>
      </c>
    </row>
    <row r="107" spans="1:3" ht="30" x14ac:dyDescent="0.2">
      <c r="A107" s="59" t="s">
        <v>153</v>
      </c>
      <c r="B107" s="33" t="s">
        <v>253</v>
      </c>
      <c r="C107" s="34">
        <f>[29]С4!F21</f>
        <v>1221.9019409821399</v>
      </c>
    </row>
    <row r="108" spans="1:3" ht="45.6" customHeight="1" x14ac:dyDescent="0.2">
      <c r="A108" s="59" t="s">
        <v>155</v>
      </c>
      <c r="B108" s="53" t="s">
        <v>156</v>
      </c>
      <c r="C108" s="85" t="str">
        <f>IF([29]С4.2!F8="да",[29]С4.2!D21,[29]С4.2!D15)</f>
        <v>АО "Новосибирскэнергосбыт"</v>
      </c>
    </row>
    <row r="109" spans="1:3" ht="68.25" customHeight="1" x14ac:dyDescent="0.2">
      <c r="A109" s="59" t="s">
        <v>157</v>
      </c>
      <c r="B109" s="53" t="s">
        <v>158</v>
      </c>
      <c r="C109" s="34">
        <f>[29]С4!F22</f>
        <v>3.6112641666666665</v>
      </c>
    </row>
    <row r="110" spans="1:3" ht="30" x14ac:dyDescent="0.2">
      <c r="A110" s="59" t="s">
        <v>159</v>
      </c>
      <c r="B110" s="58" t="s">
        <v>254</v>
      </c>
      <c r="C110" s="62">
        <f>[29]С4!F23</f>
        <v>110</v>
      </c>
    </row>
    <row r="111" spans="1:3" ht="14.25" x14ac:dyDescent="0.2">
      <c r="A111" s="59" t="s">
        <v>161</v>
      </c>
      <c r="B111" s="53" t="s">
        <v>162</v>
      </c>
      <c r="C111" s="34">
        <f>[29]С4!F24</f>
        <v>8497.1999999999989</v>
      </c>
    </row>
    <row r="112" spans="1:3" ht="14.25" x14ac:dyDescent="0.2">
      <c r="A112" s="59" t="s">
        <v>163</v>
      </c>
      <c r="B112" s="58" t="s">
        <v>164</v>
      </c>
      <c r="C112" s="40">
        <f>[29]С4!F25</f>
        <v>0.36199999999999999</v>
      </c>
    </row>
    <row r="113" spans="1:3" ht="17.25" x14ac:dyDescent="0.2">
      <c r="A113" s="59" t="s">
        <v>165</v>
      </c>
      <c r="B113" s="33" t="s">
        <v>166</v>
      </c>
      <c r="C113" s="34">
        <f>[29]С4!F26</f>
        <v>43.662099999999995</v>
      </c>
    </row>
    <row r="114" spans="1:3" ht="25.5" x14ac:dyDescent="0.2">
      <c r="A114" s="59" t="s">
        <v>167</v>
      </c>
      <c r="B114" s="53" t="s">
        <v>94</v>
      </c>
      <c r="C114" s="85">
        <f>[29]С4.3!E16</f>
        <v>0</v>
      </c>
    </row>
    <row r="115" spans="1:3" ht="25.5" x14ac:dyDescent="0.2">
      <c r="A115" s="59" t="s">
        <v>168</v>
      </c>
      <c r="B115" s="53" t="s">
        <v>169</v>
      </c>
      <c r="C115" s="34">
        <f>[29]С4.3!E17</f>
        <v>21.58</v>
      </c>
    </row>
    <row r="116" spans="1:3" ht="38.25" x14ac:dyDescent="0.2">
      <c r="A116" s="59" t="s">
        <v>170</v>
      </c>
      <c r="B116" s="53" t="s">
        <v>106</v>
      </c>
      <c r="C116" s="85">
        <f>[29]С4.3!E18</f>
        <v>0</v>
      </c>
    </row>
    <row r="117" spans="1:3" x14ac:dyDescent="0.2">
      <c r="A117" s="59" t="s">
        <v>171</v>
      </c>
      <c r="B117" s="53" t="s">
        <v>172</v>
      </c>
      <c r="C117" s="34">
        <f>[29]С4.3!E19</f>
        <v>26.98</v>
      </c>
    </row>
    <row r="118" spans="1:3" x14ac:dyDescent="0.2">
      <c r="A118" s="59" t="s">
        <v>173</v>
      </c>
      <c r="B118" s="58" t="s">
        <v>174</v>
      </c>
      <c r="C118" s="62">
        <f>[29]С4.3!E11</f>
        <v>1871</v>
      </c>
    </row>
    <row r="119" spans="1:3" x14ac:dyDescent="0.2">
      <c r="A119" s="59" t="s">
        <v>175</v>
      </c>
      <c r="B119" s="58" t="s">
        <v>176</v>
      </c>
      <c r="C119" s="52">
        <f>[29]С4.3!E12</f>
        <v>61</v>
      </c>
    </row>
    <row r="120" spans="1:3" x14ac:dyDescent="0.2">
      <c r="A120" s="59" t="s">
        <v>177</v>
      </c>
      <c r="B120" s="58" t="s">
        <v>178</v>
      </c>
      <c r="C120" s="52">
        <f>[29]С4.3!E13</f>
        <v>73</v>
      </c>
    </row>
    <row r="121" spans="1:3" ht="30" x14ac:dyDescent="0.2">
      <c r="A121" s="59" t="s">
        <v>179</v>
      </c>
      <c r="B121" s="33" t="s">
        <v>255</v>
      </c>
      <c r="C121" s="34">
        <f>[29]С4!F27</f>
        <v>904.62444244124072</v>
      </c>
    </row>
    <row r="122" spans="1:3" ht="25.5" x14ac:dyDescent="0.2">
      <c r="A122" s="59" t="s">
        <v>181</v>
      </c>
      <c r="B122" s="53" t="s">
        <v>256</v>
      </c>
      <c r="C122" s="34">
        <f>[29]С4!F28</f>
        <v>694.79603874135228</v>
      </c>
    </row>
    <row r="123" spans="1:3" ht="42.75" x14ac:dyDescent="0.2">
      <c r="A123" s="59" t="s">
        <v>183</v>
      </c>
      <c r="B123" s="53" t="s">
        <v>184</v>
      </c>
      <c r="C123" s="34">
        <f>[29]С4!F29</f>
        <v>209.82840369988838</v>
      </c>
    </row>
    <row r="124" spans="1:3" ht="30.75" thickBot="1" x14ac:dyDescent="0.25">
      <c r="A124" s="72" t="s">
        <v>185</v>
      </c>
      <c r="B124" s="90" t="s">
        <v>186</v>
      </c>
      <c r="C124" s="83">
        <f>[29]С4!F30</f>
        <v>808.1180840126035</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[29]С5!F17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IF([29]С6.1!E11="нет",[29]С6!F13,"")</f>
        <v/>
      </c>
    </row>
    <row r="131" spans="1:3" ht="42.75" x14ac:dyDescent="0.2">
      <c r="A131" s="59" t="s">
        <v>204</v>
      </c>
      <c r="B131" s="86" t="s">
        <v>205</v>
      </c>
      <c r="C131" s="92" t="str">
        <f>IF([29]С6.1!E12="нет",[29]С6.1!E17,"")</f>
        <v/>
      </c>
    </row>
    <row r="132" spans="1:3" ht="68.25" x14ac:dyDescent="0.2">
      <c r="A132" s="59" t="s">
        <v>206</v>
      </c>
      <c r="B132" s="91" t="s">
        <v>207</v>
      </c>
      <c r="C132" s="127" t="str">
        <f>IF([29]С6.1!E18="нет",[29]С6!F19,"")</f>
        <v/>
      </c>
    </row>
    <row r="133" spans="1:3" ht="55.5" x14ac:dyDescent="0.2">
      <c r="A133" s="59" t="s">
        <v>208</v>
      </c>
      <c r="B133" s="86" t="s">
        <v>209</v>
      </c>
      <c r="C133" s="35" t="str">
        <f>IF([29]С6.1!E18="нет",[29]С6.1!E19,"")</f>
        <v/>
      </c>
    </row>
    <row r="134" spans="1:3" ht="61.5" customHeight="1" x14ac:dyDescent="0.2">
      <c r="A134" s="59" t="s">
        <v>210</v>
      </c>
      <c r="B134" s="86" t="s">
        <v>257</v>
      </c>
      <c r="C134" s="35" t="str">
        <f>IF([29]С6.1!E18="нет",[29]С6.1!E22,"")</f>
        <v/>
      </c>
    </row>
    <row r="135" spans="1:3" ht="69" thickBot="1" x14ac:dyDescent="0.25">
      <c r="A135" s="72" t="s">
        <v>212</v>
      </c>
      <c r="B135" s="98" t="s">
        <v>213</v>
      </c>
      <c r="C135" s="74" t="str">
        <f>IF([29]С6.1!E18="нет",[29]С6.1!E23,"")</f>
        <v/>
      </c>
    </row>
    <row r="136" spans="1:3" s="89" customFormat="1" ht="13.5" thickBot="1" x14ac:dyDescent="0.25">
      <c r="A136" s="47"/>
      <c r="B136" s="75"/>
      <c r="C136" s="15"/>
    </row>
    <row r="137" spans="1:3" ht="15.75" x14ac:dyDescent="0.2">
      <c r="A137" s="84" t="s">
        <v>214</v>
      </c>
      <c r="B137" s="99" t="s">
        <v>215</v>
      </c>
      <c r="C137" s="100">
        <f>[29]С2!F39</f>
        <v>21.531904799999996</v>
      </c>
    </row>
    <row r="138" spans="1:3" ht="14.25" x14ac:dyDescent="0.2">
      <c r="A138" s="59" t="s">
        <v>216</v>
      </c>
      <c r="B138" s="58" t="s">
        <v>217</v>
      </c>
      <c r="C138" s="34">
        <f>[29]С2!F40</f>
        <v>7</v>
      </c>
    </row>
    <row r="139" spans="1:3" ht="17.25" x14ac:dyDescent="0.2">
      <c r="A139" s="59" t="s">
        <v>218</v>
      </c>
      <c r="B139" s="58" t="s">
        <v>219</v>
      </c>
      <c r="C139" s="34">
        <f>[29]С2!F42</f>
        <v>0.97</v>
      </c>
    </row>
    <row r="140" spans="1:3" ht="15" thickBot="1" x14ac:dyDescent="0.25">
      <c r="A140" s="72" t="s">
        <v>220</v>
      </c>
      <c r="B140" s="73" t="s">
        <v>221</v>
      </c>
      <c r="C140" s="46">
        <f>[29]С2!F44</f>
        <v>0.36199999999999999</v>
      </c>
    </row>
    <row r="141" spans="1:3" s="89" customFormat="1" ht="13.5" thickBot="1" x14ac:dyDescent="0.25">
      <c r="A141" s="47"/>
      <c r="B141" s="75"/>
      <c r="C141" s="15"/>
    </row>
    <row r="142" spans="1:3" ht="17.25" x14ac:dyDescent="0.2">
      <c r="A142" s="84" t="s">
        <v>222</v>
      </c>
      <c r="B142" s="103" t="s">
        <v>258</v>
      </c>
      <c r="C142" s="128">
        <f>[29]С2!F37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[29]С2.5!$E$11</f>
        <v>-2.9000000000000026E-2</v>
      </c>
    </row>
    <row r="146" spans="1:3" x14ac:dyDescent="0.2">
      <c r="B146" s="131">
        <f>B145+1</f>
        <v>2021</v>
      </c>
      <c r="C146" s="133">
        <f>[29]С2.5!$F$11</f>
        <v>0.245</v>
      </c>
    </row>
    <row r="147" spans="1:3" x14ac:dyDescent="0.2">
      <c r="B147" s="131">
        <f t="shared" ref="B147:B210" si="0">B146+1</f>
        <v>2022</v>
      </c>
      <c r="C147" s="134">
        <f>[29]С2.5!$G$11</f>
        <v>0.114</v>
      </c>
    </row>
    <row r="148" spans="1:3" x14ac:dyDescent="0.2">
      <c r="B148" s="110">
        <f t="shared" si="0"/>
        <v>2023</v>
      </c>
      <c r="C148" s="135">
        <f>[29]С2.5!$H$11</f>
        <v>0.04</v>
      </c>
    </row>
    <row r="149" spans="1:3" x14ac:dyDescent="0.2">
      <c r="B149" s="110">
        <f t="shared" si="0"/>
        <v>2024</v>
      </c>
      <c r="C149" s="135">
        <f>[29]С2.5!$I$11</f>
        <v>0.11700000000000001</v>
      </c>
    </row>
    <row r="150" spans="1:3" ht="13.5" thickBot="1" x14ac:dyDescent="0.25">
      <c r="B150" s="110">
        <f t="shared" si="0"/>
        <v>2025</v>
      </c>
      <c r="C150" s="135">
        <f>[29]С2.5!$J$11</f>
        <v>6.0999999999999999E-2</v>
      </c>
    </row>
    <row r="151" spans="1:3" ht="13.5" hidden="1" thickBot="1" x14ac:dyDescent="0.25">
      <c r="B151" s="110">
        <f t="shared" si="0"/>
        <v>2026</v>
      </c>
      <c r="C151" s="135">
        <f>[29]С2.5!$K$11</f>
        <v>0</v>
      </c>
    </row>
    <row r="152" spans="1:3" ht="13.5" hidden="1" thickBot="1" x14ac:dyDescent="0.25">
      <c r="B152" s="110">
        <f t="shared" si="0"/>
        <v>2027</v>
      </c>
      <c r="C152" s="135">
        <f>[29]С2.5!$L$11</f>
        <v>0</v>
      </c>
    </row>
    <row r="153" spans="1:3" ht="13.5" hidden="1" thickBot="1" x14ac:dyDescent="0.25">
      <c r="B153" s="110">
        <f t="shared" si="0"/>
        <v>2028</v>
      </c>
      <c r="C153" s="135">
        <f>[29]С2.5!$M$11</f>
        <v>0</v>
      </c>
    </row>
    <row r="154" spans="1:3" ht="13.5" hidden="1" thickBot="1" x14ac:dyDescent="0.25">
      <c r="B154" s="110">
        <f t="shared" si="0"/>
        <v>2029</v>
      </c>
      <c r="C154" s="135">
        <f>[29]С2.5!$N$11</f>
        <v>0</v>
      </c>
    </row>
    <row r="155" spans="1:3" ht="13.5" hidden="1" thickBot="1" x14ac:dyDescent="0.25">
      <c r="B155" s="110">
        <f t="shared" si="0"/>
        <v>2030</v>
      </c>
      <c r="C155" s="135">
        <f>[29]С2.5!$O$11</f>
        <v>0</v>
      </c>
    </row>
    <row r="156" spans="1:3" ht="13.5" hidden="1" thickBot="1" x14ac:dyDescent="0.25">
      <c r="B156" s="110">
        <f t="shared" si="0"/>
        <v>2031</v>
      </c>
      <c r="C156" s="135">
        <f>[29]С2.5!$P$11</f>
        <v>0</v>
      </c>
    </row>
    <row r="157" spans="1:3" ht="13.5" hidden="1" thickBot="1" x14ac:dyDescent="0.25">
      <c r="B157" s="110">
        <f t="shared" si="0"/>
        <v>2032</v>
      </c>
      <c r="C157" s="135">
        <f>[29]С2.5!$Q$11</f>
        <v>0</v>
      </c>
    </row>
    <row r="158" spans="1:3" ht="13.5" hidden="1" thickBot="1" x14ac:dyDescent="0.25">
      <c r="B158" s="110">
        <f t="shared" si="0"/>
        <v>2033</v>
      </c>
      <c r="C158" s="135">
        <f>[29]С2.5!$R$11</f>
        <v>0</v>
      </c>
    </row>
    <row r="159" spans="1:3" ht="13.5" hidden="1" thickBot="1" x14ac:dyDescent="0.25">
      <c r="B159" s="110">
        <f t="shared" si="0"/>
        <v>2034</v>
      </c>
      <c r="C159" s="135">
        <f>[29]С2.5!$S$11</f>
        <v>0</v>
      </c>
    </row>
    <row r="160" spans="1:3" ht="13.5" hidden="1" thickBot="1" x14ac:dyDescent="0.25">
      <c r="B160" s="110">
        <f t="shared" si="0"/>
        <v>2035</v>
      </c>
      <c r="C160" s="135">
        <f>[29]С2.5!$T$11</f>
        <v>0</v>
      </c>
    </row>
    <row r="161" spans="2:3" ht="13.5" hidden="1" thickBot="1" x14ac:dyDescent="0.25">
      <c r="B161" s="110">
        <f t="shared" si="0"/>
        <v>2036</v>
      </c>
      <c r="C161" s="135">
        <f>[29]С2.5!$U$11</f>
        <v>0</v>
      </c>
    </row>
    <row r="162" spans="2:3" ht="13.5" hidden="1" thickBot="1" x14ac:dyDescent="0.25">
      <c r="B162" s="110">
        <f t="shared" si="0"/>
        <v>2037</v>
      </c>
      <c r="C162" s="135">
        <f>[29]С2.5!$V$11</f>
        <v>0</v>
      </c>
    </row>
    <row r="163" spans="2:3" ht="13.5" hidden="1" thickBot="1" x14ac:dyDescent="0.25">
      <c r="B163" s="110">
        <f t="shared" si="0"/>
        <v>2038</v>
      </c>
      <c r="C163" s="135">
        <f>[29]С2.5!$W$11</f>
        <v>0</v>
      </c>
    </row>
    <row r="164" spans="2:3" ht="13.5" hidden="1" thickBot="1" x14ac:dyDescent="0.25">
      <c r="B164" s="110">
        <f t="shared" si="0"/>
        <v>2039</v>
      </c>
      <c r="C164" s="135">
        <f>[29]С2.5!$X$11</f>
        <v>0</v>
      </c>
    </row>
    <row r="165" spans="2:3" ht="13.5" hidden="1" thickBot="1" x14ac:dyDescent="0.25">
      <c r="B165" s="110">
        <f t="shared" si="0"/>
        <v>2040</v>
      </c>
      <c r="C165" s="135">
        <f>[29]С2.5!$Y$11</f>
        <v>0</v>
      </c>
    </row>
    <row r="166" spans="2:3" ht="13.5" hidden="1" thickBot="1" x14ac:dyDescent="0.25">
      <c r="B166" s="110">
        <f t="shared" si="0"/>
        <v>2041</v>
      </c>
      <c r="C166" s="135">
        <f>[29]С2.5!$Z$11</f>
        <v>0</v>
      </c>
    </row>
    <row r="167" spans="2:3" ht="13.5" hidden="1" thickBot="1" x14ac:dyDescent="0.25">
      <c r="B167" s="110">
        <f t="shared" si="0"/>
        <v>2042</v>
      </c>
      <c r="C167" s="135">
        <f>[29]С2.5!$AA$11</f>
        <v>0</v>
      </c>
    </row>
    <row r="168" spans="2:3" ht="13.5" hidden="1" thickBot="1" x14ac:dyDescent="0.25">
      <c r="B168" s="110">
        <f t="shared" si="0"/>
        <v>2043</v>
      </c>
      <c r="C168" s="135">
        <f>[29]С2.5!$AB$11</f>
        <v>0</v>
      </c>
    </row>
    <row r="169" spans="2:3" ht="13.5" hidden="1" thickBot="1" x14ac:dyDescent="0.25">
      <c r="B169" s="110">
        <f t="shared" si="0"/>
        <v>2044</v>
      </c>
      <c r="C169" s="135">
        <f>[29]С2.5!$AC$11</f>
        <v>0</v>
      </c>
    </row>
    <row r="170" spans="2:3" ht="13.5" hidden="1" thickBot="1" x14ac:dyDescent="0.25">
      <c r="B170" s="110">
        <f t="shared" si="0"/>
        <v>2045</v>
      </c>
      <c r="C170" s="135">
        <f>[29]С2.5!$AD$11</f>
        <v>0</v>
      </c>
    </row>
    <row r="171" spans="2:3" ht="13.5" hidden="1" thickBot="1" x14ac:dyDescent="0.25">
      <c r="B171" s="110">
        <f t="shared" si="0"/>
        <v>2046</v>
      </c>
      <c r="C171" s="135">
        <f>[29]С2.5!$AE$11</f>
        <v>0</v>
      </c>
    </row>
    <row r="172" spans="2:3" ht="13.5" hidden="1" thickBot="1" x14ac:dyDescent="0.25">
      <c r="B172" s="110">
        <f t="shared" si="0"/>
        <v>2047</v>
      </c>
      <c r="C172" s="135">
        <f>[29]С2.5!$AF$11</f>
        <v>0</v>
      </c>
    </row>
    <row r="173" spans="2:3" ht="13.5" hidden="1" thickBot="1" x14ac:dyDescent="0.25">
      <c r="B173" s="110">
        <f t="shared" si="0"/>
        <v>2048</v>
      </c>
      <c r="C173" s="135">
        <f>[29]С2.5!$AG$11</f>
        <v>0</v>
      </c>
    </row>
    <row r="174" spans="2:3" ht="13.5" hidden="1" thickBot="1" x14ac:dyDescent="0.25">
      <c r="B174" s="110">
        <f t="shared" si="0"/>
        <v>2049</v>
      </c>
      <c r="C174" s="135">
        <f>[29]С2.5!$AH$11</f>
        <v>0</v>
      </c>
    </row>
    <row r="175" spans="2:3" ht="13.5" hidden="1" thickBot="1" x14ac:dyDescent="0.25">
      <c r="B175" s="110">
        <f t="shared" si="0"/>
        <v>2050</v>
      </c>
      <c r="C175" s="135">
        <f>[29]С2.5!$AI$11</f>
        <v>0</v>
      </c>
    </row>
    <row r="176" spans="2:3" ht="13.5" hidden="1" thickBot="1" x14ac:dyDescent="0.25">
      <c r="B176" s="110">
        <f t="shared" si="0"/>
        <v>2051</v>
      </c>
      <c r="C176" s="135">
        <f>[29]С2.5!$AJ$11</f>
        <v>0</v>
      </c>
    </row>
    <row r="177" spans="2:3" ht="13.5" hidden="1" thickBot="1" x14ac:dyDescent="0.25">
      <c r="B177" s="110">
        <f t="shared" si="0"/>
        <v>2052</v>
      </c>
      <c r="C177" s="135">
        <f>[29]С2.5!$AK$11</f>
        <v>0</v>
      </c>
    </row>
    <row r="178" spans="2:3" ht="13.5" hidden="1" thickBot="1" x14ac:dyDescent="0.25">
      <c r="B178" s="110">
        <f t="shared" si="0"/>
        <v>2053</v>
      </c>
      <c r="C178" s="135">
        <f>[29]С2.5!$AL$11</f>
        <v>0</v>
      </c>
    </row>
    <row r="179" spans="2:3" ht="13.5" hidden="1" thickBot="1" x14ac:dyDescent="0.25">
      <c r="B179" s="110">
        <f t="shared" si="0"/>
        <v>2054</v>
      </c>
      <c r="C179" s="135">
        <f>[29]С2.5!$AM$11</f>
        <v>0</v>
      </c>
    </row>
    <row r="180" spans="2:3" ht="13.5" hidden="1" thickBot="1" x14ac:dyDescent="0.25">
      <c r="B180" s="110">
        <f t="shared" si="0"/>
        <v>2055</v>
      </c>
      <c r="C180" s="135">
        <f>[29]С2.5!$AN$11</f>
        <v>0</v>
      </c>
    </row>
    <row r="181" spans="2:3" ht="13.5" hidden="1" thickBot="1" x14ac:dyDescent="0.25">
      <c r="B181" s="110">
        <f t="shared" si="0"/>
        <v>2056</v>
      </c>
      <c r="C181" s="135">
        <f>[29]С2.5!$AO$11</f>
        <v>0</v>
      </c>
    </row>
    <row r="182" spans="2:3" ht="13.5" hidden="1" thickBot="1" x14ac:dyDescent="0.25">
      <c r="B182" s="110">
        <f t="shared" si="0"/>
        <v>2057</v>
      </c>
      <c r="C182" s="135">
        <f>[29]С2.5!$AP$11</f>
        <v>0</v>
      </c>
    </row>
    <row r="183" spans="2:3" ht="13.5" hidden="1" thickBot="1" x14ac:dyDescent="0.25">
      <c r="B183" s="110">
        <f t="shared" si="0"/>
        <v>2058</v>
      </c>
      <c r="C183" s="135">
        <f>[29]С2.5!$AQ$11</f>
        <v>0</v>
      </c>
    </row>
    <row r="184" spans="2:3" ht="13.5" hidden="1" thickBot="1" x14ac:dyDescent="0.25">
      <c r="B184" s="110">
        <f t="shared" si="0"/>
        <v>2059</v>
      </c>
      <c r="C184" s="135">
        <f>[29]С2.5!$AR$11</f>
        <v>0</v>
      </c>
    </row>
    <row r="185" spans="2:3" ht="13.5" hidden="1" thickBot="1" x14ac:dyDescent="0.25">
      <c r="B185" s="110">
        <f t="shared" si="0"/>
        <v>2060</v>
      </c>
      <c r="C185" s="135">
        <f>[29]С2.5!$AS$11</f>
        <v>0</v>
      </c>
    </row>
    <row r="186" spans="2:3" ht="13.5" hidden="1" thickBot="1" x14ac:dyDescent="0.25">
      <c r="B186" s="110">
        <f t="shared" si="0"/>
        <v>2061</v>
      </c>
      <c r="C186" s="135">
        <f>[29]С2.5!$AT$11</f>
        <v>0</v>
      </c>
    </row>
    <row r="187" spans="2:3" ht="13.5" hidden="1" thickBot="1" x14ac:dyDescent="0.25">
      <c r="B187" s="110">
        <f t="shared" si="0"/>
        <v>2062</v>
      </c>
      <c r="C187" s="135">
        <f>[29]С2.5!$AU$11</f>
        <v>0</v>
      </c>
    </row>
    <row r="188" spans="2:3" ht="13.5" hidden="1" thickBot="1" x14ac:dyDescent="0.25">
      <c r="B188" s="110">
        <f t="shared" si="0"/>
        <v>2063</v>
      </c>
      <c r="C188" s="135">
        <f>[29]С2.5!$AV$11</f>
        <v>0</v>
      </c>
    </row>
    <row r="189" spans="2:3" ht="13.5" hidden="1" thickBot="1" x14ac:dyDescent="0.25">
      <c r="B189" s="110">
        <f t="shared" si="0"/>
        <v>2064</v>
      </c>
      <c r="C189" s="135">
        <f>[29]С2.5!$AW$11</f>
        <v>0</v>
      </c>
    </row>
    <row r="190" spans="2:3" ht="13.5" hidden="1" thickBot="1" x14ac:dyDescent="0.25">
      <c r="B190" s="110">
        <f t="shared" si="0"/>
        <v>2065</v>
      </c>
      <c r="C190" s="135">
        <f>[29]С2.5!$AX$11</f>
        <v>0</v>
      </c>
    </row>
    <row r="191" spans="2:3" ht="13.5" hidden="1" thickBot="1" x14ac:dyDescent="0.25">
      <c r="B191" s="110">
        <f t="shared" si="0"/>
        <v>2066</v>
      </c>
      <c r="C191" s="135">
        <f>[29]С2.5!$AY$11</f>
        <v>0</v>
      </c>
    </row>
    <row r="192" spans="2:3" ht="13.5" hidden="1" thickBot="1" x14ac:dyDescent="0.25">
      <c r="B192" s="110">
        <f t="shared" si="0"/>
        <v>2067</v>
      </c>
      <c r="C192" s="135">
        <f>[29]С2.5!$AZ$11</f>
        <v>0</v>
      </c>
    </row>
    <row r="193" spans="2:3" ht="13.5" hidden="1" thickBot="1" x14ac:dyDescent="0.25">
      <c r="B193" s="110">
        <f t="shared" si="0"/>
        <v>2068</v>
      </c>
      <c r="C193" s="135">
        <f>[29]С2.5!$BA$11</f>
        <v>0</v>
      </c>
    </row>
    <row r="194" spans="2:3" ht="13.5" hidden="1" thickBot="1" x14ac:dyDescent="0.25">
      <c r="B194" s="110">
        <f t="shared" si="0"/>
        <v>2069</v>
      </c>
      <c r="C194" s="135">
        <f>[29]С2.5!$BB$11</f>
        <v>0</v>
      </c>
    </row>
    <row r="195" spans="2:3" ht="13.5" hidden="1" thickBot="1" x14ac:dyDescent="0.25">
      <c r="B195" s="110">
        <f t="shared" si="0"/>
        <v>2070</v>
      </c>
      <c r="C195" s="135">
        <f>[29]С2.5!$BC$11</f>
        <v>0</v>
      </c>
    </row>
    <row r="196" spans="2:3" ht="13.5" hidden="1" thickBot="1" x14ac:dyDescent="0.25">
      <c r="B196" s="110">
        <f t="shared" si="0"/>
        <v>2071</v>
      </c>
      <c r="C196" s="135">
        <f>[29]С2.5!$BD$11</f>
        <v>0</v>
      </c>
    </row>
    <row r="197" spans="2:3" ht="13.5" hidden="1" thickBot="1" x14ac:dyDescent="0.25">
      <c r="B197" s="110">
        <f t="shared" si="0"/>
        <v>2072</v>
      </c>
      <c r="C197" s="135">
        <f>[29]С2.5!$BE$11</f>
        <v>0</v>
      </c>
    </row>
    <row r="198" spans="2:3" ht="13.5" hidden="1" thickBot="1" x14ac:dyDescent="0.25">
      <c r="B198" s="110">
        <f t="shared" si="0"/>
        <v>2073</v>
      </c>
      <c r="C198" s="135">
        <f>[29]С2.5!$BF$11</f>
        <v>0</v>
      </c>
    </row>
    <row r="199" spans="2:3" ht="13.5" hidden="1" thickBot="1" x14ac:dyDescent="0.25">
      <c r="B199" s="110">
        <f t="shared" si="0"/>
        <v>2074</v>
      </c>
      <c r="C199" s="135">
        <f>[29]С2.5!$BG$11</f>
        <v>0</v>
      </c>
    </row>
    <row r="200" spans="2:3" ht="13.5" hidden="1" thickBot="1" x14ac:dyDescent="0.25">
      <c r="B200" s="110">
        <f t="shared" si="0"/>
        <v>2075</v>
      </c>
      <c r="C200" s="135">
        <f>[29]С2.5!$BH$11</f>
        <v>0</v>
      </c>
    </row>
    <row r="201" spans="2:3" ht="13.5" hidden="1" thickBot="1" x14ac:dyDescent="0.25">
      <c r="B201" s="110">
        <f t="shared" si="0"/>
        <v>2076</v>
      </c>
      <c r="C201" s="135">
        <f>[29]С2.5!$BI$11</f>
        <v>0</v>
      </c>
    </row>
    <row r="202" spans="2:3" ht="13.5" hidden="1" thickBot="1" x14ac:dyDescent="0.25">
      <c r="B202" s="110">
        <f t="shared" si="0"/>
        <v>2077</v>
      </c>
      <c r="C202" s="135">
        <f>[29]С2.5!$BJ$11</f>
        <v>0</v>
      </c>
    </row>
    <row r="203" spans="2:3" ht="13.5" hidden="1" thickBot="1" x14ac:dyDescent="0.25">
      <c r="B203" s="110">
        <f t="shared" si="0"/>
        <v>2078</v>
      </c>
      <c r="C203" s="135">
        <f>[29]С2.5!$BK$11</f>
        <v>0</v>
      </c>
    </row>
    <row r="204" spans="2:3" ht="13.5" hidden="1" thickBot="1" x14ac:dyDescent="0.25">
      <c r="B204" s="110">
        <f t="shared" si="0"/>
        <v>2079</v>
      </c>
      <c r="C204" s="135">
        <f>[29]С2.5!$BL$11</f>
        <v>0</v>
      </c>
    </row>
    <row r="205" spans="2:3" ht="13.5" hidden="1" thickBot="1" x14ac:dyDescent="0.25">
      <c r="B205" s="110">
        <f t="shared" si="0"/>
        <v>2080</v>
      </c>
      <c r="C205" s="135">
        <f>[29]С2.5!$BM$11</f>
        <v>0</v>
      </c>
    </row>
    <row r="206" spans="2:3" ht="13.5" hidden="1" thickBot="1" x14ac:dyDescent="0.25">
      <c r="B206" s="110">
        <f t="shared" si="0"/>
        <v>2081</v>
      </c>
      <c r="C206" s="135">
        <f>[29]С2.5!$BN$11</f>
        <v>0</v>
      </c>
    </row>
    <row r="207" spans="2:3" ht="13.5" hidden="1" thickBot="1" x14ac:dyDescent="0.25">
      <c r="B207" s="110">
        <f t="shared" si="0"/>
        <v>2082</v>
      </c>
      <c r="C207" s="135">
        <f>[29]С2.5!$BO$11</f>
        <v>0</v>
      </c>
    </row>
    <row r="208" spans="2:3" ht="13.5" hidden="1" thickBot="1" x14ac:dyDescent="0.25">
      <c r="B208" s="110">
        <f t="shared" si="0"/>
        <v>2083</v>
      </c>
      <c r="C208" s="135">
        <f>[29]С2.5!$BP$11</f>
        <v>0</v>
      </c>
    </row>
    <row r="209" spans="2:3" ht="13.5" hidden="1" thickBot="1" x14ac:dyDescent="0.25">
      <c r="B209" s="110">
        <f t="shared" si="0"/>
        <v>2084</v>
      </c>
      <c r="C209" s="135">
        <f>[29]С2.5!$BQ$11</f>
        <v>0</v>
      </c>
    </row>
    <row r="210" spans="2:3" ht="13.5" hidden="1" thickBot="1" x14ac:dyDescent="0.25">
      <c r="B210" s="110">
        <f t="shared" si="0"/>
        <v>2085</v>
      </c>
      <c r="C210" s="135">
        <f>[29]С2.5!$BR$11</f>
        <v>0</v>
      </c>
    </row>
    <row r="211" spans="2:3" ht="13.5" hidden="1" thickBot="1" x14ac:dyDescent="0.25">
      <c r="B211" s="110">
        <f t="shared" ref="B211:B224" si="1">B210+1</f>
        <v>2086</v>
      </c>
      <c r="C211" s="135">
        <f>[29]С2.5!$BS$11</f>
        <v>0</v>
      </c>
    </row>
    <row r="212" spans="2:3" ht="13.5" hidden="1" thickBot="1" x14ac:dyDescent="0.25">
      <c r="B212" s="110">
        <f t="shared" si="1"/>
        <v>2087</v>
      </c>
      <c r="C212" s="135">
        <f>[29]С2.5!$BT$11</f>
        <v>0</v>
      </c>
    </row>
    <row r="213" spans="2:3" ht="13.5" hidden="1" thickBot="1" x14ac:dyDescent="0.25">
      <c r="B213" s="110">
        <f t="shared" si="1"/>
        <v>2088</v>
      </c>
      <c r="C213" s="135">
        <f>[29]С2.5!$BU$11</f>
        <v>0</v>
      </c>
    </row>
    <row r="214" spans="2:3" ht="13.5" hidden="1" thickBot="1" x14ac:dyDescent="0.25">
      <c r="B214" s="110">
        <f t="shared" si="1"/>
        <v>2089</v>
      </c>
      <c r="C214" s="135">
        <f>[29]С2.5!$BV$11</f>
        <v>0</v>
      </c>
    </row>
    <row r="215" spans="2:3" ht="13.5" hidden="1" thickBot="1" x14ac:dyDescent="0.25">
      <c r="B215" s="110">
        <f t="shared" si="1"/>
        <v>2090</v>
      </c>
      <c r="C215" s="135">
        <f>[29]С2.5!$BW$11</f>
        <v>0</v>
      </c>
    </row>
    <row r="216" spans="2:3" ht="13.5" hidden="1" thickBot="1" x14ac:dyDescent="0.25">
      <c r="B216" s="110">
        <f t="shared" si="1"/>
        <v>2091</v>
      </c>
      <c r="C216" s="135">
        <f>[29]С2.5!$BX$11</f>
        <v>0</v>
      </c>
    </row>
    <row r="217" spans="2:3" ht="13.5" hidden="1" thickBot="1" x14ac:dyDescent="0.25">
      <c r="B217" s="110">
        <f t="shared" si="1"/>
        <v>2092</v>
      </c>
      <c r="C217" s="135">
        <f>[29]С2.5!$BY$11</f>
        <v>0</v>
      </c>
    </row>
    <row r="218" spans="2:3" ht="13.5" hidden="1" thickBot="1" x14ac:dyDescent="0.25">
      <c r="B218" s="110">
        <f t="shared" si="1"/>
        <v>2093</v>
      </c>
      <c r="C218" s="135">
        <f>[29]С2.5!$BZ$11</f>
        <v>0</v>
      </c>
    </row>
    <row r="219" spans="2:3" ht="13.5" hidden="1" thickBot="1" x14ac:dyDescent="0.25">
      <c r="B219" s="110">
        <f t="shared" si="1"/>
        <v>2094</v>
      </c>
      <c r="C219" s="135">
        <f>[29]С2.5!$CA$11</f>
        <v>0</v>
      </c>
    </row>
    <row r="220" spans="2:3" ht="13.5" hidden="1" thickBot="1" x14ac:dyDescent="0.25">
      <c r="B220" s="110">
        <f t="shared" si="1"/>
        <v>2095</v>
      </c>
      <c r="C220" s="135">
        <f>[29]С2.5!$CB$11</f>
        <v>0</v>
      </c>
    </row>
    <row r="221" spans="2:3" ht="13.5" hidden="1" thickBot="1" x14ac:dyDescent="0.25">
      <c r="B221" s="110">
        <f t="shared" si="1"/>
        <v>2096</v>
      </c>
      <c r="C221" s="135">
        <f>[29]С2.5!$CC$11</f>
        <v>0</v>
      </c>
    </row>
    <row r="222" spans="2:3" ht="13.5" hidden="1" thickBot="1" x14ac:dyDescent="0.25">
      <c r="B222" s="110">
        <f t="shared" si="1"/>
        <v>2097</v>
      </c>
      <c r="C222" s="135">
        <f>[29]С2.5!$CD$11</f>
        <v>0</v>
      </c>
    </row>
    <row r="223" spans="2:3" ht="13.5" hidden="1" thickBot="1" x14ac:dyDescent="0.25">
      <c r="B223" s="110">
        <f t="shared" si="1"/>
        <v>2098</v>
      </c>
      <c r="C223" s="135">
        <f>[29]С2.5!$CE$11</f>
        <v>0</v>
      </c>
    </row>
    <row r="224" spans="2:3" ht="13.5" hidden="1" thickBot="1" x14ac:dyDescent="0.25">
      <c r="B224" s="110">
        <f t="shared" si="1"/>
        <v>2099</v>
      </c>
      <c r="C224" s="135">
        <f>[29]С2.5!$CF$11</f>
        <v>0</v>
      </c>
    </row>
    <row r="225" spans="2:3" ht="13.5" hidden="1" thickBot="1" x14ac:dyDescent="0.25">
      <c r="B225" s="112">
        <f>B162+1</f>
        <v>2038</v>
      </c>
      <c r="C225" s="136" t="e">
        <f>[29]С2.5!#REF!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6" sqref="B6"/>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[39]И1!D13</f>
        <v>Субъект Российской Федерации</v>
      </c>
      <c r="C4" s="10" t="str">
        <f>[39]И1!E13</f>
        <v>Новосибирская область</v>
      </c>
    </row>
    <row r="5" spans="1:3" ht="46.9" customHeight="1" x14ac:dyDescent="0.2">
      <c r="A5" s="8"/>
      <c r="B5" s="9" t="str">
        <f>[39]И1!D14</f>
        <v>Тип муниципального образования (выберите из списка)</v>
      </c>
      <c r="C5" s="10" t="str">
        <f>[39]И1!E14</f>
        <v>село Лебедевка, Искитимский муниципальный район</v>
      </c>
    </row>
    <row r="6" spans="1:3" ht="38.25" x14ac:dyDescent="0.2">
      <c r="A6" s="8"/>
      <c r="B6" s="9" t="str">
        <f>IF([39]И1!E15="","",[39]И1!D15)</f>
        <v/>
      </c>
      <c r="C6" s="10" t="str">
        <f>IF([39]И1!E15="","",[39]И1!E15)</f>
        <v>деревня Гилево, Искитимский муниципальный район</v>
      </c>
    </row>
    <row r="7" spans="1:3" x14ac:dyDescent="0.2">
      <c r="A7" s="8"/>
      <c r="B7" s="9" t="str">
        <f>[39]И1!D16</f>
        <v>Код ОКТМО</v>
      </c>
      <c r="C7" s="11" t="str">
        <f>[39]И1!E16</f>
        <v xml:space="preserve"> (50615422101)</v>
      </c>
    </row>
    <row r="8" spans="1:3" x14ac:dyDescent="0.2">
      <c r="A8" s="8"/>
      <c r="B8" s="12" t="str">
        <f>[39]И1!D17</f>
        <v>Система теплоснабжения</v>
      </c>
      <c r="C8" s="13">
        <f>[39]И1!E17</f>
        <v>0</v>
      </c>
    </row>
    <row r="9" spans="1:3" x14ac:dyDescent="0.2">
      <c r="A9" s="8"/>
      <c r="B9" s="9" t="str">
        <f>[39]И1!D8</f>
        <v>Период регулирования (i)-й</v>
      </c>
      <c r="C9" s="14">
        <f>[39]И1!E8</f>
        <v>2025</v>
      </c>
    </row>
    <row r="10" spans="1:3" x14ac:dyDescent="0.2">
      <c r="A10" s="8"/>
      <c r="B10" s="9" t="str">
        <f>[39]И1!D9</f>
        <v>Период регулирования (i-1)-й</v>
      </c>
      <c r="C10" s="14">
        <f>[39]И1!E9</f>
        <v>2024</v>
      </c>
    </row>
    <row r="11" spans="1:3" x14ac:dyDescent="0.2">
      <c r="A11" s="8"/>
      <c r="B11" s="9" t="str">
        <f>[39]И1!D10</f>
        <v>Период регулирования (i-2)-й</v>
      </c>
      <c r="C11" s="14">
        <f>[39]И1!E10</f>
        <v>2023</v>
      </c>
    </row>
    <row r="12" spans="1:3" x14ac:dyDescent="0.2">
      <c r="A12" s="8"/>
      <c r="B12" s="9" t="str">
        <f>[39]И1!D11</f>
        <v>Базовый год (б)</v>
      </c>
      <c r="C12" s="14">
        <f>[39]И1!E11</f>
        <v>2019</v>
      </c>
    </row>
    <row r="13" spans="1:3" ht="38.25" x14ac:dyDescent="0.2">
      <c r="A13" s="8"/>
      <c r="B13" s="9" t="str">
        <f>[39]И1!D18</f>
        <v>Вид топлива, использование которого преобладает в системе теплоснабжения</v>
      </c>
      <c r="C13" s="15" t="str">
        <f>[39]С1.1!E13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5794.4608916825337</v>
      </c>
    </row>
    <row r="18" spans="1:3" ht="42.75" x14ac:dyDescent="0.2">
      <c r="A18" s="22" t="s">
        <v>8</v>
      </c>
      <c r="B18" s="25" t="s">
        <v>9</v>
      </c>
      <c r="C18" s="26">
        <f>[39]С1!F12</f>
        <v>1164.1345578180392</v>
      </c>
    </row>
    <row r="19" spans="1:3" ht="42.75" x14ac:dyDescent="0.2">
      <c r="A19" s="22" t="s">
        <v>10</v>
      </c>
      <c r="B19" s="25" t="s">
        <v>11</v>
      </c>
      <c r="C19" s="26">
        <f>[39]С2!F12</f>
        <v>3063.2235383547568</v>
      </c>
    </row>
    <row r="20" spans="1:3" ht="30" x14ac:dyDescent="0.2">
      <c r="A20" s="22" t="s">
        <v>12</v>
      </c>
      <c r="B20" s="25" t="s">
        <v>13</v>
      </c>
      <c r="C20" s="26">
        <f>[39]С3!F12</f>
        <v>917.89815316767874</v>
      </c>
    </row>
    <row r="21" spans="1:3" ht="42.75" x14ac:dyDescent="0.2">
      <c r="A21" s="22" t="s">
        <v>14</v>
      </c>
      <c r="B21" s="25" t="s">
        <v>15</v>
      </c>
      <c r="C21" s="26">
        <f>[39]С4!F12</f>
        <v>535.58776211298925</v>
      </c>
    </row>
    <row r="22" spans="1:3" ht="30" x14ac:dyDescent="0.2">
      <c r="A22" s="22" t="s">
        <v>16</v>
      </c>
      <c r="B22" s="25" t="s">
        <v>17</v>
      </c>
      <c r="C22" s="26">
        <f>[39]С5!F12</f>
        <v>113.61688022906928</v>
      </c>
    </row>
    <row r="23" spans="1:3" ht="43.5" thickBot="1" x14ac:dyDescent="0.25">
      <c r="A23" s="27" t="s">
        <v>18</v>
      </c>
      <c r="B23" s="140" t="s">
        <v>19</v>
      </c>
      <c r="C23" s="28" t="str">
        <f>[39]С6!F12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[39]С1.1!E16</f>
        <v>5100</v>
      </c>
    </row>
    <row r="29" spans="1:3" ht="42.75" x14ac:dyDescent="0.2">
      <c r="A29" s="22" t="s">
        <v>10</v>
      </c>
      <c r="B29" s="33" t="s">
        <v>22</v>
      </c>
      <c r="C29" s="34">
        <f>[39]С1.1!E27</f>
        <v>4199.33</v>
      </c>
    </row>
    <row r="30" spans="1:3" ht="17.25" x14ac:dyDescent="0.2">
      <c r="A30" s="22" t="s">
        <v>12</v>
      </c>
      <c r="B30" s="33" t="s">
        <v>23</v>
      </c>
      <c r="C30" s="35">
        <f>[39]С1.1!E19</f>
        <v>1.4E-2</v>
      </c>
    </row>
    <row r="31" spans="1:3" ht="17.25" x14ac:dyDescent="0.2">
      <c r="A31" s="22" t="s">
        <v>14</v>
      </c>
      <c r="B31" s="33" t="s">
        <v>24</v>
      </c>
      <c r="C31" s="35">
        <f>[39]С1.1!E20</f>
        <v>0.04</v>
      </c>
    </row>
    <row r="32" spans="1:3" ht="30" x14ac:dyDescent="0.2">
      <c r="A32" s="22" t="s">
        <v>16</v>
      </c>
      <c r="B32" s="36" t="s">
        <v>25</v>
      </c>
      <c r="C32" s="37">
        <f>[39]С1!F13</f>
        <v>176.4</v>
      </c>
    </row>
    <row r="33" spans="1:3" x14ac:dyDescent="0.2">
      <c r="A33" s="22" t="s">
        <v>18</v>
      </c>
      <c r="B33" s="36" t="s">
        <v>26</v>
      </c>
      <c r="C33" s="38">
        <f>[39]С1!F16</f>
        <v>7000</v>
      </c>
    </row>
    <row r="34" spans="1:3" ht="14.25" x14ac:dyDescent="0.2">
      <c r="A34" s="22" t="s">
        <v>27</v>
      </c>
      <c r="B34" s="39" t="s">
        <v>28</v>
      </c>
      <c r="C34" s="40">
        <f>[39]С1!F17</f>
        <v>0.72857142857142854</v>
      </c>
    </row>
    <row r="35" spans="1:3" ht="15.75" x14ac:dyDescent="0.2">
      <c r="A35" s="41" t="s">
        <v>29</v>
      </c>
      <c r="B35" s="42" t="s">
        <v>30</v>
      </c>
      <c r="C35" s="40">
        <f>[39]С1!F20</f>
        <v>21.588411179999994</v>
      </c>
    </row>
    <row r="36" spans="1:3" ht="15.75" x14ac:dyDescent="0.2">
      <c r="A36" s="41" t="s">
        <v>31</v>
      </c>
      <c r="B36" s="43" t="s">
        <v>32</v>
      </c>
      <c r="C36" s="40">
        <f>[39]С1!F21</f>
        <v>20.818139999999996</v>
      </c>
    </row>
    <row r="37" spans="1:3" ht="14.25" x14ac:dyDescent="0.2">
      <c r="A37" s="41" t="s">
        <v>33</v>
      </c>
      <c r="B37" s="44" t="s">
        <v>34</v>
      </c>
      <c r="C37" s="40">
        <f>[39]С1!F22</f>
        <v>1.0369999999999999</v>
      </c>
    </row>
    <row r="38" spans="1:3" ht="53.25" thickBot="1" x14ac:dyDescent="0.25">
      <c r="A38" s="27" t="s">
        <v>35</v>
      </c>
      <c r="B38" s="45" t="s">
        <v>36</v>
      </c>
      <c r="C38" s="46">
        <f>[39]С1!F23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[39]С2.1!E12</f>
        <v>V</v>
      </c>
    </row>
    <row r="42" spans="1:3" ht="25.5" x14ac:dyDescent="0.2">
      <c r="A42" s="22" t="s">
        <v>41</v>
      </c>
      <c r="B42" s="33" t="s">
        <v>42</v>
      </c>
      <c r="C42" s="51" t="str">
        <f>[39]С2.1!E13</f>
        <v>6 и менее баллов</v>
      </c>
    </row>
    <row r="43" spans="1:3" ht="25.5" x14ac:dyDescent="0.2">
      <c r="A43" s="22" t="s">
        <v>43</v>
      </c>
      <c r="B43" s="33" t="s">
        <v>44</v>
      </c>
      <c r="C43" s="51" t="str">
        <f>[39]С2.1!E14</f>
        <v>от 200 до 500</v>
      </c>
    </row>
    <row r="44" spans="1:3" ht="25.5" x14ac:dyDescent="0.2">
      <c r="A44" s="22" t="s">
        <v>45</v>
      </c>
      <c r="B44" s="33" t="s">
        <v>46</v>
      </c>
      <c r="C44" s="52" t="str">
        <f>[39]С2.1!E15</f>
        <v>нет</v>
      </c>
    </row>
    <row r="45" spans="1:3" ht="30" x14ac:dyDescent="0.2">
      <c r="A45" s="22" t="s">
        <v>47</v>
      </c>
      <c r="B45" s="33" t="s">
        <v>48</v>
      </c>
      <c r="C45" s="34">
        <f>[39]С2!F18</f>
        <v>38910.02669467502</v>
      </c>
    </row>
    <row r="46" spans="1:3" ht="30" x14ac:dyDescent="0.2">
      <c r="A46" s="22" t="s">
        <v>49</v>
      </c>
      <c r="B46" s="53" t="s">
        <v>50</v>
      </c>
      <c r="C46" s="34">
        <f>IF([39]С2!F19&gt;0,[39]С2!F19,[39]С2!F20)</f>
        <v>23441.524932855718</v>
      </c>
    </row>
    <row r="47" spans="1:3" ht="25.5" x14ac:dyDescent="0.2">
      <c r="A47" s="22" t="s">
        <v>51</v>
      </c>
      <c r="B47" s="54" t="s">
        <v>52</v>
      </c>
      <c r="C47" s="34">
        <f>[39]С2.1!E19</f>
        <v>-38</v>
      </c>
    </row>
    <row r="48" spans="1:3" ht="25.5" x14ac:dyDescent="0.2">
      <c r="A48" s="22" t="s">
        <v>53</v>
      </c>
      <c r="B48" s="54" t="s">
        <v>54</v>
      </c>
      <c r="C48" s="34" t="str">
        <f>[39]С2.1!E22</f>
        <v>нет</v>
      </c>
    </row>
    <row r="49" spans="1:3" ht="38.25" x14ac:dyDescent="0.2">
      <c r="A49" s="22" t="s">
        <v>55</v>
      </c>
      <c r="B49" s="55" t="s">
        <v>56</v>
      </c>
      <c r="C49" s="34">
        <f>[39]С2.2!E10</f>
        <v>1287</v>
      </c>
    </row>
    <row r="50" spans="1:3" ht="25.5" x14ac:dyDescent="0.2">
      <c r="A50" s="22" t="s">
        <v>57</v>
      </c>
      <c r="B50" s="56" t="s">
        <v>58</v>
      </c>
      <c r="C50" s="34">
        <f>[39]С2.2!E12</f>
        <v>5.97</v>
      </c>
    </row>
    <row r="51" spans="1:3" ht="52.5" x14ac:dyDescent="0.2">
      <c r="A51" s="22" t="s">
        <v>59</v>
      </c>
      <c r="B51" s="57" t="s">
        <v>60</v>
      </c>
      <c r="C51" s="34">
        <f>[39]С2.2!E13</f>
        <v>1</v>
      </c>
    </row>
    <row r="52" spans="1:3" ht="27.75" x14ac:dyDescent="0.2">
      <c r="A52" s="22" t="s">
        <v>61</v>
      </c>
      <c r="B52" s="56" t="s">
        <v>62</v>
      </c>
      <c r="C52" s="34">
        <f>[39]С2.2!E14</f>
        <v>12104</v>
      </c>
    </row>
    <row r="53" spans="1:3" ht="25.5" x14ac:dyDescent="0.2">
      <c r="A53" s="22" t="s">
        <v>63</v>
      </c>
      <c r="B53" s="57" t="s">
        <v>64</v>
      </c>
      <c r="C53" s="35">
        <f>[39]С2.2!E15</f>
        <v>4.8000000000000001E-2</v>
      </c>
    </row>
    <row r="54" spans="1:3" x14ac:dyDescent="0.2">
      <c r="A54" s="22" t="s">
        <v>65</v>
      </c>
      <c r="B54" s="57" t="s">
        <v>66</v>
      </c>
      <c r="C54" s="34">
        <f>[39]С2.2!E16</f>
        <v>1</v>
      </c>
    </row>
    <row r="55" spans="1:3" ht="15.75" x14ac:dyDescent="0.2">
      <c r="A55" s="22" t="s">
        <v>67</v>
      </c>
      <c r="B55" s="58" t="s">
        <v>68</v>
      </c>
      <c r="C55" s="34">
        <f>[39]С2!F21</f>
        <v>1</v>
      </c>
    </row>
    <row r="56" spans="1:3" ht="30" x14ac:dyDescent="0.2">
      <c r="A56" s="59" t="s">
        <v>69</v>
      </c>
      <c r="B56" s="33" t="s">
        <v>70</v>
      </c>
      <c r="C56" s="34">
        <f>[39]С2!F13</f>
        <v>203708.97017230222</v>
      </c>
    </row>
    <row r="57" spans="1:3" ht="30" x14ac:dyDescent="0.2">
      <c r="A57" s="59" t="s">
        <v>71</v>
      </c>
      <c r="B57" s="58" t="s">
        <v>72</v>
      </c>
      <c r="C57" s="34">
        <f>[39]С2!F14</f>
        <v>113455</v>
      </c>
    </row>
    <row r="58" spans="1:3" ht="15.75" x14ac:dyDescent="0.2">
      <c r="A58" s="59" t="s">
        <v>73</v>
      </c>
      <c r="B58" s="60" t="s">
        <v>74</v>
      </c>
      <c r="C58" s="40">
        <f>[39]С2!F15</f>
        <v>1.071</v>
      </c>
    </row>
    <row r="59" spans="1:3" ht="15.75" x14ac:dyDescent="0.2">
      <c r="A59" s="59" t="s">
        <v>75</v>
      </c>
      <c r="B59" s="60" t="s">
        <v>76</v>
      </c>
      <c r="C59" s="40">
        <f>[39]С2!F16</f>
        <v>1</v>
      </c>
    </row>
    <row r="60" spans="1:3" ht="17.25" x14ac:dyDescent="0.2">
      <c r="A60" s="59" t="s">
        <v>77</v>
      </c>
      <c r="B60" s="58" t="s">
        <v>78</v>
      </c>
      <c r="C60" s="34">
        <f>[39]С2!F17</f>
        <v>1.01</v>
      </c>
    </row>
    <row r="61" spans="1:3" s="63" customFormat="1" ht="14.25" x14ac:dyDescent="0.2">
      <c r="A61" s="59" t="s">
        <v>79</v>
      </c>
      <c r="B61" s="61" t="s">
        <v>80</v>
      </c>
      <c r="C61" s="62">
        <f>[39]С2!F33</f>
        <v>10</v>
      </c>
    </row>
    <row r="62" spans="1:3" ht="30" x14ac:dyDescent="0.2">
      <c r="A62" s="59" t="s">
        <v>81</v>
      </c>
      <c r="B62" s="64" t="s">
        <v>82</v>
      </c>
      <c r="C62" s="34">
        <f>[39]С2!F26</f>
        <v>3082.0508637929142</v>
      </c>
    </row>
    <row r="63" spans="1:3" ht="17.25" x14ac:dyDescent="0.2">
      <c r="A63" s="59" t="s">
        <v>83</v>
      </c>
      <c r="B63" s="53" t="s">
        <v>84</v>
      </c>
      <c r="C63" s="34">
        <f>[39]С2!F27</f>
        <v>0.44209422600000003</v>
      </c>
    </row>
    <row r="64" spans="1:3" ht="17.25" x14ac:dyDescent="0.2">
      <c r="A64" s="59" t="s">
        <v>85</v>
      </c>
      <c r="B64" s="58" t="s">
        <v>86</v>
      </c>
      <c r="C64" s="62">
        <f>[39]С2!F28</f>
        <v>4200</v>
      </c>
    </row>
    <row r="65" spans="1:3" ht="42.75" x14ac:dyDescent="0.2">
      <c r="A65" s="59" t="s">
        <v>87</v>
      </c>
      <c r="B65" s="33" t="s">
        <v>88</v>
      </c>
      <c r="C65" s="34">
        <f>[39]С2!F22</f>
        <v>42890.921752741691</v>
      </c>
    </row>
    <row r="66" spans="1:3" ht="30" x14ac:dyDescent="0.2">
      <c r="A66" s="59" t="s">
        <v>89</v>
      </c>
      <c r="B66" s="60" t="s">
        <v>90</v>
      </c>
      <c r="C66" s="34">
        <f>[39]С2!F23</f>
        <v>1990</v>
      </c>
    </row>
    <row r="67" spans="1:3" ht="30" x14ac:dyDescent="0.2">
      <c r="A67" s="59" t="s">
        <v>91</v>
      </c>
      <c r="B67" s="53" t="s">
        <v>92</v>
      </c>
      <c r="C67" s="34">
        <f>[39]С2.1!E27</f>
        <v>14307.876789999998</v>
      </c>
    </row>
    <row r="68" spans="1:3" ht="38.25" x14ac:dyDescent="0.2">
      <c r="A68" s="59" t="s">
        <v>93</v>
      </c>
      <c r="B68" s="65" t="s">
        <v>94</v>
      </c>
      <c r="C68" s="52">
        <f>[39]С2.3!E21</f>
        <v>0</v>
      </c>
    </row>
    <row r="69" spans="1:3" ht="25.5" x14ac:dyDescent="0.2">
      <c r="A69" s="59" t="s">
        <v>95</v>
      </c>
      <c r="B69" s="66" t="s">
        <v>96</v>
      </c>
      <c r="C69" s="67">
        <f>[39]С2.3!E11</f>
        <v>9.89</v>
      </c>
    </row>
    <row r="70" spans="1:3" ht="25.5" x14ac:dyDescent="0.2">
      <c r="A70" s="59" t="s">
        <v>97</v>
      </c>
      <c r="B70" s="66" t="s">
        <v>98</v>
      </c>
      <c r="C70" s="62">
        <f>[39]С2.3!E13</f>
        <v>300</v>
      </c>
    </row>
    <row r="71" spans="1:3" ht="25.5" x14ac:dyDescent="0.2">
      <c r="A71" s="59" t="s">
        <v>99</v>
      </c>
      <c r="B71" s="65" t="s">
        <v>100</v>
      </c>
      <c r="C71" s="68">
        <f>IF([39]С2.3!E22&gt;0,[39]С2.3!E22,[39]С2.3!E14)</f>
        <v>61211</v>
      </c>
    </row>
    <row r="72" spans="1:3" ht="38.25" x14ac:dyDescent="0.2">
      <c r="A72" s="59" t="s">
        <v>101</v>
      </c>
      <c r="B72" s="65" t="s">
        <v>102</v>
      </c>
      <c r="C72" s="68">
        <f>IF([39]С2.3!E23&gt;0,[39]С2.3!E23,[39]С2.3!E15)</f>
        <v>45675</v>
      </c>
    </row>
    <row r="73" spans="1:3" ht="30" x14ac:dyDescent="0.2">
      <c r="A73" s="59" t="s">
        <v>103</v>
      </c>
      <c r="B73" s="53" t="s">
        <v>104</v>
      </c>
      <c r="C73" s="34">
        <f>[39]С2.1!E28</f>
        <v>9541.9567200000001</v>
      </c>
    </row>
    <row r="74" spans="1:3" ht="38.25" x14ac:dyDescent="0.2">
      <c r="A74" s="59" t="s">
        <v>105</v>
      </c>
      <c r="B74" s="65" t="s">
        <v>106</v>
      </c>
      <c r="C74" s="52">
        <f>[39]С2.3!E25</f>
        <v>0</v>
      </c>
    </row>
    <row r="75" spans="1:3" ht="25.5" x14ac:dyDescent="0.2">
      <c r="A75" s="59" t="s">
        <v>107</v>
      </c>
      <c r="B75" s="66" t="s">
        <v>108</v>
      </c>
      <c r="C75" s="67">
        <f>[39]С2.3!E12</f>
        <v>0.56000000000000005</v>
      </c>
    </row>
    <row r="76" spans="1:3" ht="25.5" x14ac:dyDescent="0.2">
      <c r="A76" s="59" t="s">
        <v>109</v>
      </c>
      <c r="B76" s="66" t="s">
        <v>98</v>
      </c>
      <c r="C76" s="62">
        <f>[39]С2.3!E13</f>
        <v>300</v>
      </c>
    </row>
    <row r="77" spans="1:3" ht="25.5" x14ac:dyDescent="0.2">
      <c r="A77" s="59" t="s">
        <v>110</v>
      </c>
      <c r="B77" s="69" t="s">
        <v>111</v>
      </c>
      <c r="C77" s="68">
        <f>IF([39]С2.3!E26&gt;0,[39]С2.3!E26,[39]С2.3!E16)</f>
        <v>65637</v>
      </c>
    </row>
    <row r="78" spans="1:3" ht="38.25" x14ac:dyDescent="0.2">
      <c r="A78" s="59" t="s">
        <v>112</v>
      </c>
      <c r="B78" s="69" t="s">
        <v>113</v>
      </c>
      <c r="C78" s="68">
        <f>IF([39]С2.3!E27&gt;0,[39]С2.3!E27,[39]С2.3!E17)</f>
        <v>31684</v>
      </c>
    </row>
    <row r="79" spans="1:3" ht="17.25" x14ac:dyDescent="0.2">
      <c r="A79" s="59" t="s">
        <v>114</v>
      </c>
      <c r="B79" s="33" t="s">
        <v>115</v>
      </c>
      <c r="C79" s="35">
        <f>[39]С2!F29</f>
        <v>0.17804631770487722</v>
      </c>
    </row>
    <row r="80" spans="1:3" ht="30" x14ac:dyDescent="0.2">
      <c r="A80" s="59" t="s">
        <v>116</v>
      </c>
      <c r="B80" s="53" t="s">
        <v>117</v>
      </c>
      <c r="C80" s="70">
        <f>[39]С2!F30</f>
        <v>0.1652189781021898</v>
      </c>
    </row>
    <row r="81" spans="1:3" ht="17.25" x14ac:dyDescent="0.2">
      <c r="A81" s="59" t="s">
        <v>118</v>
      </c>
      <c r="B81" s="71" t="s">
        <v>119</v>
      </c>
      <c r="C81" s="35">
        <f>[39]С2!F31</f>
        <v>0.13880000000000001</v>
      </c>
    </row>
    <row r="82" spans="1:3" s="63" customFormat="1" ht="18" thickBot="1" x14ac:dyDescent="0.25">
      <c r="A82" s="72" t="s">
        <v>120</v>
      </c>
      <c r="B82" s="73" t="s">
        <v>121</v>
      </c>
      <c r="C82" s="74">
        <f>[39]С2!F32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[39]С3!F14</f>
        <v>14912.207299372252</v>
      </c>
    </row>
    <row r="86" spans="1:3" s="63" customFormat="1" ht="42.75" x14ac:dyDescent="0.2">
      <c r="A86" s="77" t="s">
        <v>126</v>
      </c>
      <c r="B86" s="53" t="s">
        <v>127</v>
      </c>
      <c r="C86" s="78">
        <f>[39]С3!F15</f>
        <v>0.25</v>
      </c>
    </row>
    <row r="87" spans="1:3" s="63" customFormat="1" ht="14.25" x14ac:dyDescent="0.2">
      <c r="A87" s="77" t="s">
        <v>128</v>
      </c>
      <c r="B87" s="79" t="s">
        <v>129</v>
      </c>
      <c r="C87" s="62">
        <f>[39]С3!F18</f>
        <v>15</v>
      </c>
    </row>
    <row r="88" spans="1:3" s="63" customFormat="1" ht="17.25" x14ac:dyDescent="0.2">
      <c r="A88" s="77" t="s">
        <v>130</v>
      </c>
      <c r="B88" s="33" t="s">
        <v>131</v>
      </c>
      <c r="C88" s="34">
        <f>[39]С3!F19</f>
        <v>4187.478806422544</v>
      </c>
    </row>
    <row r="89" spans="1:3" s="63" customFormat="1" ht="55.5" x14ac:dyDescent="0.2">
      <c r="A89" s="77" t="s">
        <v>132</v>
      </c>
      <c r="B89" s="53" t="s">
        <v>133</v>
      </c>
      <c r="C89" s="80">
        <f>[39]С3!F20</f>
        <v>2.1999999999999999E-2</v>
      </c>
    </row>
    <row r="90" spans="1:3" s="63" customFormat="1" ht="14.25" x14ac:dyDescent="0.2">
      <c r="A90" s="77" t="s">
        <v>134</v>
      </c>
      <c r="B90" s="58" t="s">
        <v>80</v>
      </c>
      <c r="C90" s="62">
        <f>[39]С3!F21</f>
        <v>10</v>
      </c>
    </row>
    <row r="91" spans="1:3" s="63" customFormat="1" ht="17.25" x14ac:dyDescent="0.2">
      <c r="A91" s="77" t="s">
        <v>135</v>
      </c>
      <c r="B91" s="33" t="s">
        <v>136</v>
      </c>
      <c r="C91" s="34">
        <f>[39]С3!F22</f>
        <v>9.2461525913787437</v>
      </c>
    </row>
    <row r="92" spans="1:3" s="63" customFormat="1" ht="55.5" x14ac:dyDescent="0.2">
      <c r="A92" s="77" t="s">
        <v>137</v>
      </c>
      <c r="B92" s="53" t="s">
        <v>138</v>
      </c>
      <c r="C92" s="80">
        <f>[39]С3!F23</f>
        <v>3.0000000000000001E-3</v>
      </c>
    </row>
    <row r="93" spans="1:3" s="63" customFormat="1" ht="27.75" thickBot="1" x14ac:dyDescent="0.25">
      <c r="A93" s="81" t="s">
        <v>139</v>
      </c>
      <c r="B93" s="82" t="s">
        <v>140</v>
      </c>
      <c r="C93" s="83">
        <f>[39]С3!F24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[39]С4!F16</f>
        <v>1652.5</v>
      </c>
    </row>
    <row r="97" spans="1:3" ht="30" x14ac:dyDescent="0.2">
      <c r="A97" s="59" t="s">
        <v>145</v>
      </c>
      <c r="B97" s="58" t="s">
        <v>146</v>
      </c>
      <c r="C97" s="34">
        <f>[39]С4!F17</f>
        <v>73547</v>
      </c>
    </row>
    <row r="98" spans="1:3" ht="17.25" x14ac:dyDescent="0.2">
      <c r="A98" s="59" t="s">
        <v>147</v>
      </c>
      <c r="B98" s="58" t="s">
        <v>148</v>
      </c>
      <c r="C98" s="40">
        <f>[39]С4!F18</f>
        <v>0.02</v>
      </c>
    </row>
    <row r="99" spans="1:3" ht="30" x14ac:dyDescent="0.2">
      <c r="A99" s="59" t="s">
        <v>149</v>
      </c>
      <c r="B99" s="58" t="s">
        <v>150</v>
      </c>
      <c r="C99" s="34">
        <f>[39]С4!F19</f>
        <v>12104</v>
      </c>
    </row>
    <row r="100" spans="1:3" ht="31.5" x14ac:dyDescent="0.2">
      <c r="A100" s="59" t="s">
        <v>151</v>
      </c>
      <c r="B100" s="58" t="s">
        <v>152</v>
      </c>
      <c r="C100" s="40">
        <f>[39]С4!F20</f>
        <v>1.4999999999999999E-2</v>
      </c>
    </row>
    <row r="101" spans="1:3" ht="30" x14ac:dyDescent="0.2">
      <c r="A101" s="59" t="s">
        <v>153</v>
      </c>
      <c r="B101" s="33" t="s">
        <v>154</v>
      </c>
      <c r="C101" s="34">
        <f>[39]С4!F21</f>
        <v>1933.1949342509995</v>
      </c>
    </row>
    <row r="102" spans="1:3" ht="24" customHeight="1" x14ac:dyDescent="0.2">
      <c r="A102" s="59" t="s">
        <v>155</v>
      </c>
      <c r="B102" s="53" t="s">
        <v>156</v>
      </c>
      <c r="C102" s="85">
        <f>IF([39]С4.2!F8="да",[39]С4.2!D21,[39]С4.2!D15)</f>
        <v>0</v>
      </c>
    </row>
    <row r="103" spans="1:3" ht="68.25" x14ac:dyDescent="0.2">
      <c r="A103" s="59" t="s">
        <v>157</v>
      </c>
      <c r="B103" s="53" t="s">
        <v>158</v>
      </c>
      <c r="C103" s="34">
        <f>[39]С4!F22</f>
        <v>3.6112641666666665</v>
      </c>
    </row>
    <row r="104" spans="1:3" ht="30" x14ac:dyDescent="0.2">
      <c r="A104" s="59" t="s">
        <v>159</v>
      </c>
      <c r="B104" s="58" t="s">
        <v>160</v>
      </c>
      <c r="C104" s="34">
        <f>[39]С4!F23</f>
        <v>180</v>
      </c>
    </row>
    <row r="105" spans="1:3" ht="14.25" x14ac:dyDescent="0.2">
      <c r="A105" s="59" t="s">
        <v>161</v>
      </c>
      <c r="B105" s="53" t="s">
        <v>162</v>
      </c>
      <c r="C105" s="34">
        <f>[39]С4!F24</f>
        <v>8497.1999999999989</v>
      </c>
    </row>
    <row r="106" spans="1:3" ht="14.25" x14ac:dyDescent="0.2">
      <c r="A106" s="59" t="s">
        <v>163</v>
      </c>
      <c r="B106" s="58" t="s">
        <v>164</v>
      </c>
      <c r="C106" s="40">
        <f>[39]С4!F25</f>
        <v>0.35</v>
      </c>
    </row>
    <row r="107" spans="1:3" ht="17.25" x14ac:dyDescent="0.2">
      <c r="A107" s="59" t="s">
        <v>165</v>
      </c>
      <c r="B107" s="33" t="s">
        <v>166</v>
      </c>
      <c r="C107" s="34">
        <f>[39]С4!F26</f>
        <v>81.184979999999996</v>
      </c>
    </row>
    <row r="108" spans="1:3" ht="25.5" x14ac:dyDescent="0.2">
      <c r="A108" s="59" t="s">
        <v>167</v>
      </c>
      <c r="B108" s="53" t="s">
        <v>94</v>
      </c>
      <c r="C108" s="85">
        <f>[39]С4.3!E16</f>
        <v>0</v>
      </c>
    </row>
    <row r="109" spans="1:3" ht="25.5" x14ac:dyDescent="0.2">
      <c r="A109" s="59" t="s">
        <v>168</v>
      </c>
      <c r="B109" s="53" t="s">
        <v>169</v>
      </c>
      <c r="C109" s="34">
        <f>[39]С4.3!E17</f>
        <v>21.58</v>
      </c>
    </row>
    <row r="110" spans="1:3" ht="38.25" x14ac:dyDescent="0.2">
      <c r="A110" s="59" t="s">
        <v>170</v>
      </c>
      <c r="B110" s="53" t="s">
        <v>106</v>
      </c>
      <c r="C110" s="85">
        <f>[39]С4.3!E18</f>
        <v>0</v>
      </c>
    </row>
    <row r="111" spans="1:3" x14ac:dyDescent="0.2">
      <c r="A111" s="59" t="s">
        <v>171</v>
      </c>
      <c r="B111" s="53" t="s">
        <v>172</v>
      </c>
      <c r="C111" s="34">
        <f>[39]С4.3!E19</f>
        <v>26.98</v>
      </c>
    </row>
    <row r="112" spans="1:3" x14ac:dyDescent="0.2">
      <c r="A112" s="59" t="s">
        <v>173</v>
      </c>
      <c r="B112" s="58" t="s">
        <v>174</v>
      </c>
      <c r="C112" s="34">
        <f>[39]С4.3!E11</f>
        <v>1871</v>
      </c>
    </row>
    <row r="113" spans="1:3" x14ac:dyDescent="0.2">
      <c r="A113" s="59" t="s">
        <v>175</v>
      </c>
      <c r="B113" s="58" t="s">
        <v>176</v>
      </c>
      <c r="C113" s="52">
        <f>[39]С4.3!E12</f>
        <v>1636</v>
      </c>
    </row>
    <row r="114" spans="1:3" x14ac:dyDescent="0.2">
      <c r="A114" s="59" t="s">
        <v>177</v>
      </c>
      <c r="B114" s="58" t="s">
        <v>178</v>
      </c>
      <c r="C114" s="52">
        <f>[39]С4.3!E13</f>
        <v>204</v>
      </c>
    </row>
    <row r="115" spans="1:3" ht="30" x14ac:dyDescent="0.2">
      <c r="A115" s="59" t="s">
        <v>179</v>
      </c>
      <c r="B115" s="33" t="s">
        <v>180</v>
      </c>
      <c r="C115" s="34">
        <f>[39]С4!F27</f>
        <v>1291.2863994686898</v>
      </c>
    </row>
    <row r="116" spans="1:3" ht="25.5" x14ac:dyDescent="0.2">
      <c r="A116" s="59" t="s">
        <v>181</v>
      </c>
      <c r="B116" s="53" t="s">
        <v>182</v>
      </c>
      <c r="C116" s="34">
        <f>[39]С4!F28</f>
        <v>991.77142816335618</v>
      </c>
    </row>
    <row r="117" spans="1:3" ht="42.75" x14ac:dyDescent="0.2">
      <c r="A117" s="59" t="s">
        <v>183</v>
      </c>
      <c r="B117" s="53" t="s">
        <v>184</v>
      </c>
      <c r="C117" s="34">
        <f>[39]С4!F29</f>
        <v>299.51497130533357</v>
      </c>
    </row>
    <row r="118" spans="1:3" ht="30" x14ac:dyDescent="0.2">
      <c r="A118" s="59" t="s">
        <v>185</v>
      </c>
      <c r="B118" s="39" t="s">
        <v>186</v>
      </c>
      <c r="C118" s="34">
        <f>[39]С4!F30</f>
        <v>2919.9993110978967</v>
      </c>
    </row>
    <row r="119" spans="1:3" ht="42.75" x14ac:dyDescent="0.2">
      <c r="A119" s="59" t="s">
        <v>187</v>
      </c>
      <c r="B119" s="86" t="s">
        <v>188</v>
      </c>
      <c r="C119" s="34">
        <f>[39]С4!F33</f>
        <v>1713.4988152445824</v>
      </c>
    </row>
    <row r="120" spans="1:3" ht="30" x14ac:dyDescent="0.2">
      <c r="A120" s="59" t="s">
        <v>189</v>
      </c>
      <c r="B120" s="87" t="s">
        <v>190</v>
      </c>
      <c r="C120" s="34">
        <f>[39]С4!F35</f>
        <v>17.040680999999999</v>
      </c>
    </row>
    <row r="121" spans="1:3" ht="14.25" x14ac:dyDescent="0.2">
      <c r="A121" s="59" t="s">
        <v>191</v>
      </c>
      <c r="B121" s="56" t="s">
        <v>192</v>
      </c>
      <c r="C121" s="34">
        <f>[39]С4!F36</f>
        <v>14319.9</v>
      </c>
    </row>
    <row r="122" spans="1:3" ht="28.5" thickBot="1" x14ac:dyDescent="0.25">
      <c r="A122" s="72" t="s">
        <v>193</v>
      </c>
      <c r="B122" s="88" t="s">
        <v>194</v>
      </c>
      <c r="C122" s="83">
        <f>[39]С4!F37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[39]С5!F17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[39]С2!F37</f>
        <v>20.818139999999996</v>
      </c>
    </row>
    <row r="136" spans="1:3" ht="14.25" x14ac:dyDescent="0.2">
      <c r="A136" s="59" t="s">
        <v>216</v>
      </c>
      <c r="B136" s="101" t="s">
        <v>217</v>
      </c>
      <c r="C136" s="34">
        <f>[39]С2!F38</f>
        <v>7</v>
      </c>
    </row>
    <row r="137" spans="1:3" ht="17.25" x14ac:dyDescent="0.2">
      <c r="A137" s="59" t="s">
        <v>218</v>
      </c>
      <c r="B137" s="101" t="s">
        <v>219</v>
      </c>
      <c r="C137" s="34">
        <f>[39]С2!F40</f>
        <v>0.97</v>
      </c>
    </row>
    <row r="138" spans="1:3" ht="15" thickBot="1" x14ac:dyDescent="0.25">
      <c r="A138" s="72" t="s">
        <v>220</v>
      </c>
      <c r="B138" s="102" t="s">
        <v>221</v>
      </c>
      <c r="C138" s="46">
        <f>[39]С2!F42</f>
        <v>0.35</v>
      </c>
    </row>
    <row r="139" spans="1:3" s="89" customFormat="1" ht="13.5" thickBot="1" x14ac:dyDescent="0.25">
      <c r="A139" s="47"/>
      <c r="B139" s="75"/>
      <c r="C139" s="15"/>
    </row>
    <row r="140" spans="1:3" ht="30" x14ac:dyDescent="0.2">
      <c r="A140" s="84" t="s">
        <v>222</v>
      </c>
      <c r="B140" s="103" t="s">
        <v>223</v>
      </c>
      <c r="C140" s="104">
        <f>[39]С2!F35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[39]С2.5!$E$11</f>
        <v>-2.9000000000000026E-2</v>
      </c>
    </row>
    <row r="144" spans="1:3" x14ac:dyDescent="0.2">
      <c r="A144" s="105"/>
      <c r="B144" s="110">
        <f>B143+1</f>
        <v>2021</v>
      </c>
      <c r="C144" s="111">
        <f>[39]С2.5!$F$11</f>
        <v>0.245</v>
      </c>
    </row>
    <row r="145" spans="1:3" x14ac:dyDescent="0.2">
      <c r="A145" s="105"/>
      <c r="B145" s="110">
        <f t="shared" ref="B145:B208" si="0">B144+1</f>
        <v>2022</v>
      </c>
      <c r="C145" s="111">
        <f>[39]С2.5!$G$11</f>
        <v>0.114</v>
      </c>
    </row>
    <row r="146" spans="1:3" ht="13.5" thickBot="1" x14ac:dyDescent="0.25">
      <c r="A146" s="105"/>
      <c r="B146" s="112">
        <f t="shared" si="0"/>
        <v>2023</v>
      </c>
      <c r="C146" s="113">
        <f>[39]С2.5!$H$11</f>
        <v>0.04</v>
      </c>
    </row>
    <row r="147" spans="1:3" x14ac:dyDescent="0.2">
      <c r="A147" s="105"/>
      <c r="B147" s="114">
        <f t="shared" si="0"/>
        <v>2024</v>
      </c>
      <c r="C147" s="115">
        <f>[39]С2.5!$I$11</f>
        <v>0.11700000000000001</v>
      </c>
    </row>
    <row r="148" spans="1:3" x14ac:dyDescent="0.2">
      <c r="A148" s="105"/>
      <c r="B148" s="110">
        <f t="shared" si="0"/>
        <v>2025</v>
      </c>
      <c r="C148" s="111">
        <f>[39]С2.5!$J$11</f>
        <v>6.0999999999999999E-2</v>
      </c>
    </row>
    <row r="149" spans="1:3" hidden="1" x14ac:dyDescent="0.2">
      <c r="A149" s="105"/>
      <c r="B149" s="110">
        <f t="shared" si="0"/>
        <v>2026</v>
      </c>
      <c r="C149" s="111">
        <f>[39]С2.5!$K$11</f>
        <v>3.5813361771260002E-2</v>
      </c>
    </row>
    <row r="150" spans="1:3" hidden="1" x14ac:dyDescent="0.2">
      <c r="A150" s="105"/>
      <c r="B150" s="110">
        <f t="shared" si="0"/>
        <v>2027</v>
      </c>
      <c r="C150" s="111">
        <f>[39]С2.5!$L$11</f>
        <v>3.2682303599220003E-2</v>
      </c>
    </row>
    <row r="151" spans="1:3" hidden="1" x14ac:dyDescent="0.2">
      <c r="A151" s="105"/>
      <c r="B151" s="110">
        <f t="shared" si="0"/>
        <v>2028</v>
      </c>
      <c r="C151" s="111">
        <f>[39]С2.5!$M$11</f>
        <v>0</v>
      </c>
    </row>
    <row r="152" spans="1:3" hidden="1" x14ac:dyDescent="0.2">
      <c r="A152" s="105"/>
      <c r="B152" s="110">
        <f t="shared" si="0"/>
        <v>2029</v>
      </c>
      <c r="C152" s="111">
        <f>[39]С2.5!$N$11</f>
        <v>0</v>
      </c>
    </row>
    <row r="153" spans="1:3" hidden="1" x14ac:dyDescent="0.2">
      <c r="A153" s="105"/>
      <c r="B153" s="110">
        <f t="shared" si="0"/>
        <v>2030</v>
      </c>
      <c r="C153" s="111">
        <f>[39]С2.5!$O$11</f>
        <v>0</v>
      </c>
    </row>
    <row r="154" spans="1:3" hidden="1" x14ac:dyDescent="0.2">
      <c r="A154" s="105"/>
      <c r="B154" s="110">
        <f t="shared" si="0"/>
        <v>2031</v>
      </c>
      <c r="C154" s="111">
        <f>[39]С2.5!$P$11</f>
        <v>0</v>
      </c>
    </row>
    <row r="155" spans="1:3" hidden="1" x14ac:dyDescent="0.2">
      <c r="A155" s="89"/>
      <c r="B155" s="110">
        <f t="shared" si="0"/>
        <v>2032</v>
      </c>
      <c r="C155" s="111">
        <f>[39]С2.5!$Q$11</f>
        <v>0</v>
      </c>
    </row>
    <row r="156" spans="1:3" hidden="1" x14ac:dyDescent="0.2">
      <c r="A156" s="89"/>
      <c r="B156" s="110">
        <f t="shared" si="0"/>
        <v>2033</v>
      </c>
      <c r="C156" s="111">
        <f>[39]С2.5!$R$11</f>
        <v>0</v>
      </c>
    </row>
    <row r="157" spans="1:3" hidden="1" x14ac:dyDescent="0.2">
      <c r="B157" s="110">
        <f t="shared" si="0"/>
        <v>2034</v>
      </c>
      <c r="C157" s="111">
        <f>[39]С2.5!$S$11</f>
        <v>0</v>
      </c>
    </row>
    <row r="158" spans="1:3" hidden="1" x14ac:dyDescent="0.2">
      <c r="B158" s="110">
        <f t="shared" si="0"/>
        <v>2035</v>
      </c>
      <c r="C158" s="111">
        <f>[39]С2.5!$T$11</f>
        <v>0</v>
      </c>
    </row>
    <row r="159" spans="1:3" hidden="1" x14ac:dyDescent="0.2">
      <c r="B159" s="110">
        <f t="shared" si="0"/>
        <v>2036</v>
      </c>
      <c r="C159" s="111">
        <f>[39]С2.5!$U$11</f>
        <v>0</v>
      </c>
    </row>
    <row r="160" spans="1:3" hidden="1" x14ac:dyDescent="0.2">
      <c r="B160" s="110">
        <f t="shared" si="0"/>
        <v>2037</v>
      </c>
      <c r="C160" s="111">
        <f>[39]С2.5!$V$11</f>
        <v>0</v>
      </c>
    </row>
    <row r="161" spans="2:3" hidden="1" x14ac:dyDescent="0.2">
      <c r="B161" s="110">
        <f t="shared" si="0"/>
        <v>2038</v>
      </c>
      <c r="C161" s="111">
        <f>[39]С2.5!$W$11</f>
        <v>0</v>
      </c>
    </row>
    <row r="162" spans="2:3" hidden="1" x14ac:dyDescent="0.2">
      <c r="B162" s="110">
        <f t="shared" si="0"/>
        <v>2039</v>
      </c>
      <c r="C162" s="111">
        <f>[39]С2.5!$X$11</f>
        <v>0</v>
      </c>
    </row>
    <row r="163" spans="2:3" hidden="1" x14ac:dyDescent="0.2">
      <c r="B163" s="110">
        <f t="shared" si="0"/>
        <v>2040</v>
      </c>
      <c r="C163" s="111">
        <f>[39]С2.5!$Y$11</f>
        <v>0</v>
      </c>
    </row>
    <row r="164" spans="2:3" hidden="1" x14ac:dyDescent="0.2">
      <c r="B164" s="110">
        <f t="shared" si="0"/>
        <v>2041</v>
      </c>
      <c r="C164" s="111">
        <f>[39]С2.5!$Z$11</f>
        <v>0</v>
      </c>
    </row>
    <row r="165" spans="2:3" hidden="1" x14ac:dyDescent="0.2">
      <c r="B165" s="110">
        <f t="shared" si="0"/>
        <v>2042</v>
      </c>
      <c r="C165" s="111">
        <f>[39]С2.5!$AA$11</f>
        <v>0</v>
      </c>
    </row>
    <row r="166" spans="2:3" hidden="1" x14ac:dyDescent="0.2">
      <c r="B166" s="110">
        <f t="shared" si="0"/>
        <v>2043</v>
      </c>
      <c r="C166" s="111">
        <f>[39]С2.5!$AB$11</f>
        <v>0</v>
      </c>
    </row>
    <row r="167" spans="2:3" hidden="1" x14ac:dyDescent="0.2">
      <c r="B167" s="110">
        <f t="shared" si="0"/>
        <v>2044</v>
      </c>
      <c r="C167" s="111">
        <f>[39]С2.5!$AC$11</f>
        <v>0</v>
      </c>
    </row>
    <row r="168" spans="2:3" hidden="1" x14ac:dyDescent="0.2">
      <c r="B168" s="110">
        <f t="shared" si="0"/>
        <v>2045</v>
      </c>
      <c r="C168" s="111">
        <f>[39]С2.5!$AD$11</f>
        <v>0</v>
      </c>
    </row>
    <row r="169" spans="2:3" hidden="1" x14ac:dyDescent="0.2">
      <c r="B169" s="110">
        <f t="shared" si="0"/>
        <v>2046</v>
      </c>
      <c r="C169" s="111">
        <f>[39]С2.5!$AE$11</f>
        <v>0</v>
      </c>
    </row>
    <row r="170" spans="2:3" hidden="1" x14ac:dyDescent="0.2">
      <c r="B170" s="110">
        <f t="shared" si="0"/>
        <v>2047</v>
      </c>
      <c r="C170" s="111">
        <f>[39]С2.5!$AF$11</f>
        <v>0</v>
      </c>
    </row>
    <row r="171" spans="2:3" hidden="1" x14ac:dyDescent="0.2">
      <c r="B171" s="110">
        <f t="shared" si="0"/>
        <v>2048</v>
      </c>
      <c r="C171" s="111">
        <f>[39]С2.5!$AG$11</f>
        <v>0</v>
      </c>
    </row>
    <row r="172" spans="2:3" hidden="1" x14ac:dyDescent="0.2">
      <c r="B172" s="110">
        <f t="shared" si="0"/>
        <v>2049</v>
      </c>
      <c r="C172" s="111">
        <f>[39]С2.5!$AH$11</f>
        <v>0</v>
      </c>
    </row>
    <row r="173" spans="2:3" hidden="1" x14ac:dyDescent="0.2">
      <c r="B173" s="110">
        <f t="shared" si="0"/>
        <v>2050</v>
      </c>
      <c r="C173" s="111">
        <f>[39]С2.5!$AI$11</f>
        <v>0</v>
      </c>
    </row>
    <row r="174" spans="2:3" hidden="1" x14ac:dyDescent="0.2">
      <c r="B174" s="110">
        <f t="shared" si="0"/>
        <v>2051</v>
      </c>
      <c r="C174" s="111">
        <f>[39]С2.5!$AJ$11</f>
        <v>0</v>
      </c>
    </row>
    <row r="175" spans="2:3" hidden="1" x14ac:dyDescent="0.2">
      <c r="B175" s="110">
        <f t="shared" si="0"/>
        <v>2052</v>
      </c>
      <c r="C175" s="111">
        <f>[39]С2.5!$AK$11</f>
        <v>0</v>
      </c>
    </row>
    <row r="176" spans="2:3" hidden="1" x14ac:dyDescent="0.2">
      <c r="B176" s="110">
        <f t="shared" si="0"/>
        <v>2053</v>
      </c>
      <c r="C176" s="111">
        <f>[39]С2.5!$AL$11</f>
        <v>0</v>
      </c>
    </row>
    <row r="177" spans="2:3" hidden="1" x14ac:dyDescent="0.2">
      <c r="B177" s="110">
        <f t="shared" si="0"/>
        <v>2054</v>
      </c>
      <c r="C177" s="111">
        <f>[39]С2.5!$AM$11</f>
        <v>0</v>
      </c>
    </row>
    <row r="178" spans="2:3" hidden="1" x14ac:dyDescent="0.2">
      <c r="B178" s="110">
        <f t="shared" si="0"/>
        <v>2055</v>
      </c>
      <c r="C178" s="111">
        <f>[39]С2.5!$AN$11</f>
        <v>0</v>
      </c>
    </row>
    <row r="179" spans="2:3" hidden="1" x14ac:dyDescent="0.2">
      <c r="B179" s="110">
        <f t="shared" si="0"/>
        <v>2056</v>
      </c>
      <c r="C179" s="111">
        <f>[39]С2.5!$AO$11</f>
        <v>0</v>
      </c>
    </row>
    <row r="180" spans="2:3" hidden="1" x14ac:dyDescent="0.2">
      <c r="B180" s="110">
        <f t="shared" si="0"/>
        <v>2057</v>
      </c>
      <c r="C180" s="111">
        <f>[39]С2.5!$AP$11</f>
        <v>0</v>
      </c>
    </row>
    <row r="181" spans="2:3" hidden="1" x14ac:dyDescent="0.2">
      <c r="B181" s="110">
        <f t="shared" si="0"/>
        <v>2058</v>
      </c>
      <c r="C181" s="111">
        <f>[39]С2.5!$AQ$11</f>
        <v>0</v>
      </c>
    </row>
    <row r="182" spans="2:3" hidden="1" x14ac:dyDescent="0.2">
      <c r="B182" s="110">
        <f t="shared" si="0"/>
        <v>2059</v>
      </c>
      <c r="C182" s="111">
        <f>[39]С2.5!$AR$11</f>
        <v>0</v>
      </c>
    </row>
    <row r="183" spans="2:3" hidden="1" x14ac:dyDescent="0.2">
      <c r="B183" s="110">
        <f t="shared" si="0"/>
        <v>2060</v>
      </c>
      <c r="C183" s="111">
        <f>[39]С2.5!$AS$11</f>
        <v>0</v>
      </c>
    </row>
    <row r="184" spans="2:3" hidden="1" x14ac:dyDescent="0.2">
      <c r="B184" s="110">
        <f t="shared" si="0"/>
        <v>2061</v>
      </c>
      <c r="C184" s="111">
        <f>[39]С2.5!$AT$11</f>
        <v>0</v>
      </c>
    </row>
    <row r="185" spans="2:3" hidden="1" x14ac:dyDescent="0.2">
      <c r="B185" s="110">
        <f t="shared" si="0"/>
        <v>2062</v>
      </c>
      <c r="C185" s="111">
        <f>[39]С2.5!$AU$11</f>
        <v>0</v>
      </c>
    </row>
    <row r="186" spans="2:3" hidden="1" x14ac:dyDescent="0.2">
      <c r="B186" s="110">
        <f t="shared" si="0"/>
        <v>2063</v>
      </c>
      <c r="C186" s="111">
        <f>[39]С2.5!$AV$11</f>
        <v>0</v>
      </c>
    </row>
    <row r="187" spans="2:3" hidden="1" x14ac:dyDescent="0.2">
      <c r="B187" s="110">
        <f t="shared" si="0"/>
        <v>2064</v>
      </c>
      <c r="C187" s="111">
        <f>[39]С2.5!$AW$11</f>
        <v>0</v>
      </c>
    </row>
    <row r="188" spans="2:3" hidden="1" x14ac:dyDescent="0.2">
      <c r="B188" s="110">
        <f t="shared" si="0"/>
        <v>2065</v>
      </c>
      <c r="C188" s="111">
        <f>[39]С2.5!$AX$11</f>
        <v>0</v>
      </c>
    </row>
    <row r="189" spans="2:3" hidden="1" x14ac:dyDescent="0.2">
      <c r="B189" s="110">
        <f t="shared" si="0"/>
        <v>2066</v>
      </c>
      <c r="C189" s="111">
        <f>[39]С2.5!$AY$11</f>
        <v>0</v>
      </c>
    </row>
    <row r="190" spans="2:3" hidden="1" x14ac:dyDescent="0.2">
      <c r="B190" s="110">
        <f t="shared" si="0"/>
        <v>2067</v>
      </c>
      <c r="C190" s="111">
        <f>[39]С2.5!$AZ$11</f>
        <v>0</v>
      </c>
    </row>
    <row r="191" spans="2:3" hidden="1" x14ac:dyDescent="0.2">
      <c r="B191" s="110">
        <f t="shared" si="0"/>
        <v>2068</v>
      </c>
      <c r="C191" s="111">
        <f>[39]С2.5!$BA$11</f>
        <v>0</v>
      </c>
    </row>
    <row r="192" spans="2:3" hidden="1" x14ac:dyDescent="0.2">
      <c r="B192" s="110">
        <f t="shared" si="0"/>
        <v>2069</v>
      </c>
      <c r="C192" s="111">
        <f>[39]С2.5!$BB$11</f>
        <v>0</v>
      </c>
    </row>
    <row r="193" spans="2:3" hidden="1" x14ac:dyDescent="0.2">
      <c r="B193" s="110">
        <f t="shared" si="0"/>
        <v>2070</v>
      </c>
      <c r="C193" s="111">
        <f>[39]С2.5!$BC$11</f>
        <v>0</v>
      </c>
    </row>
    <row r="194" spans="2:3" hidden="1" x14ac:dyDescent="0.2">
      <c r="B194" s="110">
        <f t="shared" si="0"/>
        <v>2071</v>
      </c>
      <c r="C194" s="111">
        <f>[39]С2.5!$BD$11</f>
        <v>0</v>
      </c>
    </row>
    <row r="195" spans="2:3" hidden="1" x14ac:dyDescent="0.2">
      <c r="B195" s="110">
        <f t="shared" si="0"/>
        <v>2072</v>
      </c>
      <c r="C195" s="111">
        <f>[39]С2.5!$BE$11</f>
        <v>0</v>
      </c>
    </row>
    <row r="196" spans="2:3" hidden="1" x14ac:dyDescent="0.2">
      <c r="B196" s="110">
        <f t="shared" si="0"/>
        <v>2073</v>
      </c>
      <c r="C196" s="111">
        <f>[39]С2.5!$BF$11</f>
        <v>0</v>
      </c>
    </row>
    <row r="197" spans="2:3" hidden="1" x14ac:dyDescent="0.2">
      <c r="B197" s="110">
        <f t="shared" si="0"/>
        <v>2074</v>
      </c>
      <c r="C197" s="111">
        <f>[39]С2.5!$BG$11</f>
        <v>0</v>
      </c>
    </row>
    <row r="198" spans="2:3" hidden="1" x14ac:dyDescent="0.2">
      <c r="B198" s="110">
        <f t="shared" si="0"/>
        <v>2075</v>
      </c>
      <c r="C198" s="111">
        <f>[39]С2.5!$BH$11</f>
        <v>0</v>
      </c>
    </row>
    <row r="199" spans="2:3" hidden="1" x14ac:dyDescent="0.2">
      <c r="B199" s="110">
        <f t="shared" si="0"/>
        <v>2076</v>
      </c>
      <c r="C199" s="111">
        <f>[39]С2.5!$BI$11</f>
        <v>0</v>
      </c>
    </row>
    <row r="200" spans="2:3" hidden="1" x14ac:dyDescent="0.2">
      <c r="B200" s="110">
        <f t="shared" si="0"/>
        <v>2077</v>
      </c>
      <c r="C200" s="111">
        <f>[39]С2.5!$BJ$11</f>
        <v>0</v>
      </c>
    </row>
    <row r="201" spans="2:3" hidden="1" x14ac:dyDescent="0.2">
      <c r="B201" s="110">
        <f t="shared" si="0"/>
        <v>2078</v>
      </c>
      <c r="C201" s="111">
        <f>[39]С2.5!$BK$11</f>
        <v>0</v>
      </c>
    </row>
    <row r="202" spans="2:3" hidden="1" x14ac:dyDescent="0.2">
      <c r="B202" s="110">
        <f t="shared" si="0"/>
        <v>2079</v>
      </c>
      <c r="C202" s="111">
        <f>[39]С2.5!$BL$11</f>
        <v>0</v>
      </c>
    </row>
    <row r="203" spans="2:3" hidden="1" x14ac:dyDescent="0.2">
      <c r="B203" s="110">
        <f t="shared" si="0"/>
        <v>2080</v>
      </c>
      <c r="C203" s="111">
        <f>[39]С2.5!$BM$11</f>
        <v>0</v>
      </c>
    </row>
    <row r="204" spans="2:3" hidden="1" x14ac:dyDescent="0.2">
      <c r="B204" s="110">
        <f t="shared" si="0"/>
        <v>2081</v>
      </c>
      <c r="C204" s="111">
        <f>[39]С2.5!$BN$11</f>
        <v>0</v>
      </c>
    </row>
    <row r="205" spans="2:3" hidden="1" x14ac:dyDescent="0.2">
      <c r="B205" s="110">
        <f t="shared" si="0"/>
        <v>2082</v>
      </c>
      <c r="C205" s="111">
        <f>[39]С2.5!$BO$11</f>
        <v>0</v>
      </c>
    </row>
    <row r="206" spans="2:3" hidden="1" x14ac:dyDescent="0.2">
      <c r="B206" s="110">
        <f t="shared" si="0"/>
        <v>2083</v>
      </c>
      <c r="C206" s="111">
        <f>[39]С2.5!$BP$11</f>
        <v>0</v>
      </c>
    </row>
    <row r="207" spans="2:3" hidden="1" x14ac:dyDescent="0.2">
      <c r="B207" s="110">
        <f t="shared" si="0"/>
        <v>2084</v>
      </c>
      <c r="C207" s="111">
        <f>[39]С2.5!$BQ$11</f>
        <v>0</v>
      </c>
    </row>
    <row r="208" spans="2:3" hidden="1" x14ac:dyDescent="0.2">
      <c r="B208" s="110">
        <f t="shared" si="0"/>
        <v>2085</v>
      </c>
      <c r="C208" s="111">
        <f>[39]С2.5!$BR$11</f>
        <v>0</v>
      </c>
    </row>
    <row r="209" spans="2:3" hidden="1" x14ac:dyDescent="0.2">
      <c r="B209" s="110">
        <f t="shared" ref="B209:B223" si="1">B208+1</f>
        <v>2086</v>
      </c>
      <c r="C209" s="111">
        <f>[39]С2.5!$BS$11</f>
        <v>0</v>
      </c>
    </row>
    <row r="210" spans="2:3" hidden="1" x14ac:dyDescent="0.2">
      <c r="B210" s="110">
        <f t="shared" si="1"/>
        <v>2087</v>
      </c>
      <c r="C210" s="111">
        <f>[39]С2.5!$BT$11</f>
        <v>0</v>
      </c>
    </row>
    <row r="211" spans="2:3" hidden="1" x14ac:dyDescent="0.2">
      <c r="B211" s="110">
        <f t="shared" si="1"/>
        <v>2088</v>
      </c>
      <c r="C211" s="111">
        <f>[39]С2.5!$BU$11</f>
        <v>0</v>
      </c>
    </row>
    <row r="212" spans="2:3" hidden="1" x14ac:dyDescent="0.2">
      <c r="B212" s="110">
        <f t="shared" si="1"/>
        <v>2089</v>
      </c>
      <c r="C212" s="111">
        <f>[39]С2.5!$BV$11</f>
        <v>0</v>
      </c>
    </row>
    <row r="213" spans="2:3" hidden="1" x14ac:dyDescent="0.2">
      <c r="B213" s="110">
        <f t="shared" si="1"/>
        <v>2090</v>
      </c>
      <c r="C213" s="111">
        <f>[39]С2.5!$BW$11</f>
        <v>0</v>
      </c>
    </row>
    <row r="214" spans="2:3" hidden="1" x14ac:dyDescent="0.2">
      <c r="B214" s="110">
        <f t="shared" si="1"/>
        <v>2091</v>
      </c>
      <c r="C214" s="111">
        <f>[39]С2.5!$BX$11</f>
        <v>0</v>
      </c>
    </row>
    <row r="215" spans="2:3" hidden="1" x14ac:dyDescent="0.2">
      <c r="B215" s="110">
        <f t="shared" si="1"/>
        <v>2092</v>
      </c>
      <c r="C215" s="111">
        <f>[39]С2.5!$BY$11</f>
        <v>0</v>
      </c>
    </row>
    <row r="216" spans="2:3" hidden="1" x14ac:dyDescent="0.2">
      <c r="B216" s="110">
        <f t="shared" si="1"/>
        <v>2093</v>
      </c>
      <c r="C216" s="111">
        <f>[39]С2.5!$BZ$11</f>
        <v>0</v>
      </c>
    </row>
    <row r="217" spans="2:3" hidden="1" x14ac:dyDescent="0.2">
      <c r="B217" s="110">
        <f t="shared" si="1"/>
        <v>2094</v>
      </c>
      <c r="C217" s="111">
        <f>[39]С2.5!$CA$11</f>
        <v>0</v>
      </c>
    </row>
    <row r="218" spans="2:3" hidden="1" x14ac:dyDescent="0.2">
      <c r="B218" s="110">
        <f t="shared" si="1"/>
        <v>2095</v>
      </c>
      <c r="C218" s="111">
        <f>[39]С2.5!$CB$11</f>
        <v>0</v>
      </c>
    </row>
    <row r="219" spans="2:3" hidden="1" x14ac:dyDescent="0.2">
      <c r="B219" s="110">
        <f t="shared" si="1"/>
        <v>2096</v>
      </c>
      <c r="C219" s="111">
        <f>[39]С2.5!$CC$11</f>
        <v>0</v>
      </c>
    </row>
    <row r="220" spans="2:3" hidden="1" x14ac:dyDescent="0.2">
      <c r="B220" s="110">
        <f t="shared" si="1"/>
        <v>2097</v>
      </c>
      <c r="C220" s="111">
        <f>[39]С2.5!$CD$11</f>
        <v>0</v>
      </c>
    </row>
    <row r="221" spans="2:3" hidden="1" x14ac:dyDescent="0.2">
      <c r="B221" s="110">
        <f t="shared" si="1"/>
        <v>2098</v>
      </c>
      <c r="C221" s="111">
        <f>[39]С2.5!$CE$11</f>
        <v>0</v>
      </c>
    </row>
    <row r="222" spans="2:3" hidden="1" x14ac:dyDescent="0.2">
      <c r="B222" s="110">
        <f t="shared" si="1"/>
        <v>2099</v>
      </c>
      <c r="C222" s="111">
        <f>[39]С2.5!$CF$11</f>
        <v>0</v>
      </c>
    </row>
    <row r="223" spans="2:3" ht="13.5" hidden="1" thickBot="1" x14ac:dyDescent="0.25">
      <c r="B223" s="112">
        <f t="shared" si="1"/>
        <v>2100</v>
      </c>
      <c r="C223" s="113">
        <f>[39]С2.5!$CG$11</f>
        <v>0</v>
      </c>
    </row>
    <row r="224" spans="2:3" hidden="1" x14ac:dyDescent="0.2">
      <c r="C224" s="116"/>
    </row>
    <row r="225" spans="3:3" hidden="1" x14ac:dyDescent="0.2">
      <c r="C225" s="116"/>
    </row>
    <row r="226" spans="3:3" x14ac:dyDescent="0.2">
      <c r="C226" s="116"/>
    </row>
  </sheetData>
  <mergeCells count="9">
    <mergeCell ref="B141:C141"/>
    <mergeCell ref="B1:C1"/>
    <mergeCell ref="B27:C27"/>
    <mergeCell ref="B40:C40"/>
    <mergeCell ref="B84:C84"/>
    <mergeCell ref="B95:C95"/>
    <mergeCell ref="B124:C124"/>
    <mergeCell ref="B127:C127"/>
    <mergeCell ref="A14:C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5" sqref="B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[40]И1!D13</f>
        <v>Субъект Российской Федерации</v>
      </c>
      <c r="C4" s="10" t="str">
        <f>[40]И1!E13</f>
        <v>Новосибирская область</v>
      </c>
    </row>
    <row r="5" spans="1:3" ht="46.9" customHeight="1" x14ac:dyDescent="0.2">
      <c r="A5" s="8"/>
      <c r="B5" s="9" t="str">
        <f>[40]И1!D14</f>
        <v>Тип муниципального образования (выберите из списка)</v>
      </c>
      <c r="C5" s="10" t="str">
        <f>[40]И1!E14</f>
        <v>поселок Степной, Искитимский муниципальный район</v>
      </c>
    </row>
    <row r="6" spans="1:3" x14ac:dyDescent="0.2">
      <c r="A6" s="8"/>
      <c r="B6" s="9" t="str">
        <f>IF([40]И1!E15="","",[40]И1!D15)</f>
        <v/>
      </c>
      <c r="C6" s="10" t="str">
        <f>IF([40]И1!E15="","",[40]И1!E15)</f>
        <v/>
      </c>
    </row>
    <row r="7" spans="1:3" x14ac:dyDescent="0.2">
      <c r="A7" s="8"/>
      <c r="B7" s="9" t="str">
        <f>[40]И1!D16</f>
        <v>Код ОКТМО</v>
      </c>
      <c r="C7" s="11" t="str">
        <f>[40]И1!E16</f>
        <v xml:space="preserve"> (50615425101)</v>
      </c>
    </row>
    <row r="8" spans="1:3" x14ac:dyDescent="0.2">
      <c r="A8" s="8"/>
      <c r="B8" s="12" t="str">
        <f>[40]И1!D17</f>
        <v>Система теплоснабжения</v>
      </c>
      <c r="C8" s="13">
        <f>[40]И1!E17</f>
        <v>0</v>
      </c>
    </row>
    <row r="9" spans="1:3" x14ac:dyDescent="0.2">
      <c r="A9" s="8"/>
      <c r="B9" s="9" t="str">
        <f>[40]И1!D8</f>
        <v>Период регулирования (i)-й</v>
      </c>
      <c r="C9" s="14">
        <f>[40]И1!E8</f>
        <v>2025</v>
      </c>
    </row>
    <row r="10" spans="1:3" x14ac:dyDescent="0.2">
      <c r="A10" s="8"/>
      <c r="B10" s="9" t="str">
        <f>[40]И1!D9</f>
        <v>Период регулирования (i-1)-й</v>
      </c>
      <c r="C10" s="14">
        <f>[40]И1!E9</f>
        <v>2024</v>
      </c>
    </row>
    <row r="11" spans="1:3" x14ac:dyDescent="0.2">
      <c r="A11" s="8"/>
      <c r="B11" s="9" t="str">
        <f>[40]И1!D10</f>
        <v>Период регулирования (i-2)-й</v>
      </c>
      <c r="C11" s="14">
        <f>[40]И1!E10</f>
        <v>2023</v>
      </c>
    </row>
    <row r="12" spans="1:3" x14ac:dyDescent="0.2">
      <c r="A12" s="8"/>
      <c r="B12" s="9" t="str">
        <f>[40]И1!D11</f>
        <v>Базовый год (б)</v>
      </c>
      <c r="C12" s="14">
        <f>[40]И1!E11</f>
        <v>2019</v>
      </c>
    </row>
    <row r="13" spans="1:3" ht="38.25" x14ac:dyDescent="0.2">
      <c r="A13" s="8"/>
      <c r="B13" s="9" t="str">
        <f>[40]И1!D18</f>
        <v>Вид топлива, использование которого преобладает в системе теплоснабжения</v>
      </c>
      <c r="C13" s="15" t="str">
        <f>[40]С1.1!E13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5569.4854027191141</v>
      </c>
    </row>
    <row r="18" spans="1:3" ht="42.75" x14ac:dyDescent="0.2">
      <c r="A18" s="22" t="s">
        <v>8</v>
      </c>
      <c r="B18" s="25" t="s">
        <v>9</v>
      </c>
      <c r="C18" s="26">
        <f>[40]С1!F12</f>
        <v>960.0458433170021</v>
      </c>
    </row>
    <row r="19" spans="1:3" ht="42.75" x14ac:dyDescent="0.2">
      <c r="A19" s="22" t="s">
        <v>10</v>
      </c>
      <c r="B19" s="25" t="s">
        <v>11</v>
      </c>
      <c r="C19" s="26">
        <f>[40]С2!F12</f>
        <v>3063.2235383547568</v>
      </c>
    </row>
    <row r="20" spans="1:3" ht="30" x14ac:dyDescent="0.2">
      <c r="A20" s="22" t="s">
        <v>12</v>
      </c>
      <c r="B20" s="25" t="s">
        <v>13</v>
      </c>
      <c r="C20" s="26">
        <f>[40]С3!F12</f>
        <v>917.89815316767874</v>
      </c>
    </row>
    <row r="21" spans="1:3" ht="42.75" x14ac:dyDescent="0.2">
      <c r="A21" s="22" t="s">
        <v>14</v>
      </c>
      <c r="B21" s="25" t="s">
        <v>15</v>
      </c>
      <c r="C21" s="26">
        <f>[40]С4!F12</f>
        <v>519.11227174792941</v>
      </c>
    </row>
    <row r="22" spans="1:3" ht="30" x14ac:dyDescent="0.2">
      <c r="A22" s="22" t="s">
        <v>16</v>
      </c>
      <c r="B22" s="25" t="s">
        <v>17</v>
      </c>
      <c r="C22" s="26">
        <f>[40]С5!F12</f>
        <v>109.20559613174734</v>
      </c>
    </row>
    <row r="23" spans="1:3" ht="43.5" thickBot="1" x14ac:dyDescent="0.25">
      <c r="A23" s="27" t="s">
        <v>18</v>
      </c>
      <c r="B23" s="140" t="s">
        <v>19</v>
      </c>
      <c r="C23" s="28" t="str">
        <f>[40]С6!F12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[40]С1.1!E16</f>
        <v>5100</v>
      </c>
    </row>
    <row r="29" spans="1:3" ht="42.75" x14ac:dyDescent="0.2">
      <c r="A29" s="22" t="s">
        <v>10</v>
      </c>
      <c r="B29" s="33" t="s">
        <v>22</v>
      </c>
      <c r="C29" s="34">
        <f>[40]С1.1!E27</f>
        <v>3463.13</v>
      </c>
    </row>
    <row r="30" spans="1:3" ht="17.25" x14ac:dyDescent="0.2">
      <c r="A30" s="22" t="s">
        <v>12</v>
      </c>
      <c r="B30" s="33" t="s">
        <v>23</v>
      </c>
      <c r="C30" s="35">
        <f>[40]С1.1!E19</f>
        <v>1.4E-2</v>
      </c>
    </row>
    <row r="31" spans="1:3" ht="17.25" x14ac:dyDescent="0.2">
      <c r="A31" s="22" t="s">
        <v>14</v>
      </c>
      <c r="B31" s="33" t="s">
        <v>24</v>
      </c>
      <c r="C31" s="35">
        <f>[40]С1.1!E20</f>
        <v>0.04</v>
      </c>
    </row>
    <row r="32" spans="1:3" ht="30" x14ac:dyDescent="0.2">
      <c r="A32" s="22" t="s">
        <v>16</v>
      </c>
      <c r="B32" s="36" t="s">
        <v>25</v>
      </c>
      <c r="C32" s="37">
        <f>[40]С1!F13</f>
        <v>176.4</v>
      </c>
    </row>
    <row r="33" spans="1:3" x14ac:dyDescent="0.2">
      <c r="A33" s="22" t="s">
        <v>18</v>
      </c>
      <c r="B33" s="36" t="s">
        <v>26</v>
      </c>
      <c r="C33" s="38">
        <f>[40]С1!F16</f>
        <v>7000</v>
      </c>
    </row>
    <row r="34" spans="1:3" ht="14.25" x14ac:dyDescent="0.2">
      <c r="A34" s="22" t="s">
        <v>27</v>
      </c>
      <c r="B34" s="39" t="s">
        <v>28</v>
      </c>
      <c r="C34" s="40">
        <f>[40]С1!F17</f>
        <v>0.72857142857142854</v>
      </c>
    </row>
    <row r="35" spans="1:3" ht="15.75" x14ac:dyDescent="0.2">
      <c r="A35" s="41" t="s">
        <v>29</v>
      </c>
      <c r="B35" s="42" t="s">
        <v>30</v>
      </c>
      <c r="C35" s="40">
        <f>[40]С1!F20</f>
        <v>21.588411179999994</v>
      </c>
    </row>
    <row r="36" spans="1:3" ht="15.75" x14ac:dyDescent="0.2">
      <c r="A36" s="41" t="s">
        <v>31</v>
      </c>
      <c r="B36" s="43" t="s">
        <v>32</v>
      </c>
      <c r="C36" s="40">
        <f>[40]С1!F21</f>
        <v>20.818139999999996</v>
      </c>
    </row>
    <row r="37" spans="1:3" ht="14.25" x14ac:dyDescent="0.2">
      <c r="A37" s="41" t="s">
        <v>33</v>
      </c>
      <c r="B37" s="44" t="s">
        <v>34</v>
      </c>
      <c r="C37" s="40">
        <f>[40]С1!F22</f>
        <v>1.0369999999999999</v>
      </c>
    </row>
    <row r="38" spans="1:3" ht="53.25" thickBot="1" x14ac:dyDescent="0.25">
      <c r="A38" s="27" t="s">
        <v>35</v>
      </c>
      <c r="B38" s="45" t="s">
        <v>36</v>
      </c>
      <c r="C38" s="46">
        <f>[40]С1!F23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[40]С2.1!E12</f>
        <v>V</v>
      </c>
    </row>
    <row r="42" spans="1:3" ht="25.5" x14ac:dyDescent="0.2">
      <c r="A42" s="22" t="s">
        <v>41</v>
      </c>
      <c r="B42" s="33" t="s">
        <v>42</v>
      </c>
      <c r="C42" s="51" t="str">
        <f>[40]С2.1!E13</f>
        <v>6 и менее баллов</v>
      </c>
    </row>
    <row r="43" spans="1:3" ht="25.5" x14ac:dyDescent="0.2">
      <c r="A43" s="22" t="s">
        <v>43</v>
      </c>
      <c r="B43" s="33" t="s">
        <v>44</v>
      </c>
      <c r="C43" s="51" t="str">
        <f>[40]С2.1!E14</f>
        <v>от 200 до 500</v>
      </c>
    </row>
    <row r="44" spans="1:3" ht="25.5" x14ac:dyDescent="0.2">
      <c r="A44" s="22" t="s">
        <v>45</v>
      </c>
      <c r="B44" s="33" t="s">
        <v>46</v>
      </c>
      <c r="C44" s="52" t="str">
        <f>[40]С2.1!E15</f>
        <v>нет</v>
      </c>
    </row>
    <row r="45" spans="1:3" ht="30" x14ac:dyDescent="0.2">
      <c r="A45" s="22" t="s">
        <v>47</v>
      </c>
      <c r="B45" s="33" t="s">
        <v>48</v>
      </c>
      <c r="C45" s="34">
        <f>[40]С2!F18</f>
        <v>38910.02669467502</v>
      </c>
    </row>
    <row r="46" spans="1:3" ht="30" x14ac:dyDescent="0.2">
      <c r="A46" s="22" t="s">
        <v>49</v>
      </c>
      <c r="B46" s="53" t="s">
        <v>50</v>
      </c>
      <c r="C46" s="34">
        <f>IF([40]С2!F19&gt;0,[40]С2!F19,[40]С2!F20)</f>
        <v>23441.524932855718</v>
      </c>
    </row>
    <row r="47" spans="1:3" ht="25.5" x14ac:dyDescent="0.2">
      <c r="A47" s="22" t="s">
        <v>51</v>
      </c>
      <c r="B47" s="54" t="s">
        <v>52</v>
      </c>
      <c r="C47" s="34">
        <f>[40]С2.1!E19</f>
        <v>-38</v>
      </c>
    </row>
    <row r="48" spans="1:3" ht="25.5" x14ac:dyDescent="0.2">
      <c r="A48" s="22" t="s">
        <v>53</v>
      </c>
      <c r="B48" s="54" t="s">
        <v>54</v>
      </c>
      <c r="C48" s="34" t="str">
        <f>[40]С2.1!E22</f>
        <v>нет</v>
      </c>
    </row>
    <row r="49" spans="1:3" ht="38.25" x14ac:dyDescent="0.2">
      <c r="A49" s="22" t="s">
        <v>55</v>
      </c>
      <c r="B49" s="55" t="s">
        <v>56</v>
      </c>
      <c r="C49" s="34">
        <f>[40]С2.2!E10</f>
        <v>1287</v>
      </c>
    </row>
    <row r="50" spans="1:3" ht="25.5" x14ac:dyDescent="0.2">
      <c r="A50" s="22" t="s">
        <v>57</v>
      </c>
      <c r="B50" s="56" t="s">
        <v>58</v>
      </c>
      <c r="C50" s="34">
        <f>[40]С2.2!E12</f>
        <v>5.97</v>
      </c>
    </row>
    <row r="51" spans="1:3" ht="52.5" x14ac:dyDescent="0.2">
      <c r="A51" s="22" t="s">
        <v>59</v>
      </c>
      <c r="B51" s="57" t="s">
        <v>60</v>
      </c>
      <c r="C51" s="34">
        <f>[40]С2.2!E13</f>
        <v>1</v>
      </c>
    </row>
    <row r="52" spans="1:3" ht="27.75" x14ac:dyDescent="0.2">
      <c r="A52" s="22" t="s">
        <v>61</v>
      </c>
      <c r="B52" s="56" t="s">
        <v>62</v>
      </c>
      <c r="C52" s="34">
        <f>[40]С2.2!E14</f>
        <v>12104</v>
      </c>
    </row>
    <row r="53" spans="1:3" ht="25.5" x14ac:dyDescent="0.2">
      <c r="A53" s="22" t="s">
        <v>63</v>
      </c>
      <c r="B53" s="57" t="s">
        <v>64</v>
      </c>
      <c r="C53" s="35">
        <f>[40]С2.2!E15</f>
        <v>4.8000000000000001E-2</v>
      </c>
    </row>
    <row r="54" spans="1:3" x14ac:dyDescent="0.2">
      <c r="A54" s="22" t="s">
        <v>65</v>
      </c>
      <c r="B54" s="57" t="s">
        <v>66</v>
      </c>
      <c r="C54" s="34">
        <f>[40]С2.2!E16</f>
        <v>1</v>
      </c>
    </row>
    <row r="55" spans="1:3" ht="15.75" x14ac:dyDescent="0.2">
      <c r="A55" s="22" t="s">
        <v>67</v>
      </c>
      <c r="B55" s="58" t="s">
        <v>68</v>
      </c>
      <c r="C55" s="34">
        <f>[40]С2!F21</f>
        <v>1</v>
      </c>
    </row>
    <row r="56" spans="1:3" ht="30" x14ac:dyDescent="0.2">
      <c r="A56" s="59" t="s">
        <v>69</v>
      </c>
      <c r="B56" s="33" t="s">
        <v>70</v>
      </c>
      <c r="C56" s="34">
        <f>[40]С2!F13</f>
        <v>203708.97017230222</v>
      </c>
    </row>
    <row r="57" spans="1:3" ht="30" x14ac:dyDescent="0.2">
      <c r="A57" s="59" t="s">
        <v>71</v>
      </c>
      <c r="B57" s="58" t="s">
        <v>72</v>
      </c>
      <c r="C57" s="34">
        <f>[40]С2!F14</f>
        <v>113455</v>
      </c>
    </row>
    <row r="58" spans="1:3" ht="15.75" x14ac:dyDescent="0.2">
      <c r="A58" s="59" t="s">
        <v>73</v>
      </c>
      <c r="B58" s="60" t="s">
        <v>74</v>
      </c>
      <c r="C58" s="40">
        <f>[40]С2!F15</f>
        <v>1.071</v>
      </c>
    </row>
    <row r="59" spans="1:3" ht="15.75" x14ac:dyDescent="0.2">
      <c r="A59" s="59" t="s">
        <v>75</v>
      </c>
      <c r="B59" s="60" t="s">
        <v>76</v>
      </c>
      <c r="C59" s="40">
        <f>[40]С2!F16</f>
        <v>1</v>
      </c>
    </row>
    <row r="60" spans="1:3" ht="17.25" x14ac:dyDescent="0.2">
      <c r="A60" s="59" t="s">
        <v>77</v>
      </c>
      <c r="B60" s="58" t="s">
        <v>78</v>
      </c>
      <c r="C60" s="34">
        <f>[40]С2!F17</f>
        <v>1.01</v>
      </c>
    </row>
    <row r="61" spans="1:3" s="63" customFormat="1" ht="14.25" x14ac:dyDescent="0.2">
      <c r="A61" s="59" t="s">
        <v>79</v>
      </c>
      <c r="B61" s="61" t="s">
        <v>80</v>
      </c>
      <c r="C61" s="62">
        <f>[40]С2!F33</f>
        <v>10</v>
      </c>
    </row>
    <row r="62" spans="1:3" ht="30" x14ac:dyDescent="0.2">
      <c r="A62" s="59" t="s">
        <v>81</v>
      </c>
      <c r="B62" s="64" t="s">
        <v>82</v>
      </c>
      <c r="C62" s="34">
        <f>[40]С2!F26</f>
        <v>3082.0508637929142</v>
      </c>
    </row>
    <row r="63" spans="1:3" ht="17.25" x14ac:dyDescent="0.2">
      <c r="A63" s="59" t="s">
        <v>83</v>
      </c>
      <c r="B63" s="53" t="s">
        <v>84</v>
      </c>
      <c r="C63" s="34">
        <f>[40]С2!F27</f>
        <v>0.44209422600000003</v>
      </c>
    </row>
    <row r="64" spans="1:3" ht="17.25" x14ac:dyDescent="0.2">
      <c r="A64" s="59" t="s">
        <v>85</v>
      </c>
      <c r="B64" s="58" t="s">
        <v>86</v>
      </c>
      <c r="C64" s="62">
        <f>[40]С2!F28</f>
        <v>4200</v>
      </c>
    </row>
    <row r="65" spans="1:3" ht="42.75" x14ac:dyDescent="0.2">
      <c r="A65" s="59" t="s">
        <v>87</v>
      </c>
      <c r="B65" s="33" t="s">
        <v>88</v>
      </c>
      <c r="C65" s="34">
        <f>[40]С2!F22</f>
        <v>42890.921752741691</v>
      </c>
    </row>
    <row r="66" spans="1:3" ht="30" x14ac:dyDescent="0.2">
      <c r="A66" s="59" t="s">
        <v>89</v>
      </c>
      <c r="B66" s="60" t="s">
        <v>90</v>
      </c>
      <c r="C66" s="34">
        <f>[40]С2!F23</f>
        <v>1990</v>
      </c>
    </row>
    <row r="67" spans="1:3" ht="30" x14ac:dyDescent="0.2">
      <c r="A67" s="59" t="s">
        <v>91</v>
      </c>
      <c r="B67" s="53" t="s">
        <v>92</v>
      </c>
      <c r="C67" s="34">
        <f>[40]С2.1!E27</f>
        <v>14307.876789999998</v>
      </c>
    </row>
    <row r="68" spans="1:3" ht="38.25" x14ac:dyDescent="0.2">
      <c r="A68" s="59" t="s">
        <v>93</v>
      </c>
      <c r="B68" s="65" t="s">
        <v>94</v>
      </c>
      <c r="C68" s="52">
        <f>[40]С2.3!E21</f>
        <v>0</v>
      </c>
    </row>
    <row r="69" spans="1:3" ht="25.5" x14ac:dyDescent="0.2">
      <c r="A69" s="59" t="s">
        <v>95</v>
      </c>
      <c r="B69" s="66" t="s">
        <v>96</v>
      </c>
      <c r="C69" s="67">
        <f>[40]С2.3!E11</f>
        <v>9.89</v>
      </c>
    </row>
    <row r="70" spans="1:3" ht="25.5" x14ac:dyDescent="0.2">
      <c r="A70" s="59" t="s">
        <v>97</v>
      </c>
      <c r="B70" s="66" t="s">
        <v>98</v>
      </c>
      <c r="C70" s="62">
        <f>[40]С2.3!E13</f>
        <v>300</v>
      </c>
    </row>
    <row r="71" spans="1:3" ht="25.5" x14ac:dyDescent="0.2">
      <c r="A71" s="59" t="s">
        <v>99</v>
      </c>
      <c r="B71" s="65" t="s">
        <v>100</v>
      </c>
      <c r="C71" s="68">
        <f>IF([40]С2.3!E22&gt;0,[40]С2.3!E22,[40]С2.3!E14)</f>
        <v>61211</v>
      </c>
    </row>
    <row r="72" spans="1:3" ht="38.25" x14ac:dyDescent="0.2">
      <c r="A72" s="59" t="s">
        <v>101</v>
      </c>
      <c r="B72" s="65" t="s">
        <v>102</v>
      </c>
      <c r="C72" s="68">
        <f>IF([40]С2.3!E23&gt;0,[40]С2.3!E23,[40]С2.3!E15)</f>
        <v>45675</v>
      </c>
    </row>
    <row r="73" spans="1:3" ht="30" x14ac:dyDescent="0.2">
      <c r="A73" s="59" t="s">
        <v>103</v>
      </c>
      <c r="B73" s="53" t="s">
        <v>104</v>
      </c>
      <c r="C73" s="34">
        <f>[40]С2.1!E28</f>
        <v>9541.9567200000001</v>
      </c>
    </row>
    <row r="74" spans="1:3" ht="38.25" x14ac:dyDescent="0.2">
      <c r="A74" s="59" t="s">
        <v>105</v>
      </c>
      <c r="B74" s="65" t="s">
        <v>106</v>
      </c>
      <c r="C74" s="52">
        <f>[40]С2.3!E25</f>
        <v>0</v>
      </c>
    </row>
    <row r="75" spans="1:3" ht="25.5" x14ac:dyDescent="0.2">
      <c r="A75" s="59" t="s">
        <v>107</v>
      </c>
      <c r="B75" s="66" t="s">
        <v>108</v>
      </c>
      <c r="C75" s="67">
        <f>[40]С2.3!E12</f>
        <v>0.56000000000000005</v>
      </c>
    </row>
    <row r="76" spans="1:3" ht="25.5" x14ac:dyDescent="0.2">
      <c r="A76" s="59" t="s">
        <v>109</v>
      </c>
      <c r="B76" s="66" t="s">
        <v>98</v>
      </c>
      <c r="C76" s="62">
        <f>[40]С2.3!E13</f>
        <v>300</v>
      </c>
    </row>
    <row r="77" spans="1:3" ht="25.5" x14ac:dyDescent="0.2">
      <c r="A77" s="59" t="s">
        <v>110</v>
      </c>
      <c r="B77" s="69" t="s">
        <v>111</v>
      </c>
      <c r="C77" s="68">
        <f>IF([40]С2.3!E26&gt;0,[40]С2.3!E26,[40]С2.3!E16)</f>
        <v>65637</v>
      </c>
    </row>
    <row r="78" spans="1:3" ht="38.25" x14ac:dyDescent="0.2">
      <c r="A78" s="59" t="s">
        <v>112</v>
      </c>
      <c r="B78" s="69" t="s">
        <v>113</v>
      </c>
      <c r="C78" s="68">
        <f>IF([40]С2.3!E27&gt;0,[40]С2.3!E27,[40]С2.3!E17)</f>
        <v>31684</v>
      </c>
    </row>
    <row r="79" spans="1:3" ht="17.25" x14ac:dyDescent="0.2">
      <c r="A79" s="59" t="s">
        <v>114</v>
      </c>
      <c r="B79" s="33" t="s">
        <v>115</v>
      </c>
      <c r="C79" s="35">
        <f>[40]С2!F29</f>
        <v>0.17804631770487722</v>
      </c>
    </row>
    <row r="80" spans="1:3" ht="30" x14ac:dyDescent="0.2">
      <c r="A80" s="59" t="s">
        <v>116</v>
      </c>
      <c r="B80" s="53" t="s">
        <v>117</v>
      </c>
      <c r="C80" s="70">
        <f>[40]С2!F30</f>
        <v>0.1652189781021898</v>
      </c>
    </row>
    <row r="81" spans="1:3" ht="17.25" x14ac:dyDescent="0.2">
      <c r="A81" s="59" t="s">
        <v>118</v>
      </c>
      <c r="B81" s="71" t="s">
        <v>119</v>
      </c>
      <c r="C81" s="35">
        <f>[40]С2!F31</f>
        <v>0.13880000000000001</v>
      </c>
    </row>
    <row r="82" spans="1:3" s="63" customFormat="1" ht="18" thickBot="1" x14ac:dyDescent="0.25">
      <c r="A82" s="72" t="s">
        <v>120</v>
      </c>
      <c r="B82" s="73" t="s">
        <v>121</v>
      </c>
      <c r="C82" s="74">
        <f>[40]С2!F32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[40]С3!F14</f>
        <v>14912.207299372252</v>
      </c>
    </row>
    <row r="86" spans="1:3" s="63" customFormat="1" ht="42.75" x14ac:dyDescent="0.2">
      <c r="A86" s="77" t="s">
        <v>126</v>
      </c>
      <c r="B86" s="53" t="s">
        <v>127</v>
      </c>
      <c r="C86" s="78">
        <f>[40]С3!F15</f>
        <v>0.25</v>
      </c>
    </row>
    <row r="87" spans="1:3" s="63" customFormat="1" ht="14.25" x14ac:dyDescent="0.2">
      <c r="A87" s="77" t="s">
        <v>128</v>
      </c>
      <c r="B87" s="79" t="s">
        <v>129</v>
      </c>
      <c r="C87" s="62">
        <f>[40]С3!F18</f>
        <v>15</v>
      </c>
    </row>
    <row r="88" spans="1:3" s="63" customFormat="1" ht="17.25" x14ac:dyDescent="0.2">
      <c r="A88" s="77" t="s">
        <v>130</v>
      </c>
      <c r="B88" s="33" t="s">
        <v>131</v>
      </c>
      <c r="C88" s="34">
        <f>[40]С3!F19</f>
        <v>4187.478806422544</v>
      </c>
    </row>
    <row r="89" spans="1:3" s="63" customFormat="1" ht="55.5" x14ac:dyDescent="0.2">
      <c r="A89" s="77" t="s">
        <v>132</v>
      </c>
      <c r="B89" s="53" t="s">
        <v>133</v>
      </c>
      <c r="C89" s="80">
        <f>[40]С3!F20</f>
        <v>2.1999999999999999E-2</v>
      </c>
    </row>
    <row r="90" spans="1:3" s="63" customFormat="1" ht="14.25" x14ac:dyDescent="0.2">
      <c r="A90" s="77" t="s">
        <v>134</v>
      </c>
      <c r="B90" s="58" t="s">
        <v>80</v>
      </c>
      <c r="C90" s="62">
        <f>[40]С3!F21</f>
        <v>10</v>
      </c>
    </row>
    <row r="91" spans="1:3" s="63" customFormat="1" ht="17.25" x14ac:dyDescent="0.2">
      <c r="A91" s="77" t="s">
        <v>135</v>
      </c>
      <c r="B91" s="33" t="s">
        <v>136</v>
      </c>
      <c r="C91" s="34">
        <f>[40]С3!F22</f>
        <v>9.2461525913787437</v>
      </c>
    </row>
    <row r="92" spans="1:3" s="63" customFormat="1" ht="55.5" x14ac:dyDescent="0.2">
      <c r="A92" s="77" t="s">
        <v>137</v>
      </c>
      <c r="B92" s="53" t="s">
        <v>138</v>
      </c>
      <c r="C92" s="80">
        <f>[40]С3!F23</f>
        <v>3.0000000000000001E-3</v>
      </c>
    </row>
    <row r="93" spans="1:3" s="63" customFormat="1" ht="27.75" thickBot="1" x14ac:dyDescent="0.25">
      <c r="A93" s="81" t="s">
        <v>139</v>
      </c>
      <c r="B93" s="82" t="s">
        <v>140</v>
      </c>
      <c r="C93" s="83">
        <f>[40]С3!F24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[40]С4!F16</f>
        <v>1652.5</v>
      </c>
    </row>
    <row r="97" spans="1:3" ht="30" x14ac:dyDescent="0.2">
      <c r="A97" s="59" t="s">
        <v>145</v>
      </c>
      <c r="B97" s="58" t="s">
        <v>146</v>
      </c>
      <c r="C97" s="34">
        <f>[40]С4!F17</f>
        <v>73547</v>
      </c>
    </row>
    <row r="98" spans="1:3" ht="17.25" x14ac:dyDescent="0.2">
      <c r="A98" s="59" t="s">
        <v>147</v>
      </c>
      <c r="B98" s="58" t="s">
        <v>148</v>
      </c>
      <c r="C98" s="40">
        <f>[40]С4!F18</f>
        <v>0.02</v>
      </c>
    </row>
    <row r="99" spans="1:3" ht="30" x14ac:dyDescent="0.2">
      <c r="A99" s="59" t="s">
        <v>149</v>
      </c>
      <c r="B99" s="58" t="s">
        <v>150</v>
      </c>
      <c r="C99" s="34">
        <f>[40]С4!F19</f>
        <v>12104</v>
      </c>
    </row>
    <row r="100" spans="1:3" ht="31.5" x14ac:dyDescent="0.2">
      <c r="A100" s="59" t="s">
        <v>151</v>
      </c>
      <c r="B100" s="58" t="s">
        <v>152</v>
      </c>
      <c r="C100" s="40">
        <f>[40]С4!F20</f>
        <v>1.4999999999999999E-2</v>
      </c>
    </row>
    <row r="101" spans="1:3" ht="30" x14ac:dyDescent="0.2">
      <c r="A101" s="59" t="s">
        <v>153</v>
      </c>
      <c r="B101" s="33" t="s">
        <v>154</v>
      </c>
      <c r="C101" s="34">
        <f>[40]С4!F21</f>
        <v>1933.1949342509995</v>
      </c>
    </row>
    <row r="102" spans="1:3" ht="24" customHeight="1" x14ac:dyDescent="0.2">
      <c r="A102" s="59" t="s">
        <v>155</v>
      </c>
      <c r="B102" s="53" t="s">
        <v>156</v>
      </c>
      <c r="C102" s="85">
        <f>IF([40]С4.2!F8="да",[40]С4.2!D21,[40]С4.2!D15)</f>
        <v>0</v>
      </c>
    </row>
    <row r="103" spans="1:3" ht="68.25" x14ac:dyDescent="0.2">
      <c r="A103" s="59" t="s">
        <v>157</v>
      </c>
      <c r="B103" s="53" t="s">
        <v>158</v>
      </c>
      <c r="C103" s="34">
        <f>[40]С4!F22</f>
        <v>3.6112641666666665</v>
      </c>
    </row>
    <row r="104" spans="1:3" ht="30" x14ac:dyDescent="0.2">
      <c r="A104" s="59" t="s">
        <v>159</v>
      </c>
      <c r="B104" s="58" t="s">
        <v>160</v>
      </c>
      <c r="C104" s="34">
        <f>[40]С4!F23</f>
        <v>180</v>
      </c>
    </row>
    <row r="105" spans="1:3" ht="14.25" x14ac:dyDescent="0.2">
      <c r="A105" s="59" t="s">
        <v>161</v>
      </c>
      <c r="B105" s="53" t="s">
        <v>162</v>
      </c>
      <c r="C105" s="34">
        <f>[40]С4!F24</f>
        <v>8497.1999999999989</v>
      </c>
    </row>
    <row r="106" spans="1:3" ht="14.25" x14ac:dyDescent="0.2">
      <c r="A106" s="59" t="s">
        <v>163</v>
      </c>
      <c r="B106" s="58" t="s">
        <v>164</v>
      </c>
      <c r="C106" s="40">
        <f>[40]С4!F25</f>
        <v>0.35</v>
      </c>
    </row>
    <row r="107" spans="1:3" ht="17.25" x14ac:dyDescent="0.2">
      <c r="A107" s="59" t="s">
        <v>165</v>
      </c>
      <c r="B107" s="33" t="s">
        <v>166</v>
      </c>
      <c r="C107" s="34">
        <f>[40]С4!F26</f>
        <v>55.034579999999998</v>
      </c>
    </row>
    <row r="108" spans="1:3" ht="25.5" x14ac:dyDescent="0.2">
      <c r="A108" s="59" t="s">
        <v>167</v>
      </c>
      <c r="B108" s="53" t="s">
        <v>94</v>
      </c>
      <c r="C108" s="85">
        <f>[40]С4.3!E16</f>
        <v>0</v>
      </c>
    </row>
    <row r="109" spans="1:3" ht="25.5" x14ac:dyDescent="0.2">
      <c r="A109" s="59" t="s">
        <v>168</v>
      </c>
      <c r="B109" s="53" t="s">
        <v>169</v>
      </c>
      <c r="C109" s="34">
        <f>[40]С4.3!E17</f>
        <v>13.9</v>
      </c>
    </row>
    <row r="110" spans="1:3" ht="38.25" x14ac:dyDescent="0.2">
      <c r="A110" s="59" t="s">
        <v>170</v>
      </c>
      <c r="B110" s="53" t="s">
        <v>106</v>
      </c>
      <c r="C110" s="85">
        <f>[40]С4.3!E18</f>
        <v>0</v>
      </c>
    </row>
    <row r="111" spans="1:3" x14ac:dyDescent="0.2">
      <c r="A111" s="59" t="s">
        <v>171</v>
      </c>
      <c r="B111" s="53" t="s">
        <v>172</v>
      </c>
      <c r="C111" s="34">
        <f>[40]С4.3!E19</f>
        <v>30.82</v>
      </c>
    </row>
    <row r="112" spans="1:3" x14ac:dyDescent="0.2">
      <c r="A112" s="59" t="s">
        <v>173</v>
      </c>
      <c r="B112" s="58" t="s">
        <v>174</v>
      </c>
      <c r="C112" s="34">
        <f>[40]С4.3!E11</f>
        <v>1871</v>
      </c>
    </row>
    <row r="113" spans="1:3" x14ac:dyDescent="0.2">
      <c r="A113" s="59" t="s">
        <v>175</v>
      </c>
      <c r="B113" s="58" t="s">
        <v>176</v>
      </c>
      <c r="C113" s="52">
        <f>[40]С4.3!E12</f>
        <v>1636</v>
      </c>
    </row>
    <row r="114" spans="1:3" x14ac:dyDescent="0.2">
      <c r="A114" s="59" t="s">
        <v>177</v>
      </c>
      <c r="B114" s="58" t="s">
        <v>178</v>
      </c>
      <c r="C114" s="52">
        <f>[40]С4.3!E13</f>
        <v>204</v>
      </c>
    </row>
    <row r="115" spans="1:3" ht="30" x14ac:dyDescent="0.2">
      <c r="A115" s="59" t="s">
        <v>179</v>
      </c>
      <c r="B115" s="33" t="s">
        <v>180</v>
      </c>
      <c r="C115" s="34">
        <f>[40]С4!F27</f>
        <v>1291.2863994686898</v>
      </c>
    </row>
    <row r="116" spans="1:3" ht="25.5" x14ac:dyDescent="0.2">
      <c r="A116" s="59" t="s">
        <v>181</v>
      </c>
      <c r="B116" s="53" t="s">
        <v>182</v>
      </c>
      <c r="C116" s="34">
        <f>[40]С4!F28</f>
        <v>991.77142816335618</v>
      </c>
    </row>
    <row r="117" spans="1:3" ht="42.75" x14ac:dyDescent="0.2">
      <c r="A117" s="59" t="s">
        <v>183</v>
      </c>
      <c r="B117" s="53" t="s">
        <v>184</v>
      </c>
      <c r="C117" s="34">
        <f>[40]С4!F29</f>
        <v>299.51497130533357</v>
      </c>
    </row>
    <row r="118" spans="1:3" ht="30" x14ac:dyDescent="0.2">
      <c r="A118" s="59" t="s">
        <v>185</v>
      </c>
      <c r="B118" s="39" t="s">
        <v>186</v>
      </c>
      <c r="C118" s="34">
        <f>[40]С4!F30</f>
        <v>2620.416669752557</v>
      </c>
    </row>
    <row r="119" spans="1:3" ht="42.75" x14ac:dyDescent="0.2">
      <c r="A119" s="59" t="s">
        <v>187</v>
      </c>
      <c r="B119" s="86" t="s">
        <v>188</v>
      </c>
      <c r="C119" s="34">
        <f>[40]С4!F33</f>
        <v>1416.0864950813989</v>
      </c>
    </row>
    <row r="120" spans="1:3" ht="30" x14ac:dyDescent="0.2">
      <c r="A120" s="59" t="s">
        <v>189</v>
      </c>
      <c r="B120" s="87" t="s">
        <v>190</v>
      </c>
      <c r="C120" s="34">
        <f>[40]С4!F35</f>
        <v>17.040680999999999</v>
      </c>
    </row>
    <row r="121" spans="1:3" ht="14.25" x14ac:dyDescent="0.2">
      <c r="A121" s="59" t="s">
        <v>191</v>
      </c>
      <c r="B121" s="56" t="s">
        <v>192</v>
      </c>
      <c r="C121" s="34">
        <f>[40]С4!F36</f>
        <v>14319.9</v>
      </c>
    </row>
    <row r="122" spans="1:3" ht="28.5" thickBot="1" x14ac:dyDescent="0.25">
      <c r="A122" s="72" t="s">
        <v>193</v>
      </c>
      <c r="B122" s="88" t="s">
        <v>194</v>
      </c>
      <c r="C122" s="83">
        <f>[40]С4!F37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[40]С5!F17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[40]С2!F37</f>
        <v>20.818139999999996</v>
      </c>
    </row>
    <row r="136" spans="1:3" ht="14.25" x14ac:dyDescent="0.2">
      <c r="A136" s="59" t="s">
        <v>216</v>
      </c>
      <c r="B136" s="101" t="s">
        <v>217</v>
      </c>
      <c r="C136" s="34">
        <f>[40]С2!F38</f>
        <v>7</v>
      </c>
    </row>
    <row r="137" spans="1:3" ht="17.25" x14ac:dyDescent="0.2">
      <c r="A137" s="59" t="s">
        <v>218</v>
      </c>
      <c r="B137" s="101" t="s">
        <v>219</v>
      </c>
      <c r="C137" s="34">
        <f>[40]С2!F40</f>
        <v>0.97</v>
      </c>
    </row>
    <row r="138" spans="1:3" ht="15" thickBot="1" x14ac:dyDescent="0.25">
      <c r="A138" s="72" t="s">
        <v>220</v>
      </c>
      <c r="B138" s="102" t="s">
        <v>221</v>
      </c>
      <c r="C138" s="46">
        <f>[40]С2!F42</f>
        <v>0.35</v>
      </c>
    </row>
    <row r="139" spans="1:3" s="89" customFormat="1" ht="13.5" thickBot="1" x14ac:dyDescent="0.25">
      <c r="A139" s="47"/>
      <c r="B139" s="75"/>
      <c r="C139" s="15"/>
    </row>
    <row r="140" spans="1:3" ht="30" x14ac:dyDescent="0.2">
      <c r="A140" s="84" t="s">
        <v>222</v>
      </c>
      <c r="B140" s="103" t="s">
        <v>223</v>
      </c>
      <c r="C140" s="104">
        <f>[40]С2!F35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[40]С2.5!$E$11</f>
        <v>-2.9000000000000026E-2</v>
      </c>
    </row>
    <row r="144" spans="1:3" x14ac:dyDescent="0.2">
      <c r="A144" s="105"/>
      <c r="B144" s="110">
        <f>B143+1</f>
        <v>2021</v>
      </c>
      <c r="C144" s="111">
        <f>[40]С2.5!$F$11</f>
        <v>0.245</v>
      </c>
    </row>
    <row r="145" spans="1:3" x14ac:dyDescent="0.2">
      <c r="A145" s="105"/>
      <c r="B145" s="110">
        <f t="shared" ref="B145:B208" si="0">B144+1</f>
        <v>2022</v>
      </c>
      <c r="C145" s="111">
        <f>[40]С2.5!$G$11</f>
        <v>0.114</v>
      </c>
    </row>
    <row r="146" spans="1:3" ht="13.5" thickBot="1" x14ac:dyDescent="0.25">
      <c r="A146" s="105"/>
      <c r="B146" s="112">
        <f t="shared" si="0"/>
        <v>2023</v>
      </c>
      <c r="C146" s="113">
        <f>[40]С2.5!$H$11</f>
        <v>0.04</v>
      </c>
    </row>
    <row r="147" spans="1:3" x14ac:dyDescent="0.2">
      <c r="A147" s="105"/>
      <c r="B147" s="114">
        <f t="shared" si="0"/>
        <v>2024</v>
      </c>
      <c r="C147" s="115">
        <f>[40]С2.5!$I$11</f>
        <v>0.11700000000000001</v>
      </c>
    </row>
    <row r="148" spans="1:3" x14ac:dyDescent="0.2">
      <c r="A148" s="105"/>
      <c r="B148" s="110">
        <f t="shared" si="0"/>
        <v>2025</v>
      </c>
      <c r="C148" s="111">
        <f>[40]С2.5!$J$11</f>
        <v>6.0999999999999999E-2</v>
      </c>
    </row>
    <row r="149" spans="1:3" hidden="1" x14ac:dyDescent="0.2">
      <c r="A149" s="105"/>
      <c r="B149" s="110">
        <f t="shared" si="0"/>
        <v>2026</v>
      </c>
      <c r="C149" s="111">
        <f>[40]С2.5!$K$11</f>
        <v>3.5813361771260002E-2</v>
      </c>
    </row>
    <row r="150" spans="1:3" hidden="1" x14ac:dyDescent="0.2">
      <c r="A150" s="105"/>
      <c r="B150" s="110">
        <f t="shared" si="0"/>
        <v>2027</v>
      </c>
      <c r="C150" s="111">
        <f>[40]С2.5!$L$11</f>
        <v>3.2682303599220003E-2</v>
      </c>
    </row>
    <row r="151" spans="1:3" hidden="1" x14ac:dyDescent="0.2">
      <c r="A151" s="105"/>
      <c r="B151" s="110">
        <f t="shared" si="0"/>
        <v>2028</v>
      </c>
      <c r="C151" s="111">
        <f>[40]С2.5!$M$11</f>
        <v>0</v>
      </c>
    </row>
    <row r="152" spans="1:3" hidden="1" x14ac:dyDescent="0.2">
      <c r="A152" s="105"/>
      <c r="B152" s="110">
        <f t="shared" si="0"/>
        <v>2029</v>
      </c>
      <c r="C152" s="111">
        <f>[40]С2.5!$N$11</f>
        <v>0</v>
      </c>
    </row>
    <row r="153" spans="1:3" hidden="1" x14ac:dyDescent="0.2">
      <c r="A153" s="105"/>
      <c r="B153" s="110">
        <f t="shared" si="0"/>
        <v>2030</v>
      </c>
      <c r="C153" s="111">
        <f>[40]С2.5!$O$11</f>
        <v>0</v>
      </c>
    </row>
    <row r="154" spans="1:3" hidden="1" x14ac:dyDescent="0.2">
      <c r="A154" s="105"/>
      <c r="B154" s="110">
        <f t="shared" si="0"/>
        <v>2031</v>
      </c>
      <c r="C154" s="111">
        <f>[40]С2.5!$P$11</f>
        <v>0</v>
      </c>
    </row>
    <row r="155" spans="1:3" hidden="1" x14ac:dyDescent="0.2">
      <c r="A155" s="89"/>
      <c r="B155" s="110">
        <f t="shared" si="0"/>
        <v>2032</v>
      </c>
      <c r="C155" s="111">
        <f>[40]С2.5!$Q$11</f>
        <v>0</v>
      </c>
    </row>
    <row r="156" spans="1:3" hidden="1" x14ac:dyDescent="0.2">
      <c r="A156" s="89"/>
      <c r="B156" s="110">
        <f t="shared" si="0"/>
        <v>2033</v>
      </c>
      <c r="C156" s="111">
        <f>[40]С2.5!$R$11</f>
        <v>0</v>
      </c>
    </row>
    <row r="157" spans="1:3" hidden="1" x14ac:dyDescent="0.2">
      <c r="B157" s="110">
        <f t="shared" si="0"/>
        <v>2034</v>
      </c>
      <c r="C157" s="111">
        <f>[40]С2.5!$S$11</f>
        <v>0</v>
      </c>
    </row>
    <row r="158" spans="1:3" hidden="1" x14ac:dyDescent="0.2">
      <c r="B158" s="110">
        <f t="shared" si="0"/>
        <v>2035</v>
      </c>
      <c r="C158" s="111">
        <f>[40]С2.5!$T$11</f>
        <v>0</v>
      </c>
    </row>
    <row r="159" spans="1:3" hidden="1" x14ac:dyDescent="0.2">
      <c r="B159" s="110">
        <f t="shared" si="0"/>
        <v>2036</v>
      </c>
      <c r="C159" s="111">
        <f>[40]С2.5!$U$11</f>
        <v>0</v>
      </c>
    </row>
    <row r="160" spans="1:3" hidden="1" x14ac:dyDescent="0.2">
      <c r="B160" s="110">
        <f t="shared" si="0"/>
        <v>2037</v>
      </c>
      <c r="C160" s="111">
        <f>[40]С2.5!$V$11</f>
        <v>0</v>
      </c>
    </row>
    <row r="161" spans="2:3" hidden="1" x14ac:dyDescent="0.2">
      <c r="B161" s="110">
        <f t="shared" si="0"/>
        <v>2038</v>
      </c>
      <c r="C161" s="111">
        <f>[40]С2.5!$W$11</f>
        <v>0</v>
      </c>
    </row>
    <row r="162" spans="2:3" hidden="1" x14ac:dyDescent="0.2">
      <c r="B162" s="110">
        <f t="shared" si="0"/>
        <v>2039</v>
      </c>
      <c r="C162" s="111">
        <f>[40]С2.5!$X$11</f>
        <v>0</v>
      </c>
    </row>
    <row r="163" spans="2:3" hidden="1" x14ac:dyDescent="0.2">
      <c r="B163" s="110">
        <f t="shared" si="0"/>
        <v>2040</v>
      </c>
      <c r="C163" s="111">
        <f>[40]С2.5!$Y$11</f>
        <v>0</v>
      </c>
    </row>
    <row r="164" spans="2:3" hidden="1" x14ac:dyDescent="0.2">
      <c r="B164" s="110">
        <f t="shared" si="0"/>
        <v>2041</v>
      </c>
      <c r="C164" s="111">
        <f>[40]С2.5!$Z$11</f>
        <v>0</v>
      </c>
    </row>
    <row r="165" spans="2:3" hidden="1" x14ac:dyDescent="0.2">
      <c r="B165" s="110">
        <f t="shared" si="0"/>
        <v>2042</v>
      </c>
      <c r="C165" s="111">
        <f>[40]С2.5!$AA$11</f>
        <v>0</v>
      </c>
    </row>
    <row r="166" spans="2:3" hidden="1" x14ac:dyDescent="0.2">
      <c r="B166" s="110">
        <f t="shared" si="0"/>
        <v>2043</v>
      </c>
      <c r="C166" s="111">
        <f>[40]С2.5!$AB$11</f>
        <v>0</v>
      </c>
    </row>
    <row r="167" spans="2:3" hidden="1" x14ac:dyDescent="0.2">
      <c r="B167" s="110">
        <f t="shared" si="0"/>
        <v>2044</v>
      </c>
      <c r="C167" s="111">
        <f>[40]С2.5!$AC$11</f>
        <v>0</v>
      </c>
    </row>
    <row r="168" spans="2:3" hidden="1" x14ac:dyDescent="0.2">
      <c r="B168" s="110">
        <f t="shared" si="0"/>
        <v>2045</v>
      </c>
      <c r="C168" s="111">
        <f>[40]С2.5!$AD$11</f>
        <v>0</v>
      </c>
    </row>
    <row r="169" spans="2:3" hidden="1" x14ac:dyDescent="0.2">
      <c r="B169" s="110">
        <f t="shared" si="0"/>
        <v>2046</v>
      </c>
      <c r="C169" s="111">
        <f>[40]С2.5!$AE$11</f>
        <v>0</v>
      </c>
    </row>
    <row r="170" spans="2:3" hidden="1" x14ac:dyDescent="0.2">
      <c r="B170" s="110">
        <f t="shared" si="0"/>
        <v>2047</v>
      </c>
      <c r="C170" s="111">
        <f>[40]С2.5!$AF$11</f>
        <v>0</v>
      </c>
    </row>
    <row r="171" spans="2:3" hidden="1" x14ac:dyDescent="0.2">
      <c r="B171" s="110">
        <f t="shared" si="0"/>
        <v>2048</v>
      </c>
      <c r="C171" s="111">
        <f>[40]С2.5!$AG$11</f>
        <v>0</v>
      </c>
    </row>
    <row r="172" spans="2:3" hidden="1" x14ac:dyDescent="0.2">
      <c r="B172" s="110">
        <f t="shared" si="0"/>
        <v>2049</v>
      </c>
      <c r="C172" s="111">
        <f>[40]С2.5!$AH$11</f>
        <v>0</v>
      </c>
    </row>
    <row r="173" spans="2:3" hidden="1" x14ac:dyDescent="0.2">
      <c r="B173" s="110">
        <f t="shared" si="0"/>
        <v>2050</v>
      </c>
      <c r="C173" s="111">
        <f>[40]С2.5!$AI$11</f>
        <v>0</v>
      </c>
    </row>
    <row r="174" spans="2:3" hidden="1" x14ac:dyDescent="0.2">
      <c r="B174" s="110">
        <f t="shared" si="0"/>
        <v>2051</v>
      </c>
      <c r="C174" s="111">
        <f>[40]С2.5!$AJ$11</f>
        <v>0</v>
      </c>
    </row>
    <row r="175" spans="2:3" hidden="1" x14ac:dyDescent="0.2">
      <c r="B175" s="110">
        <f t="shared" si="0"/>
        <v>2052</v>
      </c>
      <c r="C175" s="111">
        <f>[40]С2.5!$AK$11</f>
        <v>0</v>
      </c>
    </row>
    <row r="176" spans="2:3" hidden="1" x14ac:dyDescent="0.2">
      <c r="B176" s="110">
        <f t="shared" si="0"/>
        <v>2053</v>
      </c>
      <c r="C176" s="111">
        <f>[40]С2.5!$AL$11</f>
        <v>0</v>
      </c>
    </row>
    <row r="177" spans="2:3" hidden="1" x14ac:dyDescent="0.2">
      <c r="B177" s="110">
        <f t="shared" si="0"/>
        <v>2054</v>
      </c>
      <c r="C177" s="111">
        <f>[40]С2.5!$AM$11</f>
        <v>0</v>
      </c>
    </row>
    <row r="178" spans="2:3" hidden="1" x14ac:dyDescent="0.2">
      <c r="B178" s="110">
        <f t="shared" si="0"/>
        <v>2055</v>
      </c>
      <c r="C178" s="111">
        <f>[40]С2.5!$AN$11</f>
        <v>0</v>
      </c>
    </row>
    <row r="179" spans="2:3" hidden="1" x14ac:dyDescent="0.2">
      <c r="B179" s="110">
        <f t="shared" si="0"/>
        <v>2056</v>
      </c>
      <c r="C179" s="111">
        <f>[40]С2.5!$AO$11</f>
        <v>0</v>
      </c>
    </row>
    <row r="180" spans="2:3" hidden="1" x14ac:dyDescent="0.2">
      <c r="B180" s="110">
        <f t="shared" si="0"/>
        <v>2057</v>
      </c>
      <c r="C180" s="111">
        <f>[40]С2.5!$AP$11</f>
        <v>0</v>
      </c>
    </row>
    <row r="181" spans="2:3" hidden="1" x14ac:dyDescent="0.2">
      <c r="B181" s="110">
        <f t="shared" si="0"/>
        <v>2058</v>
      </c>
      <c r="C181" s="111">
        <f>[40]С2.5!$AQ$11</f>
        <v>0</v>
      </c>
    </row>
    <row r="182" spans="2:3" hidden="1" x14ac:dyDescent="0.2">
      <c r="B182" s="110">
        <f t="shared" si="0"/>
        <v>2059</v>
      </c>
      <c r="C182" s="111">
        <f>[40]С2.5!$AR$11</f>
        <v>0</v>
      </c>
    </row>
    <row r="183" spans="2:3" hidden="1" x14ac:dyDescent="0.2">
      <c r="B183" s="110">
        <f t="shared" si="0"/>
        <v>2060</v>
      </c>
      <c r="C183" s="111">
        <f>[40]С2.5!$AS$11</f>
        <v>0</v>
      </c>
    </row>
    <row r="184" spans="2:3" hidden="1" x14ac:dyDescent="0.2">
      <c r="B184" s="110">
        <f t="shared" si="0"/>
        <v>2061</v>
      </c>
      <c r="C184" s="111">
        <f>[40]С2.5!$AT$11</f>
        <v>0</v>
      </c>
    </row>
    <row r="185" spans="2:3" hidden="1" x14ac:dyDescent="0.2">
      <c r="B185" s="110">
        <f t="shared" si="0"/>
        <v>2062</v>
      </c>
      <c r="C185" s="111">
        <f>[40]С2.5!$AU$11</f>
        <v>0</v>
      </c>
    </row>
    <row r="186" spans="2:3" hidden="1" x14ac:dyDescent="0.2">
      <c r="B186" s="110">
        <f t="shared" si="0"/>
        <v>2063</v>
      </c>
      <c r="C186" s="111">
        <f>[40]С2.5!$AV$11</f>
        <v>0</v>
      </c>
    </row>
    <row r="187" spans="2:3" hidden="1" x14ac:dyDescent="0.2">
      <c r="B187" s="110">
        <f t="shared" si="0"/>
        <v>2064</v>
      </c>
      <c r="C187" s="111">
        <f>[40]С2.5!$AW$11</f>
        <v>0</v>
      </c>
    </row>
    <row r="188" spans="2:3" hidden="1" x14ac:dyDescent="0.2">
      <c r="B188" s="110">
        <f t="shared" si="0"/>
        <v>2065</v>
      </c>
      <c r="C188" s="111">
        <f>[40]С2.5!$AX$11</f>
        <v>0</v>
      </c>
    </row>
    <row r="189" spans="2:3" hidden="1" x14ac:dyDescent="0.2">
      <c r="B189" s="110">
        <f t="shared" si="0"/>
        <v>2066</v>
      </c>
      <c r="C189" s="111">
        <f>[40]С2.5!$AY$11</f>
        <v>0</v>
      </c>
    </row>
    <row r="190" spans="2:3" hidden="1" x14ac:dyDescent="0.2">
      <c r="B190" s="110">
        <f t="shared" si="0"/>
        <v>2067</v>
      </c>
      <c r="C190" s="111">
        <f>[40]С2.5!$AZ$11</f>
        <v>0</v>
      </c>
    </row>
    <row r="191" spans="2:3" hidden="1" x14ac:dyDescent="0.2">
      <c r="B191" s="110">
        <f t="shared" si="0"/>
        <v>2068</v>
      </c>
      <c r="C191" s="111">
        <f>[40]С2.5!$BA$11</f>
        <v>0</v>
      </c>
    </row>
    <row r="192" spans="2:3" hidden="1" x14ac:dyDescent="0.2">
      <c r="B192" s="110">
        <f t="shared" si="0"/>
        <v>2069</v>
      </c>
      <c r="C192" s="111">
        <f>[40]С2.5!$BB$11</f>
        <v>0</v>
      </c>
    </row>
    <row r="193" spans="2:3" hidden="1" x14ac:dyDescent="0.2">
      <c r="B193" s="110">
        <f t="shared" si="0"/>
        <v>2070</v>
      </c>
      <c r="C193" s="111">
        <f>[40]С2.5!$BC$11</f>
        <v>0</v>
      </c>
    </row>
    <row r="194" spans="2:3" hidden="1" x14ac:dyDescent="0.2">
      <c r="B194" s="110">
        <f t="shared" si="0"/>
        <v>2071</v>
      </c>
      <c r="C194" s="111">
        <f>[40]С2.5!$BD$11</f>
        <v>0</v>
      </c>
    </row>
    <row r="195" spans="2:3" hidden="1" x14ac:dyDescent="0.2">
      <c r="B195" s="110">
        <f t="shared" si="0"/>
        <v>2072</v>
      </c>
      <c r="C195" s="111">
        <f>[40]С2.5!$BE$11</f>
        <v>0</v>
      </c>
    </row>
    <row r="196" spans="2:3" hidden="1" x14ac:dyDescent="0.2">
      <c r="B196" s="110">
        <f t="shared" si="0"/>
        <v>2073</v>
      </c>
      <c r="C196" s="111">
        <f>[40]С2.5!$BF$11</f>
        <v>0</v>
      </c>
    </row>
    <row r="197" spans="2:3" hidden="1" x14ac:dyDescent="0.2">
      <c r="B197" s="110">
        <f t="shared" si="0"/>
        <v>2074</v>
      </c>
      <c r="C197" s="111">
        <f>[40]С2.5!$BG$11</f>
        <v>0</v>
      </c>
    </row>
    <row r="198" spans="2:3" hidden="1" x14ac:dyDescent="0.2">
      <c r="B198" s="110">
        <f t="shared" si="0"/>
        <v>2075</v>
      </c>
      <c r="C198" s="111">
        <f>[40]С2.5!$BH$11</f>
        <v>0</v>
      </c>
    </row>
    <row r="199" spans="2:3" hidden="1" x14ac:dyDescent="0.2">
      <c r="B199" s="110">
        <f t="shared" si="0"/>
        <v>2076</v>
      </c>
      <c r="C199" s="111">
        <f>[40]С2.5!$BI$11</f>
        <v>0</v>
      </c>
    </row>
    <row r="200" spans="2:3" hidden="1" x14ac:dyDescent="0.2">
      <c r="B200" s="110">
        <f t="shared" si="0"/>
        <v>2077</v>
      </c>
      <c r="C200" s="111">
        <f>[40]С2.5!$BJ$11</f>
        <v>0</v>
      </c>
    </row>
    <row r="201" spans="2:3" hidden="1" x14ac:dyDescent="0.2">
      <c r="B201" s="110">
        <f t="shared" si="0"/>
        <v>2078</v>
      </c>
      <c r="C201" s="111">
        <f>[40]С2.5!$BK$11</f>
        <v>0</v>
      </c>
    </row>
    <row r="202" spans="2:3" hidden="1" x14ac:dyDescent="0.2">
      <c r="B202" s="110">
        <f t="shared" si="0"/>
        <v>2079</v>
      </c>
      <c r="C202" s="111">
        <f>[40]С2.5!$BL$11</f>
        <v>0</v>
      </c>
    </row>
    <row r="203" spans="2:3" hidden="1" x14ac:dyDescent="0.2">
      <c r="B203" s="110">
        <f t="shared" si="0"/>
        <v>2080</v>
      </c>
      <c r="C203" s="111">
        <f>[40]С2.5!$BM$11</f>
        <v>0</v>
      </c>
    </row>
    <row r="204" spans="2:3" hidden="1" x14ac:dyDescent="0.2">
      <c r="B204" s="110">
        <f t="shared" si="0"/>
        <v>2081</v>
      </c>
      <c r="C204" s="111">
        <f>[40]С2.5!$BN$11</f>
        <v>0</v>
      </c>
    </row>
    <row r="205" spans="2:3" hidden="1" x14ac:dyDescent="0.2">
      <c r="B205" s="110">
        <f t="shared" si="0"/>
        <v>2082</v>
      </c>
      <c r="C205" s="111">
        <f>[40]С2.5!$BO$11</f>
        <v>0</v>
      </c>
    </row>
    <row r="206" spans="2:3" hidden="1" x14ac:dyDescent="0.2">
      <c r="B206" s="110">
        <f t="shared" si="0"/>
        <v>2083</v>
      </c>
      <c r="C206" s="111">
        <f>[40]С2.5!$BP$11</f>
        <v>0</v>
      </c>
    </row>
    <row r="207" spans="2:3" hidden="1" x14ac:dyDescent="0.2">
      <c r="B207" s="110">
        <f t="shared" si="0"/>
        <v>2084</v>
      </c>
      <c r="C207" s="111">
        <f>[40]С2.5!$BQ$11</f>
        <v>0</v>
      </c>
    </row>
    <row r="208" spans="2:3" hidden="1" x14ac:dyDescent="0.2">
      <c r="B208" s="110">
        <f t="shared" si="0"/>
        <v>2085</v>
      </c>
      <c r="C208" s="111">
        <f>[40]С2.5!$BR$11</f>
        <v>0</v>
      </c>
    </row>
    <row r="209" spans="2:3" hidden="1" x14ac:dyDescent="0.2">
      <c r="B209" s="110">
        <f t="shared" ref="B209:B223" si="1">B208+1</f>
        <v>2086</v>
      </c>
      <c r="C209" s="111">
        <f>[40]С2.5!$BS$11</f>
        <v>0</v>
      </c>
    </row>
    <row r="210" spans="2:3" hidden="1" x14ac:dyDescent="0.2">
      <c r="B210" s="110">
        <f t="shared" si="1"/>
        <v>2087</v>
      </c>
      <c r="C210" s="111">
        <f>[40]С2.5!$BT$11</f>
        <v>0</v>
      </c>
    </row>
    <row r="211" spans="2:3" hidden="1" x14ac:dyDescent="0.2">
      <c r="B211" s="110">
        <f t="shared" si="1"/>
        <v>2088</v>
      </c>
      <c r="C211" s="111">
        <f>[40]С2.5!$BU$11</f>
        <v>0</v>
      </c>
    </row>
    <row r="212" spans="2:3" hidden="1" x14ac:dyDescent="0.2">
      <c r="B212" s="110">
        <f t="shared" si="1"/>
        <v>2089</v>
      </c>
      <c r="C212" s="111">
        <f>[40]С2.5!$BV$11</f>
        <v>0</v>
      </c>
    </row>
    <row r="213" spans="2:3" hidden="1" x14ac:dyDescent="0.2">
      <c r="B213" s="110">
        <f t="shared" si="1"/>
        <v>2090</v>
      </c>
      <c r="C213" s="111">
        <f>[40]С2.5!$BW$11</f>
        <v>0</v>
      </c>
    </row>
    <row r="214" spans="2:3" hidden="1" x14ac:dyDescent="0.2">
      <c r="B214" s="110">
        <f t="shared" si="1"/>
        <v>2091</v>
      </c>
      <c r="C214" s="111">
        <f>[40]С2.5!$BX$11</f>
        <v>0</v>
      </c>
    </row>
    <row r="215" spans="2:3" hidden="1" x14ac:dyDescent="0.2">
      <c r="B215" s="110">
        <f t="shared" si="1"/>
        <v>2092</v>
      </c>
      <c r="C215" s="111">
        <f>[40]С2.5!$BY$11</f>
        <v>0</v>
      </c>
    </row>
    <row r="216" spans="2:3" hidden="1" x14ac:dyDescent="0.2">
      <c r="B216" s="110">
        <f t="shared" si="1"/>
        <v>2093</v>
      </c>
      <c r="C216" s="111">
        <f>[40]С2.5!$BZ$11</f>
        <v>0</v>
      </c>
    </row>
    <row r="217" spans="2:3" hidden="1" x14ac:dyDescent="0.2">
      <c r="B217" s="110">
        <f t="shared" si="1"/>
        <v>2094</v>
      </c>
      <c r="C217" s="111">
        <f>[40]С2.5!$CA$11</f>
        <v>0</v>
      </c>
    </row>
    <row r="218" spans="2:3" hidden="1" x14ac:dyDescent="0.2">
      <c r="B218" s="110">
        <f t="shared" si="1"/>
        <v>2095</v>
      </c>
      <c r="C218" s="111">
        <f>[40]С2.5!$CB$11</f>
        <v>0</v>
      </c>
    </row>
    <row r="219" spans="2:3" hidden="1" x14ac:dyDescent="0.2">
      <c r="B219" s="110">
        <f t="shared" si="1"/>
        <v>2096</v>
      </c>
      <c r="C219" s="111">
        <f>[40]С2.5!$CC$11</f>
        <v>0</v>
      </c>
    </row>
    <row r="220" spans="2:3" hidden="1" x14ac:dyDescent="0.2">
      <c r="B220" s="110">
        <f t="shared" si="1"/>
        <v>2097</v>
      </c>
      <c r="C220" s="111">
        <f>[40]С2.5!$CD$11</f>
        <v>0</v>
      </c>
    </row>
    <row r="221" spans="2:3" hidden="1" x14ac:dyDescent="0.2">
      <c r="B221" s="110">
        <f t="shared" si="1"/>
        <v>2098</v>
      </c>
      <c r="C221" s="111">
        <f>[40]С2.5!$CE$11</f>
        <v>0</v>
      </c>
    </row>
    <row r="222" spans="2:3" hidden="1" x14ac:dyDescent="0.2">
      <c r="B222" s="110">
        <f t="shared" si="1"/>
        <v>2099</v>
      </c>
      <c r="C222" s="111">
        <f>[40]С2.5!$CF$11</f>
        <v>0</v>
      </c>
    </row>
    <row r="223" spans="2:3" ht="13.5" hidden="1" thickBot="1" x14ac:dyDescent="0.25">
      <c r="B223" s="112">
        <f t="shared" si="1"/>
        <v>2100</v>
      </c>
      <c r="C223" s="113">
        <f>[40]С2.5!$CG$11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5" sqref="B5"/>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[30]И1!D13</f>
        <v>Субъект Российской Федерации</v>
      </c>
      <c r="C4" s="10" t="str">
        <f>[30]И1!E13</f>
        <v>Новосибирская область</v>
      </c>
    </row>
    <row r="5" spans="1:3" ht="48.6" customHeight="1" x14ac:dyDescent="0.2">
      <c r="A5" s="8"/>
      <c r="B5" s="9" t="str">
        <f>[30]И1!D14</f>
        <v>Тип муниципального образования (выберите из списка)</v>
      </c>
      <c r="C5" s="10" t="str">
        <f>[30]И1!E14</f>
        <v xml:space="preserve">село Тальменка, Искитимский муниципальный район </v>
      </c>
    </row>
    <row r="6" spans="1:3" x14ac:dyDescent="0.2">
      <c r="A6" s="8"/>
      <c r="B6" s="9" t="str">
        <f>IF([30]И1!E15="","",[30]И1!D15)</f>
        <v/>
      </c>
      <c r="C6" s="7" t="str">
        <f>IF([30]И1!E15="","",[30]И1!E15)</f>
        <v/>
      </c>
    </row>
    <row r="7" spans="1:3" x14ac:dyDescent="0.2">
      <c r="A7" s="8"/>
      <c r="B7" s="9" t="str">
        <f>[30]И1!D16</f>
        <v>Код ОКТМО</v>
      </c>
      <c r="C7" s="11" t="str">
        <f>[30]И1!E16</f>
        <v>(50615428101)</v>
      </c>
    </row>
    <row r="8" spans="1:3" x14ac:dyDescent="0.2">
      <c r="A8" s="8"/>
      <c r="B8" s="12" t="str">
        <f>[30]И1!D17</f>
        <v>Система теплоснабжения</v>
      </c>
      <c r="C8" s="13">
        <f>[30]И1!E17</f>
        <v>0</v>
      </c>
    </row>
    <row r="9" spans="1:3" x14ac:dyDescent="0.2">
      <c r="A9" s="8"/>
      <c r="B9" s="9" t="str">
        <f>[30]И1!D8</f>
        <v>Период регулирования (i)-й</v>
      </c>
      <c r="C9" s="14">
        <f>[30]И1!E8</f>
        <v>2025</v>
      </c>
    </row>
    <row r="10" spans="1:3" x14ac:dyDescent="0.2">
      <c r="A10" s="8"/>
      <c r="B10" s="9" t="str">
        <f>[30]И1!D9</f>
        <v>Период регулирования (i-1)-й</v>
      </c>
      <c r="C10" s="14">
        <f>[30]И1!E9</f>
        <v>2024</v>
      </c>
    </row>
    <row r="11" spans="1:3" x14ac:dyDescent="0.2">
      <c r="A11" s="8"/>
      <c r="B11" s="9" t="str">
        <f>[30]И1!D10</f>
        <v>Период регулирования (i-2)-й</v>
      </c>
      <c r="C11" s="14">
        <f>[30]И1!E10</f>
        <v>2023</v>
      </c>
    </row>
    <row r="12" spans="1:3" x14ac:dyDescent="0.2">
      <c r="A12" s="8"/>
      <c r="B12" s="9" t="str">
        <f>[30]И1!D11</f>
        <v>Базовый год (б)</v>
      </c>
      <c r="C12" s="14">
        <f>[30]И1!E11</f>
        <v>2019</v>
      </c>
    </row>
    <row r="13" spans="1:3" x14ac:dyDescent="0.2">
      <c r="A13" s="8"/>
      <c r="B13" s="9" t="str">
        <f>[30]И1!D18</f>
        <v>Вид топлива, использование которого преобладает в системе теплоснабжения</v>
      </c>
      <c r="C13" s="15" t="str">
        <f>[30]И1!E18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4216.0463484142147</v>
      </c>
    </row>
    <row r="18" spans="1:3" ht="42.75" x14ac:dyDescent="0.2">
      <c r="A18" s="22" t="s">
        <v>8</v>
      </c>
      <c r="B18" s="25" t="s">
        <v>9</v>
      </c>
      <c r="C18" s="26">
        <f>[30]С1!F12</f>
        <v>1201.0642791911237</v>
      </c>
    </row>
    <row r="19" spans="1:3" ht="42.75" x14ac:dyDescent="0.2">
      <c r="A19" s="22" t="s">
        <v>10</v>
      </c>
      <c r="B19" s="25" t="s">
        <v>11</v>
      </c>
      <c r="C19" s="26">
        <f>[30]С2!F12</f>
        <v>2049.7946392543367</v>
      </c>
    </row>
    <row r="20" spans="1:3" ht="30" x14ac:dyDescent="0.2">
      <c r="A20" s="22" t="s">
        <v>12</v>
      </c>
      <c r="B20" s="25" t="s">
        <v>13</v>
      </c>
      <c r="C20" s="26">
        <f>[30]С3!F12</f>
        <v>613.3572799725365</v>
      </c>
    </row>
    <row r="21" spans="1:3" ht="42.75" x14ac:dyDescent="0.2">
      <c r="A21" s="22" t="s">
        <v>14</v>
      </c>
      <c r="B21" s="25" t="s">
        <v>228</v>
      </c>
      <c r="C21" s="26">
        <f>[30]С4!F12</f>
        <v>269.16257453711546</v>
      </c>
    </row>
    <row r="22" spans="1:3" ht="33" customHeight="1" x14ac:dyDescent="0.2">
      <c r="A22" s="22" t="s">
        <v>16</v>
      </c>
      <c r="B22" s="25" t="s">
        <v>229</v>
      </c>
      <c r="C22" s="26">
        <f>[30]С5!F12</f>
        <v>82.667575459102252</v>
      </c>
    </row>
    <row r="23" spans="1:3" ht="45.75" customHeight="1" thickBot="1" x14ac:dyDescent="0.25">
      <c r="A23" s="27" t="s">
        <v>18</v>
      </c>
      <c r="B23" s="140" t="s">
        <v>230</v>
      </c>
      <c r="C23" s="28">
        <f>[30]С6!F12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[30]С1.1!E16</f>
        <v>7900</v>
      </c>
    </row>
    <row r="29" spans="1:3" ht="42.75" x14ac:dyDescent="0.2">
      <c r="A29" s="22" t="s">
        <v>10</v>
      </c>
      <c r="B29" s="33" t="s">
        <v>232</v>
      </c>
      <c r="C29" s="34">
        <f>[30]С1.1!E32</f>
        <v>6213.94</v>
      </c>
    </row>
    <row r="30" spans="1:3" ht="38.25" x14ac:dyDescent="0.2">
      <c r="A30" s="22" t="s">
        <v>233</v>
      </c>
      <c r="B30" s="33" t="s">
        <v>234</v>
      </c>
      <c r="C30" s="85" t="str">
        <f>[30]С1.1!E25</f>
        <v>ООО "Газпром газораспределение Томск"</v>
      </c>
    </row>
    <row r="31" spans="1:3" ht="38.25" x14ac:dyDescent="0.2">
      <c r="A31" s="22" t="s">
        <v>235</v>
      </c>
      <c r="B31" s="33" t="str">
        <f>[30]С1.1!D26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[30]С1.1!E26</f>
        <v>5099</v>
      </c>
    </row>
    <row r="32" spans="1:3" ht="25.5" x14ac:dyDescent="0.2">
      <c r="A32" s="22" t="s">
        <v>236</v>
      </c>
      <c r="B32" s="33" t="str">
        <f>[30]С1.1!D27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[30]С1.1!E27</f>
        <v>740.38</v>
      </c>
    </row>
    <row r="33" spans="1:3" ht="25.5" x14ac:dyDescent="0.2">
      <c r="A33" s="22" t="s">
        <v>237</v>
      </c>
      <c r="B33" s="33" t="str">
        <f>[30]С1.1!D28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[30]С1.1!E28</f>
        <v>144.72999999999999</v>
      </c>
    </row>
    <row r="34" spans="1:3" ht="38.25" x14ac:dyDescent="0.2">
      <c r="A34" s="22" t="s">
        <v>238</v>
      </c>
      <c r="B34" s="33" t="str">
        <f>[30]С1.1!D29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[30]С1.1!E29</f>
        <v>229.83</v>
      </c>
    </row>
    <row r="35" spans="1:3" ht="17.25" x14ac:dyDescent="0.2">
      <c r="A35" s="22" t="s">
        <v>12</v>
      </c>
      <c r="B35" s="33" t="s">
        <v>23</v>
      </c>
      <c r="C35" s="35">
        <f>[30]С1.1!E20</f>
        <v>0.112</v>
      </c>
    </row>
    <row r="36" spans="1:3" ht="17.25" x14ac:dyDescent="0.2">
      <c r="A36" s="22" t="s">
        <v>14</v>
      </c>
      <c r="B36" s="33" t="s">
        <v>24</v>
      </c>
      <c r="C36" s="35">
        <f>[30]С1.1!E21</f>
        <v>0.21299999999999999</v>
      </c>
    </row>
    <row r="37" spans="1:3" ht="30" x14ac:dyDescent="0.2">
      <c r="A37" s="22" t="s">
        <v>16</v>
      </c>
      <c r="B37" s="36" t="s">
        <v>239</v>
      </c>
      <c r="C37" s="121">
        <f>[30]С1!F13</f>
        <v>156.1</v>
      </c>
    </row>
    <row r="38" spans="1:3" x14ac:dyDescent="0.2">
      <c r="A38" s="22" t="s">
        <v>18</v>
      </c>
      <c r="B38" s="36" t="s">
        <v>26</v>
      </c>
      <c r="C38" s="38">
        <f>[30]С1!F16</f>
        <v>7000</v>
      </c>
    </row>
    <row r="39" spans="1:3" ht="14.25" x14ac:dyDescent="0.2">
      <c r="A39" s="122" t="s">
        <v>27</v>
      </c>
      <c r="B39" s="39" t="s">
        <v>240</v>
      </c>
      <c r="C39" s="40">
        <f>[30]С1!F17</f>
        <v>1.1285714285714286</v>
      </c>
    </row>
    <row r="40" spans="1:3" ht="15.75" x14ac:dyDescent="0.2">
      <c r="A40" s="123" t="s">
        <v>29</v>
      </c>
      <c r="B40" s="42" t="s">
        <v>30</v>
      </c>
      <c r="C40" s="40">
        <f>[30]С1!F20</f>
        <v>22.307053372799995</v>
      </c>
    </row>
    <row r="41" spans="1:3" ht="15.75" x14ac:dyDescent="0.2">
      <c r="A41" s="123" t="s">
        <v>31</v>
      </c>
      <c r="B41" s="43" t="s">
        <v>32</v>
      </c>
      <c r="C41" s="40">
        <f>[30]С1!F21</f>
        <v>21.531904799999996</v>
      </c>
    </row>
    <row r="42" spans="1:3" ht="14.25" x14ac:dyDescent="0.2">
      <c r="A42" s="123" t="s">
        <v>33</v>
      </c>
      <c r="B42" s="44" t="s">
        <v>34</v>
      </c>
      <c r="C42" s="40">
        <f>[30]С1!F22</f>
        <v>1.036</v>
      </c>
    </row>
    <row r="43" spans="1:3" ht="53.25" thickBot="1" x14ac:dyDescent="0.25">
      <c r="A43" s="27" t="s">
        <v>35</v>
      </c>
      <c r="B43" s="45" t="s">
        <v>36</v>
      </c>
      <c r="C43" s="46" t="str">
        <f>[30]С1!F23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[30]С2.1!E12</f>
        <v>V</v>
      </c>
    </row>
    <row r="47" spans="1:3" ht="25.5" x14ac:dyDescent="0.2">
      <c r="A47" s="22" t="s">
        <v>41</v>
      </c>
      <c r="B47" s="33" t="s">
        <v>42</v>
      </c>
      <c r="C47" s="51" t="str">
        <f>[30]С2.1!E13</f>
        <v>6 и менее баллов</v>
      </c>
    </row>
    <row r="48" spans="1:3" ht="25.5" x14ac:dyDescent="0.2">
      <c r="A48" s="22" t="s">
        <v>43</v>
      </c>
      <c r="B48" s="33" t="s">
        <v>241</v>
      </c>
      <c r="C48" s="51" t="str">
        <f>[30]С2.1!E14</f>
        <v>от 200 до 500</v>
      </c>
    </row>
    <row r="49" spans="1:3" ht="25.5" x14ac:dyDescent="0.2">
      <c r="A49" s="22" t="s">
        <v>45</v>
      </c>
      <c r="B49" s="33" t="s">
        <v>242</v>
      </c>
      <c r="C49" s="52" t="str">
        <f>[30]С2.1!E15</f>
        <v>нет</v>
      </c>
    </row>
    <row r="50" spans="1:3" ht="30" x14ac:dyDescent="0.2">
      <c r="A50" s="22" t="s">
        <v>47</v>
      </c>
      <c r="B50" s="33" t="s">
        <v>48</v>
      </c>
      <c r="C50" s="34">
        <f>[30]С2!F18</f>
        <v>38910.02669467502</v>
      </c>
    </row>
    <row r="51" spans="1:3" ht="30" x14ac:dyDescent="0.2">
      <c r="A51" s="22" t="s">
        <v>49</v>
      </c>
      <c r="B51" s="53" t="s">
        <v>50</v>
      </c>
      <c r="C51" s="34">
        <f>IF([30]С2!F19&gt;0,[30]С2!F19,[30]С2!F20)</f>
        <v>23441.524932855718</v>
      </c>
    </row>
    <row r="52" spans="1:3" ht="25.5" x14ac:dyDescent="0.2">
      <c r="A52" s="22" t="s">
        <v>51</v>
      </c>
      <c r="B52" s="54" t="s">
        <v>52</v>
      </c>
      <c r="C52" s="34">
        <f>[30]С2.1!E20</f>
        <v>-38</v>
      </c>
    </row>
    <row r="53" spans="1:3" ht="25.5" x14ac:dyDescent="0.2">
      <c r="A53" s="22" t="s">
        <v>53</v>
      </c>
      <c r="B53" s="54" t="s">
        <v>54</v>
      </c>
      <c r="C53" s="34" t="str">
        <f>[30]С2.1!E23</f>
        <v>нет</v>
      </c>
    </row>
    <row r="54" spans="1:3" ht="38.25" x14ac:dyDescent="0.2">
      <c r="A54" s="22" t="s">
        <v>55</v>
      </c>
      <c r="B54" s="55" t="s">
        <v>56</v>
      </c>
      <c r="C54" s="34">
        <f>[30]С2.2!E10</f>
        <v>1287</v>
      </c>
    </row>
    <row r="55" spans="1:3" ht="25.5" x14ac:dyDescent="0.2">
      <c r="A55" s="22" t="s">
        <v>57</v>
      </c>
      <c r="B55" s="56" t="s">
        <v>58</v>
      </c>
      <c r="C55" s="34">
        <f>[30]С2.2!E12</f>
        <v>5.97</v>
      </c>
    </row>
    <row r="56" spans="1:3" ht="52.5" x14ac:dyDescent="0.2">
      <c r="A56" s="22" t="s">
        <v>59</v>
      </c>
      <c r="B56" s="57" t="s">
        <v>60</v>
      </c>
      <c r="C56" s="34">
        <f>[30]С2.2!E13</f>
        <v>1</v>
      </c>
    </row>
    <row r="57" spans="1:3" ht="27.75" x14ac:dyDescent="0.2">
      <c r="A57" s="22" t="s">
        <v>61</v>
      </c>
      <c r="B57" s="56" t="s">
        <v>62</v>
      </c>
      <c r="C57" s="34">
        <f>[30]С2.2!E14</f>
        <v>12104</v>
      </c>
    </row>
    <row r="58" spans="1:3" ht="25.5" x14ac:dyDescent="0.2">
      <c r="A58" s="22" t="s">
        <v>63</v>
      </c>
      <c r="B58" s="57" t="s">
        <v>64</v>
      </c>
      <c r="C58" s="35">
        <f>[30]С2.2!E15</f>
        <v>4.8000000000000001E-2</v>
      </c>
    </row>
    <row r="59" spans="1:3" x14ac:dyDescent="0.2">
      <c r="A59" s="22" t="s">
        <v>65</v>
      </c>
      <c r="B59" s="57" t="s">
        <v>66</v>
      </c>
      <c r="C59" s="124">
        <f>[30]С2.2!E16</f>
        <v>1</v>
      </c>
    </row>
    <row r="60" spans="1:3" ht="15.75" x14ac:dyDescent="0.2">
      <c r="A60" s="22" t="s">
        <v>67</v>
      </c>
      <c r="B60" s="58" t="s">
        <v>68</v>
      </c>
      <c r="C60" s="34">
        <f>[30]С2!F21</f>
        <v>1</v>
      </c>
    </row>
    <row r="61" spans="1:3" ht="30" x14ac:dyDescent="0.2">
      <c r="A61" s="59" t="s">
        <v>69</v>
      </c>
      <c r="B61" s="33" t="s">
        <v>243</v>
      </c>
      <c r="C61" s="34">
        <f>[30]С2!F13</f>
        <v>116526.45062105893</v>
      </c>
    </row>
    <row r="62" spans="1:3" ht="30" x14ac:dyDescent="0.2">
      <c r="A62" s="59" t="s">
        <v>71</v>
      </c>
      <c r="B62" s="60" t="s">
        <v>244</v>
      </c>
      <c r="C62" s="34">
        <f>[30]С2!F14</f>
        <v>64899</v>
      </c>
    </row>
    <row r="63" spans="1:3" ht="15.75" x14ac:dyDescent="0.2">
      <c r="A63" s="59" t="s">
        <v>73</v>
      </c>
      <c r="B63" s="60" t="s">
        <v>74</v>
      </c>
      <c r="C63" s="40">
        <f>[30]С2!F15</f>
        <v>1.071</v>
      </c>
    </row>
    <row r="64" spans="1:3" ht="15.75" x14ac:dyDescent="0.2">
      <c r="A64" s="59" t="s">
        <v>75</v>
      </c>
      <c r="B64" s="60" t="s">
        <v>76</v>
      </c>
      <c r="C64" s="125">
        <f>[30]С2!F16</f>
        <v>1</v>
      </c>
    </row>
    <row r="65" spans="1:3" ht="17.25" x14ac:dyDescent="0.2">
      <c r="A65" s="59" t="s">
        <v>77</v>
      </c>
      <c r="B65" s="60" t="s">
        <v>78</v>
      </c>
      <c r="C65" s="126">
        <f>[30]С2!F17</f>
        <v>1.01</v>
      </c>
    </row>
    <row r="66" spans="1:3" s="63" customFormat="1" ht="14.25" x14ac:dyDescent="0.2">
      <c r="A66" s="59" t="s">
        <v>79</v>
      </c>
      <c r="B66" s="61" t="s">
        <v>80</v>
      </c>
      <c r="C66" s="62">
        <f>[30]С2!F35</f>
        <v>10</v>
      </c>
    </row>
    <row r="67" spans="1:3" ht="30" x14ac:dyDescent="0.2">
      <c r="A67" s="59" t="s">
        <v>81</v>
      </c>
      <c r="B67" s="64" t="s">
        <v>82</v>
      </c>
      <c r="C67" s="34">
        <f>[30]С2!F28</f>
        <v>366.91081711820414</v>
      </c>
    </row>
    <row r="68" spans="1:3" ht="17.25" x14ac:dyDescent="0.2">
      <c r="A68" s="59" t="s">
        <v>83</v>
      </c>
      <c r="B68" s="53" t="s">
        <v>245</v>
      </c>
      <c r="C68" s="40">
        <f>[30]С2!F29</f>
        <v>0.44209422600000003</v>
      </c>
    </row>
    <row r="69" spans="1:3" ht="17.25" x14ac:dyDescent="0.2">
      <c r="A69" s="59" t="s">
        <v>85</v>
      </c>
      <c r="B69" s="58" t="s">
        <v>246</v>
      </c>
      <c r="C69" s="62">
        <f>[30]С2!F30</f>
        <v>500</v>
      </c>
    </row>
    <row r="70" spans="1:3" ht="42.75" x14ac:dyDescent="0.2">
      <c r="A70" s="59" t="s">
        <v>87</v>
      </c>
      <c r="B70" s="33" t="s">
        <v>247</v>
      </c>
      <c r="C70" s="34">
        <f>[30]С2!F22</f>
        <v>43932.649760529566</v>
      </c>
    </row>
    <row r="71" spans="1:3" ht="30" x14ac:dyDescent="0.2">
      <c r="A71" s="59" t="s">
        <v>89</v>
      </c>
      <c r="B71" s="60" t="s">
        <v>248</v>
      </c>
      <c r="C71" s="34">
        <f>[30]С2!F23</f>
        <v>21</v>
      </c>
    </row>
    <row r="72" spans="1:3" ht="30" x14ac:dyDescent="0.2">
      <c r="A72" s="59" t="s">
        <v>91</v>
      </c>
      <c r="B72" s="53" t="s">
        <v>92</v>
      </c>
      <c r="C72" s="34">
        <f>[30]С2.1!E28</f>
        <v>14036.09995</v>
      </c>
    </row>
    <row r="73" spans="1:3" ht="38.25" x14ac:dyDescent="0.2">
      <c r="A73" s="59" t="s">
        <v>93</v>
      </c>
      <c r="B73" s="65" t="s">
        <v>94</v>
      </c>
      <c r="C73" s="52">
        <f>[30]С2.3!E21</f>
        <v>0</v>
      </c>
    </row>
    <row r="74" spans="1:3" ht="25.5" x14ac:dyDescent="0.2">
      <c r="A74" s="59" t="s">
        <v>95</v>
      </c>
      <c r="B74" s="66" t="s">
        <v>96</v>
      </c>
      <c r="C74" s="67">
        <f>[30]С2.3!E11</f>
        <v>5.45</v>
      </c>
    </row>
    <row r="75" spans="1:3" ht="25.5" x14ac:dyDescent="0.2">
      <c r="A75" s="59" t="s">
        <v>97</v>
      </c>
      <c r="B75" s="66" t="s">
        <v>98</v>
      </c>
      <c r="C75" s="62">
        <f>[30]С2.3!E13</f>
        <v>300</v>
      </c>
    </row>
    <row r="76" spans="1:3" ht="25.5" x14ac:dyDescent="0.2">
      <c r="A76" s="59" t="s">
        <v>99</v>
      </c>
      <c r="B76" s="65" t="s">
        <v>100</v>
      </c>
      <c r="C76" s="68">
        <f>IF([30]С2.3!E22&gt;0,[30]С2.3!E22,[30]С2.3!E14)</f>
        <v>61211</v>
      </c>
    </row>
    <row r="77" spans="1:3" ht="38.25" x14ac:dyDescent="0.2">
      <c r="A77" s="59" t="s">
        <v>101</v>
      </c>
      <c r="B77" s="65" t="s">
        <v>102</v>
      </c>
      <c r="C77" s="68">
        <f>IF([30]С2.3!E23&gt;0,[30]С2.3!E23,[30]С2.3!E15)</f>
        <v>45675</v>
      </c>
    </row>
    <row r="78" spans="1:3" ht="30" x14ac:dyDescent="0.2">
      <c r="A78" s="59" t="s">
        <v>103</v>
      </c>
      <c r="B78" s="53" t="s">
        <v>104</v>
      </c>
      <c r="C78" s="34">
        <f>[30]С2.1!E29</f>
        <v>9518.3274000000001</v>
      </c>
    </row>
    <row r="79" spans="1:3" ht="38.25" x14ac:dyDescent="0.2">
      <c r="A79" s="59" t="s">
        <v>105</v>
      </c>
      <c r="B79" s="65" t="s">
        <v>106</v>
      </c>
      <c r="C79" s="52">
        <f>[30]С2.3!E25</f>
        <v>0</v>
      </c>
    </row>
    <row r="80" spans="1:3" ht="25.5" x14ac:dyDescent="0.2">
      <c r="A80" s="59" t="s">
        <v>107</v>
      </c>
      <c r="B80" s="66" t="s">
        <v>108</v>
      </c>
      <c r="C80" s="67">
        <f>[30]С2.3!E12</f>
        <v>0.2</v>
      </c>
    </row>
    <row r="81" spans="1:3" ht="25.5" x14ac:dyDescent="0.2">
      <c r="A81" s="59" t="s">
        <v>109</v>
      </c>
      <c r="B81" s="66" t="s">
        <v>98</v>
      </c>
      <c r="C81" s="62">
        <f>[30]С2.3!E13</f>
        <v>300</v>
      </c>
    </row>
    <row r="82" spans="1:3" ht="25.5" x14ac:dyDescent="0.2">
      <c r="A82" s="59" t="s">
        <v>110</v>
      </c>
      <c r="B82" s="69" t="s">
        <v>111</v>
      </c>
      <c r="C82" s="68">
        <f>IF([30]С2.3!E26&gt;0,[30]С2.3!E26,[30]С2.3!E16)</f>
        <v>65637</v>
      </c>
    </row>
    <row r="83" spans="1:3" ht="38.25" x14ac:dyDescent="0.2">
      <c r="A83" s="59" t="s">
        <v>112</v>
      </c>
      <c r="B83" s="69" t="s">
        <v>113</v>
      </c>
      <c r="C83" s="68">
        <f>IF([30]С2.3!E27&gt;0,[30]С2.3!E27,[30]С2.3!E17)</f>
        <v>31684</v>
      </c>
    </row>
    <row r="84" spans="1:3" ht="30" x14ac:dyDescent="0.2">
      <c r="A84" s="59" t="s">
        <v>249</v>
      </c>
      <c r="B84" s="60" t="s">
        <v>250</v>
      </c>
      <c r="C84" s="68">
        <f>IF([30]С2.1!E19&gt;0,[30]С2.1!E19,[30]С2!F26)</f>
        <v>2892</v>
      </c>
    </row>
    <row r="85" spans="1:3" ht="17.25" x14ac:dyDescent="0.2">
      <c r="A85" s="59" t="s">
        <v>114</v>
      </c>
      <c r="B85" s="33" t="s">
        <v>115</v>
      </c>
      <c r="C85" s="35">
        <f>[30]С2!F31</f>
        <v>0.17804631770487722</v>
      </c>
    </row>
    <row r="86" spans="1:3" ht="30" x14ac:dyDescent="0.2">
      <c r="A86" s="59" t="s">
        <v>116</v>
      </c>
      <c r="B86" s="53" t="s">
        <v>117</v>
      </c>
      <c r="C86" s="70">
        <f>[30]С2!F32</f>
        <v>0.1652189781021898</v>
      </c>
    </row>
    <row r="87" spans="1:3" ht="17.25" x14ac:dyDescent="0.2">
      <c r="A87" s="59" t="s">
        <v>118</v>
      </c>
      <c r="B87" s="71" t="s">
        <v>119</v>
      </c>
      <c r="C87" s="35">
        <f>[30]С2!F33</f>
        <v>0.13880000000000001</v>
      </c>
    </row>
    <row r="88" spans="1:3" s="63" customFormat="1" ht="18" thickBot="1" x14ac:dyDescent="0.25">
      <c r="A88" s="72" t="s">
        <v>120</v>
      </c>
      <c r="B88" s="73" t="s">
        <v>121</v>
      </c>
      <c r="C88" s="74">
        <f>[30]С2!F34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[30]С3!F14</f>
        <v>10281.56929785238</v>
      </c>
    </row>
    <row r="92" spans="1:3" s="63" customFormat="1" ht="42.75" x14ac:dyDescent="0.2">
      <c r="A92" s="77" t="s">
        <v>126</v>
      </c>
      <c r="B92" s="53" t="s">
        <v>127</v>
      </c>
      <c r="C92" s="78">
        <f>[30]С3!F15</f>
        <v>0.25</v>
      </c>
    </row>
    <row r="93" spans="1:3" s="63" customFormat="1" ht="14.25" x14ac:dyDescent="0.2">
      <c r="A93" s="77" t="s">
        <v>128</v>
      </c>
      <c r="B93" s="79" t="s">
        <v>129</v>
      </c>
      <c r="C93" s="62">
        <f>[30]С3!F18</f>
        <v>15</v>
      </c>
    </row>
    <row r="94" spans="1:3" s="63" customFormat="1" ht="17.25" x14ac:dyDescent="0.2">
      <c r="A94" s="77" t="s">
        <v>130</v>
      </c>
      <c r="B94" s="33" t="s">
        <v>131</v>
      </c>
      <c r="C94" s="34">
        <f>[30]С3!F19</f>
        <v>2924.0805304518653</v>
      </c>
    </row>
    <row r="95" spans="1:3" s="63" customFormat="1" ht="55.5" x14ac:dyDescent="0.2">
      <c r="A95" s="77" t="s">
        <v>132</v>
      </c>
      <c r="B95" s="53" t="s">
        <v>133</v>
      </c>
      <c r="C95" s="80">
        <f>[30]С3!F20</f>
        <v>2.1999999999999999E-2</v>
      </c>
    </row>
    <row r="96" spans="1:3" s="63" customFormat="1" ht="14.25" x14ac:dyDescent="0.2">
      <c r="A96" s="77" t="s">
        <v>134</v>
      </c>
      <c r="B96" s="58" t="s">
        <v>80</v>
      </c>
      <c r="C96" s="62">
        <f>[30]С3!F21</f>
        <v>10</v>
      </c>
    </row>
    <row r="97" spans="1:3" s="63" customFormat="1" ht="17.25" x14ac:dyDescent="0.2">
      <c r="A97" s="77" t="s">
        <v>135</v>
      </c>
      <c r="B97" s="33" t="s">
        <v>136</v>
      </c>
      <c r="C97" s="34">
        <f>[30]С3!F22</f>
        <v>1.1007324513546124</v>
      </c>
    </row>
    <row r="98" spans="1:3" s="63" customFormat="1" ht="55.5" x14ac:dyDescent="0.2">
      <c r="A98" s="77" t="s">
        <v>137</v>
      </c>
      <c r="B98" s="53" t="s">
        <v>138</v>
      </c>
      <c r="C98" s="80">
        <f>[30]С3!F23</f>
        <v>3.0000000000000001E-3</v>
      </c>
    </row>
    <row r="99" spans="1:3" s="63" customFormat="1" ht="30.75" thickBot="1" x14ac:dyDescent="0.25">
      <c r="A99" s="81" t="s">
        <v>139</v>
      </c>
      <c r="B99" s="82" t="s">
        <v>82</v>
      </c>
      <c r="C99" s="83">
        <f>[30]С3!F24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[30]С4!F16</f>
        <v>832.33500000000004</v>
      </c>
    </row>
    <row r="103" spans="1:3" ht="30" x14ac:dyDescent="0.2">
      <c r="A103" s="59" t="s">
        <v>145</v>
      </c>
      <c r="B103" s="58" t="s">
        <v>252</v>
      </c>
      <c r="C103" s="34">
        <f>[30]С4!F17</f>
        <v>43385</v>
      </c>
    </row>
    <row r="104" spans="1:3" ht="17.25" x14ac:dyDescent="0.2">
      <c r="A104" s="59" t="s">
        <v>147</v>
      </c>
      <c r="B104" s="58" t="s">
        <v>148</v>
      </c>
      <c r="C104" s="40">
        <f>[30]С4!F18</f>
        <v>1.4999999999999999E-2</v>
      </c>
    </row>
    <row r="105" spans="1:3" ht="30" x14ac:dyDescent="0.2">
      <c r="A105" s="59" t="s">
        <v>149</v>
      </c>
      <c r="B105" s="58" t="s">
        <v>150</v>
      </c>
      <c r="C105" s="34">
        <f>[30]С4!F19</f>
        <v>12104</v>
      </c>
    </row>
    <row r="106" spans="1:3" ht="31.5" x14ac:dyDescent="0.2">
      <c r="A106" s="59" t="s">
        <v>151</v>
      </c>
      <c r="B106" s="58" t="s">
        <v>152</v>
      </c>
      <c r="C106" s="40">
        <f>[30]С4!F20</f>
        <v>1.4999999999999999E-2</v>
      </c>
    </row>
    <row r="107" spans="1:3" ht="30" x14ac:dyDescent="0.2">
      <c r="A107" s="59" t="s">
        <v>153</v>
      </c>
      <c r="B107" s="33" t="s">
        <v>253</v>
      </c>
      <c r="C107" s="34">
        <f>[30]С4!F21</f>
        <v>1221.9019409821399</v>
      </c>
    </row>
    <row r="108" spans="1:3" ht="45.6" customHeight="1" x14ac:dyDescent="0.2">
      <c r="A108" s="59" t="s">
        <v>155</v>
      </c>
      <c r="B108" s="53" t="s">
        <v>156</v>
      </c>
      <c r="C108" s="85" t="str">
        <f>IF([30]С4.2!F8="да",[30]С4.2!D21,[30]С4.2!D15)</f>
        <v>АО "Новосибирскэнергосбыт"</v>
      </c>
    </row>
    <row r="109" spans="1:3" ht="68.25" customHeight="1" x14ac:dyDescent="0.2">
      <c r="A109" s="59" t="s">
        <v>157</v>
      </c>
      <c r="B109" s="53" t="s">
        <v>158</v>
      </c>
      <c r="C109" s="34">
        <f>[30]С4!F22</f>
        <v>3.6112641666666665</v>
      </c>
    </row>
    <row r="110" spans="1:3" ht="30" x14ac:dyDescent="0.2">
      <c r="A110" s="59" t="s">
        <v>159</v>
      </c>
      <c r="B110" s="58" t="s">
        <v>254</v>
      </c>
      <c r="C110" s="62">
        <f>[30]С4!F23</f>
        <v>110</v>
      </c>
    </row>
    <row r="111" spans="1:3" ht="14.25" x14ac:dyDescent="0.2">
      <c r="A111" s="59" t="s">
        <v>161</v>
      </c>
      <c r="B111" s="53" t="s">
        <v>162</v>
      </c>
      <c r="C111" s="34">
        <f>[30]С4!F24</f>
        <v>8497.1999999999989</v>
      </c>
    </row>
    <row r="112" spans="1:3" ht="14.25" x14ac:dyDescent="0.2">
      <c r="A112" s="59" t="s">
        <v>163</v>
      </c>
      <c r="B112" s="58" t="s">
        <v>164</v>
      </c>
      <c r="C112" s="40">
        <f>[30]С4!F25</f>
        <v>0.36199999999999999</v>
      </c>
    </row>
    <row r="113" spans="1:3" ht="17.25" x14ac:dyDescent="0.2">
      <c r="A113" s="59" t="s">
        <v>165</v>
      </c>
      <c r="B113" s="33" t="s">
        <v>166</v>
      </c>
      <c r="C113" s="34">
        <f>[30]С4!F26</f>
        <v>45.755149999999993</v>
      </c>
    </row>
    <row r="114" spans="1:3" ht="25.5" x14ac:dyDescent="0.2">
      <c r="A114" s="59" t="s">
        <v>167</v>
      </c>
      <c r="B114" s="53" t="s">
        <v>94</v>
      </c>
      <c r="C114" s="85">
        <f>[30]С4.3!E16</f>
        <v>0</v>
      </c>
    </row>
    <row r="115" spans="1:3" ht="25.5" x14ac:dyDescent="0.2">
      <c r="A115" s="59" t="s">
        <v>168</v>
      </c>
      <c r="B115" s="53" t="s">
        <v>169</v>
      </c>
      <c r="C115" s="34">
        <f>[30]С4.3!E17</f>
        <v>23.13</v>
      </c>
    </row>
    <row r="116" spans="1:3" ht="38.25" x14ac:dyDescent="0.2">
      <c r="A116" s="59" t="s">
        <v>170</v>
      </c>
      <c r="B116" s="53" t="s">
        <v>106</v>
      </c>
      <c r="C116" s="85">
        <f>[30]С4.3!E18</f>
        <v>0</v>
      </c>
    </row>
    <row r="117" spans="1:3" x14ac:dyDescent="0.2">
      <c r="A117" s="59" t="s">
        <v>171</v>
      </c>
      <c r="B117" s="53" t="s">
        <v>172</v>
      </c>
      <c r="C117" s="34">
        <f>[30]С4.3!E19</f>
        <v>14.63</v>
      </c>
    </row>
    <row r="118" spans="1:3" x14ac:dyDescent="0.2">
      <c r="A118" s="59" t="s">
        <v>173</v>
      </c>
      <c r="B118" s="58" t="s">
        <v>174</v>
      </c>
      <c r="C118" s="62">
        <f>[30]С4.3!E11</f>
        <v>1871</v>
      </c>
    </row>
    <row r="119" spans="1:3" x14ac:dyDescent="0.2">
      <c r="A119" s="59" t="s">
        <v>175</v>
      </c>
      <c r="B119" s="58" t="s">
        <v>176</v>
      </c>
      <c r="C119" s="52">
        <f>[30]С4.3!E12</f>
        <v>61</v>
      </c>
    </row>
    <row r="120" spans="1:3" x14ac:dyDescent="0.2">
      <c r="A120" s="59" t="s">
        <v>177</v>
      </c>
      <c r="B120" s="58" t="s">
        <v>178</v>
      </c>
      <c r="C120" s="52">
        <f>[30]С4.3!E13</f>
        <v>73</v>
      </c>
    </row>
    <row r="121" spans="1:3" ht="30" x14ac:dyDescent="0.2">
      <c r="A121" s="59" t="s">
        <v>179</v>
      </c>
      <c r="B121" s="33" t="s">
        <v>255</v>
      </c>
      <c r="C121" s="34">
        <f>[30]С4!F27</f>
        <v>904.62444244124072</v>
      </c>
    </row>
    <row r="122" spans="1:3" ht="25.5" x14ac:dyDescent="0.2">
      <c r="A122" s="59" t="s">
        <v>181</v>
      </c>
      <c r="B122" s="53" t="s">
        <v>256</v>
      </c>
      <c r="C122" s="34">
        <f>[30]С4!F28</f>
        <v>694.79603874135228</v>
      </c>
    </row>
    <row r="123" spans="1:3" ht="42.75" x14ac:dyDescent="0.2">
      <c r="A123" s="59" t="s">
        <v>183</v>
      </c>
      <c r="B123" s="53" t="s">
        <v>184</v>
      </c>
      <c r="C123" s="34">
        <f>[30]С4!F29</f>
        <v>209.82840369988838</v>
      </c>
    </row>
    <row r="124" spans="1:3" ht="30.75" thickBot="1" x14ac:dyDescent="0.25">
      <c r="A124" s="72" t="s">
        <v>185</v>
      </c>
      <c r="B124" s="90" t="s">
        <v>186</v>
      </c>
      <c r="C124" s="83">
        <f>[30]С4!F30</f>
        <v>808.29179419486888</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[30]С5!F17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IF([30]С6.1!E11="нет",[30]С6!F13,"")</f>
        <v/>
      </c>
    </row>
    <row r="131" spans="1:3" ht="42.75" x14ac:dyDescent="0.2">
      <c r="A131" s="59" t="s">
        <v>204</v>
      </c>
      <c r="B131" s="86" t="s">
        <v>205</v>
      </c>
      <c r="C131" s="92" t="str">
        <f>IF([30]С6.1!E12="нет",[30]С6.1!E17,"")</f>
        <v/>
      </c>
    </row>
    <row r="132" spans="1:3" ht="68.25" x14ac:dyDescent="0.2">
      <c r="A132" s="59" t="s">
        <v>206</v>
      </c>
      <c r="B132" s="91" t="s">
        <v>207</v>
      </c>
      <c r="C132" s="127" t="str">
        <f>IF([30]С6.1!E18="нет",[30]С6!F19,"")</f>
        <v/>
      </c>
    </row>
    <row r="133" spans="1:3" ht="55.5" x14ac:dyDescent="0.2">
      <c r="A133" s="59" t="s">
        <v>208</v>
      </c>
      <c r="B133" s="86" t="s">
        <v>209</v>
      </c>
      <c r="C133" s="35" t="str">
        <f>IF([30]С6.1!E18="нет",[30]С6.1!E19,"")</f>
        <v/>
      </c>
    </row>
    <row r="134" spans="1:3" ht="61.5" customHeight="1" x14ac:dyDescent="0.2">
      <c r="A134" s="59" t="s">
        <v>210</v>
      </c>
      <c r="B134" s="86" t="s">
        <v>257</v>
      </c>
      <c r="C134" s="35" t="str">
        <f>IF([30]С6.1!E18="нет",[30]С6.1!E22,"")</f>
        <v/>
      </c>
    </row>
    <row r="135" spans="1:3" ht="69" thickBot="1" x14ac:dyDescent="0.25">
      <c r="A135" s="72" t="s">
        <v>212</v>
      </c>
      <c r="B135" s="98" t="s">
        <v>213</v>
      </c>
      <c r="C135" s="74" t="str">
        <f>IF([30]С6.1!E18="нет",[30]С6.1!E23,"")</f>
        <v/>
      </c>
    </row>
    <row r="136" spans="1:3" s="89" customFormat="1" ht="13.5" thickBot="1" x14ac:dyDescent="0.25">
      <c r="A136" s="47"/>
      <c r="B136" s="75"/>
      <c r="C136" s="15"/>
    </row>
    <row r="137" spans="1:3" ht="15.75" x14ac:dyDescent="0.2">
      <c r="A137" s="84" t="s">
        <v>214</v>
      </c>
      <c r="B137" s="99" t="s">
        <v>215</v>
      </c>
      <c r="C137" s="100">
        <f>[30]С2!F39</f>
        <v>21.531904799999996</v>
      </c>
    </row>
    <row r="138" spans="1:3" ht="14.25" x14ac:dyDescent="0.2">
      <c r="A138" s="59" t="s">
        <v>216</v>
      </c>
      <c r="B138" s="58" t="s">
        <v>217</v>
      </c>
      <c r="C138" s="34">
        <f>[30]С2!F40</f>
        <v>7</v>
      </c>
    </row>
    <row r="139" spans="1:3" ht="17.25" x14ac:dyDescent="0.2">
      <c r="A139" s="59" t="s">
        <v>218</v>
      </c>
      <c r="B139" s="58" t="s">
        <v>219</v>
      </c>
      <c r="C139" s="34">
        <f>[30]С2!F42</f>
        <v>0.97</v>
      </c>
    </row>
    <row r="140" spans="1:3" ht="15" thickBot="1" x14ac:dyDescent="0.25">
      <c r="A140" s="72" t="s">
        <v>220</v>
      </c>
      <c r="B140" s="73" t="s">
        <v>221</v>
      </c>
      <c r="C140" s="46">
        <f>[30]С2!F44</f>
        <v>0.36199999999999999</v>
      </c>
    </row>
    <row r="141" spans="1:3" s="89" customFormat="1" ht="13.5" thickBot="1" x14ac:dyDescent="0.25">
      <c r="A141" s="47"/>
      <c r="B141" s="75"/>
      <c r="C141" s="15"/>
    </row>
    <row r="142" spans="1:3" ht="17.25" x14ac:dyDescent="0.2">
      <c r="A142" s="84" t="s">
        <v>222</v>
      </c>
      <c r="B142" s="103" t="s">
        <v>258</v>
      </c>
      <c r="C142" s="128">
        <f>[30]С2!F37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[30]С2.5!$E$11</f>
        <v>-2.9000000000000026E-2</v>
      </c>
    </row>
    <row r="146" spans="1:3" x14ac:dyDescent="0.2">
      <c r="B146" s="131">
        <f>B145+1</f>
        <v>2021</v>
      </c>
      <c r="C146" s="133">
        <f>[30]С2.5!$F$11</f>
        <v>0.245</v>
      </c>
    </row>
    <row r="147" spans="1:3" x14ac:dyDescent="0.2">
      <c r="B147" s="131">
        <f t="shared" ref="B147:B210" si="0">B146+1</f>
        <v>2022</v>
      </c>
      <c r="C147" s="134">
        <f>[30]С2.5!$G$11</f>
        <v>0.114</v>
      </c>
    </row>
    <row r="148" spans="1:3" x14ac:dyDescent="0.2">
      <c r="B148" s="110">
        <f t="shared" si="0"/>
        <v>2023</v>
      </c>
      <c r="C148" s="135">
        <f>[30]С2.5!$H$11</f>
        <v>0.04</v>
      </c>
    </row>
    <row r="149" spans="1:3" x14ac:dyDescent="0.2">
      <c r="B149" s="110">
        <f t="shared" si="0"/>
        <v>2024</v>
      </c>
      <c r="C149" s="135">
        <f>[30]С2.5!$I$11</f>
        <v>0.11700000000000001</v>
      </c>
    </row>
    <row r="150" spans="1:3" ht="13.5" thickBot="1" x14ac:dyDescent="0.25">
      <c r="B150" s="110">
        <f t="shared" si="0"/>
        <v>2025</v>
      </c>
      <c r="C150" s="135">
        <f>[30]С2.5!$J$11</f>
        <v>6.0999999999999999E-2</v>
      </c>
    </row>
    <row r="151" spans="1:3" ht="13.5" hidden="1" thickBot="1" x14ac:dyDescent="0.25">
      <c r="B151" s="110">
        <f t="shared" si="0"/>
        <v>2026</v>
      </c>
      <c r="C151" s="135">
        <f>[30]С2.5!$K$11</f>
        <v>0</v>
      </c>
    </row>
    <row r="152" spans="1:3" ht="13.5" hidden="1" thickBot="1" x14ac:dyDescent="0.25">
      <c r="B152" s="110">
        <f t="shared" si="0"/>
        <v>2027</v>
      </c>
      <c r="C152" s="135">
        <f>[30]С2.5!$L$11</f>
        <v>0</v>
      </c>
    </row>
    <row r="153" spans="1:3" ht="13.5" hidden="1" thickBot="1" x14ac:dyDescent="0.25">
      <c r="B153" s="110">
        <f t="shared" si="0"/>
        <v>2028</v>
      </c>
      <c r="C153" s="135">
        <f>[30]С2.5!$M$11</f>
        <v>0</v>
      </c>
    </row>
    <row r="154" spans="1:3" ht="13.5" hidden="1" thickBot="1" x14ac:dyDescent="0.25">
      <c r="B154" s="110">
        <f t="shared" si="0"/>
        <v>2029</v>
      </c>
      <c r="C154" s="135">
        <f>[30]С2.5!$N$11</f>
        <v>0</v>
      </c>
    </row>
    <row r="155" spans="1:3" ht="13.5" hidden="1" thickBot="1" x14ac:dyDescent="0.25">
      <c r="B155" s="110">
        <f t="shared" si="0"/>
        <v>2030</v>
      </c>
      <c r="C155" s="135">
        <f>[30]С2.5!$O$11</f>
        <v>0</v>
      </c>
    </row>
    <row r="156" spans="1:3" ht="13.5" hidden="1" thickBot="1" x14ac:dyDescent="0.25">
      <c r="B156" s="110">
        <f t="shared" si="0"/>
        <v>2031</v>
      </c>
      <c r="C156" s="135">
        <f>[30]С2.5!$P$11</f>
        <v>0</v>
      </c>
    </row>
    <row r="157" spans="1:3" ht="13.5" hidden="1" thickBot="1" x14ac:dyDescent="0.25">
      <c r="B157" s="110">
        <f t="shared" si="0"/>
        <v>2032</v>
      </c>
      <c r="C157" s="135">
        <f>[30]С2.5!$Q$11</f>
        <v>0</v>
      </c>
    </row>
    <row r="158" spans="1:3" ht="13.5" hidden="1" thickBot="1" x14ac:dyDescent="0.25">
      <c r="B158" s="110">
        <f t="shared" si="0"/>
        <v>2033</v>
      </c>
      <c r="C158" s="135">
        <f>[30]С2.5!$R$11</f>
        <v>0</v>
      </c>
    </row>
    <row r="159" spans="1:3" ht="13.5" hidden="1" thickBot="1" x14ac:dyDescent="0.25">
      <c r="B159" s="110">
        <f t="shared" si="0"/>
        <v>2034</v>
      </c>
      <c r="C159" s="135">
        <f>[30]С2.5!$S$11</f>
        <v>0</v>
      </c>
    </row>
    <row r="160" spans="1:3" ht="13.5" hidden="1" thickBot="1" x14ac:dyDescent="0.25">
      <c r="B160" s="110">
        <f t="shared" si="0"/>
        <v>2035</v>
      </c>
      <c r="C160" s="135">
        <f>[30]С2.5!$T$11</f>
        <v>0</v>
      </c>
    </row>
    <row r="161" spans="2:3" ht="13.5" hidden="1" thickBot="1" x14ac:dyDescent="0.25">
      <c r="B161" s="110">
        <f t="shared" si="0"/>
        <v>2036</v>
      </c>
      <c r="C161" s="135">
        <f>[30]С2.5!$U$11</f>
        <v>0</v>
      </c>
    </row>
    <row r="162" spans="2:3" ht="13.5" hidden="1" thickBot="1" x14ac:dyDescent="0.25">
      <c r="B162" s="110">
        <f t="shared" si="0"/>
        <v>2037</v>
      </c>
      <c r="C162" s="135">
        <f>[30]С2.5!$V$11</f>
        <v>0</v>
      </c>
    </row>
    <row r="163" spans="2:3" ht="13.5" hidden="1" thickBot="1" x14ac:dyDescent="0.25">
      <c r="B163" s="110">
        <f t="shared" si="0"/>
        <v>2038</v>
      </c>
      <c r="C163" s="135">
        <f>[30]С2.5!$W$11</f>
        <v>0</v>
      </c>
    </row>
    <row r="164" spans="2:3" ht="13.5" hidden="1" thickBot="1" x14ac:dyDescent="0.25">
      <c r="B164" s="110">
        <f t="shared" si="0"/>
        <v>2039</v>
      </c>
      <c r="C164" s="135">
        <f>[30]С2.5!$X$11</f>
        <v>0</v>
      </c>
    </row>
    <row r="165" spans="2:3" ht="13.5" hidden="1" thickBot="1" x14ac:dyDescent="0.25">
      <c r="B165" s="110">
        <f t="shared" si="0"/>
        <v>2040</v>
      </c>
      <c r="C165" s="135">
        <f>[30]С2.5!$Y$11</f>
        <v>0</v>
      </c>
    </row>
    <row r="166" spans="2:3" ht="13.5" hidden="1" thickBot="1" x14ac:dyDescent="0.25">
      <c r="B166" s="110">
        <f t="shared" si="0"/>
        <v>2041</v>
      </c>
      <c r="C166" s="135">
        <f>[30]С2.5!$Z$11</f>
        <v>0</v>
      </c>
    </row>
    <row r="167" spans="2:3" ht="13.5" hidden="1" thickBot="1" x14ac:dyDescent="0.25">
      <c r="B167" s="110">
        <f t="shared" si="0"/>
        <v>2042</v>
      </c>
      <c r="C167" s="135">
        <f>[30]С2.5!$AA$11</f>
        <v>0</v>
      </c>
    </row>
    <row r="168" spans="2:3" ht="13.5" hidden="1" thickBot="1" x14ac:dyDescent="0.25">
      <c r="B168" s="110">
        <f t="shared" si="0"/>
        <v>2043</v>
      </c>
      <c r="C168" s="135">
        <f>[30]С2.5!$AB$11</f>
        <v>0</v>
      </c>
    </row>
    <row r="169" spans="2:3" ht="13.5" hidden="1" thickBot="1" x14ac:dyDescent="0.25">
      <c r="B169" s="110">
        <f t="shared" si="0"/>
        <v>2044</v>
      </c>
      <c r="C169" s="135">
        <f>[30]С2.5!$AC$11</f>
        <v>0</v>
      </c>
    </row>
    <row r="170" spans="2:3" ht="13.5" hidden="1" thickBot="1" x14ac:dyDescent="0.25">
      <c r="B170" s="110">
        <f t="shared" si="0"/>
        <v>2045</v>
      </c>
      <c r="C170" s="135">
        <f>[30]С2.5!$AD$11</f>
        <v>0</v>
      </c>
    </row>
    <row r="171" spans="2:3" ht="13.5" hidden="1" thickBot="1" x14ac:dyDescent="0.25">
      <c r="B171" s="110">
        <f t="shared" si="0"/>
        <v>2046</v>
      </c>
      <c r="C171" s="135">
        <f>[30]С2.5!$AE$11</f>
        <v>0</v>
      </c>
    </row>
    <row r="172" spans="2:3" ht="13.5" hidden="1" thickBot="1" x14ac:dyDescent="0.25">
      <c r="B172" s="110">
        <f t="shared" si="0"/>
        <v>2047</v>
      </c>
      <c r="C172" s="135">
        <f>[30]С2.5!$AF$11</f>
        <v>0</v>
      </c>
    </row>
    <row r="173" spans="2:3" ht="13.5" hidden="1" thickBot="1" x14ac:dyDescent="0.25">
      <c r="B173" s="110">
        <f t="shared" si="0"/>
        <v>2048</v>
      </c>
      <c r="C173" s="135">
        <f>[30]С2.5!$AG$11</f>
        <v>0</v>
      </c>
    </row>
    <row r="174" spans="2:3" ht="13.5" hidden="1" thickBot="1" x14ac:dyDescent="0.25">
      <c r="B174" s="110">
        <f t="shared" si="0"/>
        <v>2049</v>
      </c>
      <c r="C174" s="135">
        <f>[30]С2.5!$AH$11</f>
        <v>0</v>
      </c>
    </row>
    <row r="175" spans="2:3" ht="13.5" hidden="1" thickBot="1" x14ac:dyDescent="0.25">
      <c r="B175" s="110">
        <f t="shared" si="0"/>
        <v>2050</v>
      </c>
      <c r="C175" s="135">
        <f>[30]С2.5!$AI$11</f>
        <v>0</v>
      </c>
    </row>
    <row r="176" spans="2:3" ht="13.5" hidden="1" thickBot="1" x14ac:dyDescent="0.25">
      <c r="B176" s="110">
        <f t="shared" si="0"/>
        <v>2051</v>
      </c>
      <c r="C176" s="135">
        <f>[30]С2.5!$AJ$11</f>
        <v>0</v>
      </c>
    </row>
    <row r="177" spans="2:3" ht="13.5" hidden="1" thickBot="1" x14ac:dyDescent="0.25">
      <c r="B177" s="110">
        <f t="shared" si="0"/>
        <v>2052</v>
      </c>
      <c r="C177" s="135">
        <f>[30]С2.5!$AK$11</f>
        <v>0</v>
      </c>
    </row>
    <row r="178" spans="2:3" ht="13.5" hidden="1" thickBot="1" x14ac:dyDescent="0.25">
      <c r="B178" s="110">
        <f t="shared" si="0"/>
        <v>2053</v>
      </c>
      <c r="C178" s="135">
        <f>[30]С2.5!$AL$11</f>
        <v>0</v>
      </c>
    </row>
    <row r="179" spans="2:3" ht="13.5" hidden="1" thickBot="1" x14ac:dyDescent="0.25">
      <c r="B179" s="110">
        <f t="shared" si="0"/>
        <v>2054</v>
      </c>
      <c r="C179" s="135">
        <f>[30]С2.5!$AM$11</f>
        <v>0</v>
      </c>
    </row>
    <row r="180" spans="2:3" ht="13.5" hidden="1" thickBot="1" x14ac:dyDescent="0.25">
      <c r="B180" s="110">
        <f t="shared" si="0"/>
        <v>2055</v>
      </c>
      <c r="C180" s="135">
        <f>[30]С2.5!$AN$11</f>
        <v>0</v>
      </c>
    </row>
    <row r="181" spans="2:3" ht="13.5" hidden="1" thickBot="1" x14ac:dyDescent="0.25">
      <c r="B181" s="110">
        <f t="shared" si="0"/>
        <v>2056</v>
      </c>
      <c r="C181" s="135">
        <f>[30]С2.5!$AO$11</f>
        <v>0</v>
      </c>
    </row>
    <row r="182" spans="2:3" ht="13.5" hidden="1" thickBot="1" x14ac:dyDescent="0.25">
      <c r="B182" s="110">
        <f t="shared" si="0"/>
        <v>2057</v>
      </c>
      <c r="C182" s="135">
        <f>[30]С2.5!$AP$11</f>
        <v>0</v>
      </c>
    </row>
    <row r="183" spans="2:3" ht="13.5" hidden="1" thickBot="1" x14ac:dyDescent="0.25">
      <c r="B183" s="110">
        <f t="shared" si="0"/>
        <v>2058</v>
      </c>
      <c r="C183" s="135">
        <f>[30]С2.5!$AQ$11</f>
        <v>0</v>
      </c>
    </row>
    <row r="184" spans="2:3" ht="13.5" hidden="1" thickBot="1" x14ac:dyDescent="0.25">
      <c r="B184" s="110">
        <f t="shared" si="0"/>
        <v>2059</v>
      </c>
      <c r="C184" s="135">
        <f>[30]С2.5!$AR$11</f>
        <v>0</v>
      </c>
    </row>
    <row r="185" spans="2:3" ht="13.5" hidden="1" thickBot="1" x14ac:dyDescent="0.25">
      <c r="B185" s="110">
        <f t="shared" si="0"/>
        <v>2060</v>
      </c>
      <c r="C185" s="135">
        <f>[30]С2.5!$AS$11</f>
        <v>0</v>
      </c>
    </row>
    <row r="186" spans="2:3" ht="13.5" hidden="1" thickBot="1" x14ac:dyDescent="0.25">
      <c r="B186" s="110">
        <f t="shared" si="0"/>
        <v>2061</v>
      </c>
      <c r="C186" s="135">
        <f>[30]С2.5!$AT$11</f>
        <v>0</v>
      </c>
    </row>
    <row r="187" spans="2:3" ht="13.5" hidden="1" thickBot="1" x14ac:dyDescent="0.25">
      <c r="B187" s="110">
        <f t="shared" si="0"/>
        <v>2062</v>
      </c>
      <c r="C187" s="135">
        <f>[30]С2.5!$AU$11</f>
        <v>0</v>
      </c>
    </row>
    <row r="188" spans="2:3" ht="13.5" hidden="1" thickBot="1" x14ac:dyDescent="0.25">
      <c r="B188" s="110">
        <f t="shared" si="0"/>
        <v>2063</v>
      </c>
      <c r="C188" s="135">
        <f>[30]С2.5!$AV$11</f>
        <v>0</v>
      </c>
    </row>
    <row r="189" spans="2:3" ht="13.5" hidden="1" thickBot="1" x14ac:dyDescent="0.25">
      <c r="B189" s="110">
        <f t="shared" si="0"/>
        <v>2064</v>
      </c>
      <c r="C189" s="135">
        <f>[30]С2.5!$AW$11</f>
        <v>0</v>
      </c>
    </row>
    <row r="190" spans="2:3" ht="13.5" hidden="1" thickBot="1" x14ac:dyDescent="0.25">
      <c r="B190" s="110">
        <f t="shared" si="0"/>
        <v>2065</v>
      </c>
      <c r="C190" s="135">
        <f>[30]С2.5!$AX$11</f>
        <v>0</v>
      </c>
    </row>
    <row r="191" spans="2:3" ht="13.5" hidden="1" thickBot="1" x14ac:dyDescent="0.25">
      <c r="B191" s="110">
        <f t="shared" si="0"/>
        <v>2066</v>
      </c>
      <c r="C191" s="135">
        <f>[30]С2.5!$AY$11</f>
        <v>0</v>
      </c>
    </row>
    <row r="192" spans="2:3" ht="13.5" hidden="1" thickBot="1" x14ac:dyDescent="0.25">
      <c r="B192" s="110">
        <f t="shared" si="0"/>
        <v>2067</v>
      </c>
      <c r="C192" s="135">
        <f>[30]С2.5!$AZ$11</f>
        <v>0</v>
      </c>
    </row>
    <row r="193" spans="2:3" ht="13.5" hidden="1" thickBot="1" x14ac:dyDescent="0.25">
      <c r="B193" s="110">
        <f t="shared" si="0"/>
        <v>2068</v>
      </c>
      <c r="C193" s="135">
        <f>[30]С2.5!$BA$11</f>
        <v>0</v>
      </c>
    </row>
    <row r="194" spans="2:3" ht="13.5" hidden="1" thickBot="1" x14ac:dyDescent="0.25">
      <c r="B194" s="110">
        <f t="shared" si="0"/>
        <v>2069</v>
      </c>
      <c r="C194" s="135">
        <f>[30]С2.5!$BB$11</f>
        <v>0</v>
      </c>
    </row>
    <row r="195" spans="2:3" ht="13.5" hidden="1" thickBot="1" x14ac:dyDescent="0.25">
      <c r="B195" s="110">
        <f t="shared" si="0"/>
        <v>2070</v>
      </c>
      <c r="C195" s="135">
        <f>[30]С2.5!$BC$11</f>
        <v>0</v>
      </c>
    </row>
    <row r="196" spans="2:3" ht="13.5" hidden="1" thickBot="1" x14ac:dyDescent="0.25">
      <c r="B196" s="110">
        <f t="shared" si="0"/>
        <v>2071</v>
      </c>
      <c r="C196" s="135">
        <f>[30]С2.5!$BD$11</f>
        <v>0</v>
      </c>
    </row>
    <row r="197" spans="2:3" ht="13.5" hidden="1" thickBot="1" x14ac:dyDescent="0.25">
      <c r="B197" s="110">
        <f t="shared" si="0"/>
        <v>2072</v>
      </c>
      <c r="C197" s="135">
        <f>[30]С2.5!$BE$11</f>
        <v>0</v>
      </c>
    </row>
    <row r="198" spans="2:3" ht="13.5" hidden="1" thickBot="1" x14ac:dyDescent="0.25">
      <c r="B198" s="110">
        <f t="shared" si="0"/>
        <v>2073</v>
      </c>
      <c r="C198" s="135">
        <f>[30]С2.5!$BF$11</f>
        <v>0</v>
      </c>
    </row>
    <row r="199" spans="2:3" ht="13.5" hidden="1" thickBot="1" x14ac:dyDescent="0.25">
      <c r="B199" s="110">
        <f t="shared" si="0"/>
        <v>2074</v>
      </c>
      <c r="C199" s="135">
        <f>[30]С2.5!$BG$11</f>
        <v>0</v>
      </c>
    </row>
    <row r="200" spans="2:3" ht="13.5" hidden="1" thickBot="1" x14ac:dyDescent="0.25">
      <c r="B200" s="110">
        <f t="shared" si="0"/>
        <v>2075</v>
      </c>
      <c r="C200" s="135">
        <f>[30]С2.5!$BH$11</f>
        <v>0</v>
      </c>
    </row>
    <row r="201" spans="2:3" ht="13.5" hidden="1" thickBot="1" x14ac:dyDescent="0.25">
      <c r="B201" s="110">
        <f t="shared" si="0"/>
        <v>2076</v>
      </c>
      <c r="C201" s="135">
        <f>[30]С2.5!$BI$11</f>
        <v>0</v>
      </c>
    </row>
    <row r="202" spans="2:3" ht="13.5" hidden="1" thickBot="1" x14ac:dyDescent="0.25">
      <c r="B202" s="110">
        <f t="shared" si="0"/>
        <v>2077</v>
      </c>
      <c r="C202" s="135">
        <f>[30]С2.5!$BJ$11</f>
        <v>0</v>
      </c>
    </row>
    <row r="203" spans="2:3" ht="13.5" hidden="1" thickBot="1" x14ac:dyDescent="0.25">
      <c r="B203" s="110">
        <f t="shared" si="0"/>
        <v>2078</v>
      </c>
      <c r="C203" s="135">
        <f>[30]С2.5!$BK$11</f>
        <v>0</v>
      </c>
    </row>
    <row r="204" spans="2:3" ht="13.5" hidden="1" thickBot="1" x14ac:dyDescent="0.25">
      <c r="B204" s="110">
        <f t="shared" si="0"/>
        <v>2079</v>
      </c>
      <c r="C204" s="135">
        <f>[30]С2.5!$BL$11</f>
        <v>0</v>
      </c>
    </row>
    <row r="205" spans="2:3" ht="13.5" hidden="1" thickBot="1" x14ac:dyDescent="0.25">
      <c r="B205" s="110">
        <f t="shared" si="0"/>
        <v>2080</v>
      </c>
      <c r="C205" s="135">
        <f>[30]С2.5!$BM$11</f>
        <v>0</v>
      </c>
    </row>
    <row r="206" spans="2:3" ht="13.5" hidden="1" thickBot="1" x14ac:dyDescent="0.25">
      <c r="B206" s="110">
        <f t="shared" si="0"/>
        <v>2081</v>
      </c>
      <c r="C206" s="135">
        <f>[30]С2.5!$BN$11</f>
        <v>0</v>
      </c>
    </row>
    <row r="207" spans="2:3" ht="13.5" hidden="1" thickBot="1" x14ac:dyDescent="0.25">
      <c r="B207" s="110">
        <f t="shared" si="0"/>
        <v>2082</v>
      </c>
      <c r="C207" s="135">
        <f>[30]С2.5!$BO$11</f>
        <v>0</v>
      </c>
    </row>
    <row r="208" spans="2:3" ht="13.5" hidden="1" thickBot="1" x14ac:dyDescent="0.25">
      <c r="B208" s="110">
        <f t="shared" si="0"/>
        <v>2083</v>
      </c>
      <c r="C208" s="135">
        <f>[30]С2.5!$BP$11</f>
        <v>0</v>
      </c>
    </row>
    <row r="209" spans="2:3" ht="13.5" hidden="1" thickBot="1" x14ac:dyDescent="0.25">
      <c r="B209" s="110">
        <f t="shared" si="0"/>
        <v>2084</v>
      </c>
      <c r="C209" s="135">
        <f>[30]С2.5!$BQ$11</f>
        <v>0</v>
      </c>
    </row>
    <row r="210" spans="2:3" ht="13.5" hidden="1" thickBot="1" x14ac:dyDescent="0.25">
      <c r="B210" s="110">
        <f t="shared" si="0"/>
        <v>2085</v>
      </c>
      <c r="C210" s="135">
        <f>[30]С2.5!$BR$11</f>
        <v>0</v>
      </c>
    </row>
    <row r="211" spans="2:3" ht="13.5" hidden="1" thickBot="1" x14ac:dyDescent="0.25">
      <c r="B211" s="110">
        <f t="shared" ref="B211:B224" si="1">B210+1</f>
        <v>2086</v>
      </c>
      <c r="C211" s="135">
        <f>[30]С2.5!$BS$11</f>
        <v>0</v>
      </c>
    </row>
    <row r="212" spans="2:3" ht="13.5" hidden="1" thickBot="1" x14ac:dyDescent="0.25">
      <c r="B212" s="110">
        <f t="shared" si="1"/>
        <v>2087</v>
      </c>
      <c r="C212" s="135">
        <f>[30]С2.5!$BT$11</f>
        <v>0</v>
      </c>
    </row>
    <row r="213" spans="2:3" ht="13.5" hidden="1" thickBot="1" x14ac:dyDescent="0.25">
      <c r="B213" s="110">
        <f t="shared" si="1"/>
        <v>2088</v>
      </c>
      <c r="C213" s="135">
        <f>[30]С2.5!$BU$11</f>
        <v>0</v>
      </c>
    </row>
    <row r="214" spans="2:3" ht="13.5" hidden="1" thickBot="1" x14ac:dyDescent="0.25">
      <c r="B214" s="110">
        <f t="shared" si="1"/>
        <v>2089</v>
      </c>
      <c r="C214" s="135">
        <f>[30]С2.5!$BV$11</f>
        <v>0</v>
      </c>
    </row>
    <row r="215" spans="2:3" ht="13.5" hidden="1" thickBot="1" x14ac:dyDescent="0.25">
      <c r="B215" s="110">
        <f t="shared" si="1"/>
        <v>2090</v>
      </c>
      <c r="C215" s="135">
        <f>[30]С2.5!$BW$11</f>
        <v>0</v>
      </c>
    </row>
    <row r="216" spans="2:3" ht="13.5" hidden="1" thickBot="1" x14ac:dyDescent="0.25">
      <c r="B216" s="110">
        <f t="shared" si="1"/>
        <v>2091</v>
      </c>
      <c r="C216" s="135">
        <f>[30]С2.5!$BX$11</f>
        <v>0</v>
      </c>
    </row>
    <row r="217" spans="2:3" ht="13.5" hidden="1" thickBot="1" x14ac:dyDescent="0.25">
      <c r="B217" s="110">
        <f t="shared" si="1"/>
        <v>2092</v>
      </c>
      <c r="C217" s="135">
        <f>[30]С2.5!$BY$11</f>
        <v>0</v>
      </c>
    </row>
    <row r="218" spans="2:3" ht="13.5" hidden="1" thickBot="1" x14ac:dyDescent="0.25">
      <c r="B218" s="110">
        <f t="shared" si="1"/>
        <v>2093</v>
      </c>
      <c r="C218" s="135">
        <f>[30]С2.5!$BZ$11</f>
        <v>0</v>
      </c>
    </row>
    <row r="219" spans="2:3" ht="13.5" hidden="1" thickBot="1" x14ac:dyDescent="0.25">
      <c r="B219" s="110">
        <f t="shared" si="1"/>
        <v>2094</v>
      </c>
      <c r="C219" s="135">
        <f>[30]С2.5!$CA$11</f>
        <v>0</v>
      </c>
    </row>
    <row r="220" spans="2:3" ht="13.5" hidden="1" thickBot="1" x14ac:dyDescent="0.25">
      <c r="B220" s="110">
        <f t="shared" si="1"/>
        <v>2095</v>
      </c>
      <c r="C220" s="135">
        <f>[30]С2.5!$CB$11</f>
        <v>0</v>
      </c>
    </row>
    <row r="221" spans="2:3" ht="13.5" hidden="1" thickBot="1" x14ac:dyDescent="0.25">
      <c r="B221" s="110">
        <f t="shared" si="1"/>
        <v>2096</v>
      </c>
      <c r="C221" s="135">
        <f>[30]С2.5!$CC$11</f>
        <v>0</v>
      </c>
    </row>
    <row r="222" spans="2:3" ht="13.5" hidden="1" thickBot="1" x14ac:dyDescent="0.25">
      <c r="B222" s="110">
        <f t="shared" si="1"/>
        <v>2097</v>
      </c>
      <c r="C222" s="135">
        <f>[30]С2.5!$CD$11</f>
        <v>0</v>
      </c>
    </row>
    <row r="223" spans="2:3" ht="13.5" hidden="1" thickBot="1" x14ac:dyDescent="0.25">
      <c r="B223" s="110">
        <f t="shared" si="1"/>
        <v>2098</v>
      </c>
      <c r="C223" s="135">
        <f>[30]С2.5!$CE$11</f>
        <v>0</v>
      </c>
    </row>
    <row r="224" spans="2:3" ht="13.5" hidden="1" thickBot="1" x14ac:dyDescent="0.25">
      <c r="B224" s="110">
        <f t="shared" si="1"/>
        <v>2099</v>
      </c>
      <c r="C224" s="135">
        <f>[30]С2.5!$CF$11</f>
        <v>0</v>
      </c>
    </row>
    <row r="225" spans="2:3" ht="13.5" hidden="1" thickBot="1" x14ac:dyDescent="0.25">
      <c r="B225" s="112">
        <f>B162+1</f>
        <v>2038</v>
      </c>
      <c r="C225" s="136" t="e">
        <f>[30]С2.5!#REF!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10" sqref="B10"/>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[41]И1!D13</f>
        <v>Субъект Российской Федерации</v>
      </c>
      <c r="C4" s="10" t="str">
        <f>[41]И1!E13</f>
        <v>Новосибирская область</v>
      </c>
    </row>
    <row r="5" spans="1:3" ht="46.9" customHeight="1" x14ac:dyDescent="0.2">
      <c r="A5" s="8"/>
      <c r="B5" s="9" t="str">
        <f>[41]И1!D14</f>
        <v>Тип муниципального образования (выберите из списка)</v>
      </c>
      <c r="C5" s="10" t="str">
        <f>[41]И1!E14</f>
        <v>село Улыбино, Искитимский муниципальный район</v>
      </c>
    </row>
    <row r="6" spans="1:3" x14ac:dyDescent="0.2">
      <c r="A6" s="8"/>
      <c r="B6" s="9" t="str">
        <f>IF([41]И1!E15="","",[41]И1!D15)</f>
        <v/>
      </c>
      <c r="C6" s="10" t="str">
        <f>IF([41]И1!E15="","",[41]И1!E15)</f>
        <v/>
      </c>
    </row>
    <row r="7" spans="1:3" x14ac:dyDescent="0.2">
      <c r="A7" s="8"/>
      <c r="B7" s="9" t="str">
        <f>[41]И1!D16</f>
        <v>Код ОКТМО</v>
      </c>
      <c r="C7" s="11" t="str">
        <f>[41]И1!E16</f>
        <v xml:space="preserve"> (50615431101)</v>
      </c>
    </row>
    <row r="8" spans="1:3" x14ac:dyDescent="0.2">
      <c r="A8" s="8"/>
      <c r="B8" s="12" t="str">
        <f>[41]И1!D17</f>
        <v>Система теплоснабжения</v>
      </c>
      <c r="C8" s="13">
        <f>[41]И1!E17</f>
        <v>0</v>
      </c>
    </row>
    <row r="9" spans="1:3" x14ac:dyDescent="0.2">
      <c r="A9" s="8"/>
      <c r="B9" s="9" t="str">
        <f>[41]И1!D8</f>
        <v>Период регулирования (i)-й</v>
      </c>
      <c r="C9" s="14">
        <f>[41]И1!E8</f>
        <v>2025</v>
      </c>
    </row>
    <row r="10" spans="1:3" x14ac:dyDescent="0.2">
      <c r="A10" s="8"/>
      <c r="B10" s="9" t="str">
        <f>[41]И1!D9</f>
        <v>Период регулирования (i-1)-й</v>
      </c>
      <c r="C10" s="14">
        <f>[41]И1!E9</f>
        <v>2024</v>
      </c>
    </row>
    <row r="11" spans="1:3" x14ac:dyDescent="0.2">
      <c r="A11" s="8"/>
      <c r="B11" s="9" t="str">
        <f>[41]И1!D10</f>
        <v>Период регулирования (i-2)-й</v>
      </c>
      <c r="C11" s="14">
        <f>[41]И1!E10</f>
        <v>2023</v>
      </c>
    </row>
    <row r="12" spans="1:3" x14ac:dyDescent="0.2">
      <c r="A12" s="8"/>
      <c r="B12" s="9" t="str">
        <f>[41]И1!D11</f>
        <v>Базовый год (б)</v>
      </c>
      <c r="C12" s="14">
        <f>[41]И1!E11</f>
        <v>2019</v>
      </c>
    </row>
    <row r="13" spans="1:3" ht="38.25" x14ac:dyDescent="0.2">
      <c r="A13" s="8"/>
      <c r="B13" s="9" t="str">
        <f>[41]И1!D18</f>
        <v>Вид топлива, использование которого преобладает в системе теплоснабжения</v>
      </c>
      <c r="C13" s="15" t="str">
        <f>[41]С1.1!E13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5670.2218228570746</v>
      </c>
    </row>
    <row r="18" spans="1:3" ht="42.75" x14ac:dyDescent="0.2">
      <c r="A18" s="22" t="s">
        <v>8</v>
      </c>
      <c r="B18" s="25" t="s">
        <v>9</v>
      </c>
      <c r="C18" s="26">
        <f>[41]С1!F12</f>
        <v>1048.8529876940834</v>
      </c>
    </row>
    <row r="19" spans="1:3" ht="42.75" x14ac:dyDescent="0.2">
      <c r="A19" s="22" t="s">
        <v>10</v>
      </c>
      <c r="B19" s="25" t="s">
        <v>11</v>
      </c>
      <c r="C19" s="26">
        <f>[41]С2!F12</f>
        <v>3063.2235383547568</v>
      </c>
    </row>
    <row r="20" spans="1:3" ht="30" x14ac:dyDescent="0.2">
      <c r="A20" s="22" t="s">
        <v>12</v>
      </c>
      <c r="B20" s="25" t="s">
        <v>13</v>
      </c>
      <c r="C20" s="26">
        <f>[41]С3!F12</f>
        <v>917.89815316767874</v>
      </c>
    </row>
    <row r="21" spans="1:3" ht="42.75" x14ac:dyDescent="0.2">
      <c r="A21" s="22" t="s">
        <v>14</v>
      </c>
      <c r="B21" s="25" t="s">
        <v>15</v>
      </c>
      <c r="C21" s="26">
        <f>[41]С4!F12</f>
        <v>529.06632358453453</v>
      </c>
    </row>
    <row r="22" spans="1:3" ht="30" x14ac:dyDescent="0.2">
      <c r="A22" s="22" t="s">
        <v>16</v>
      </c>
      <c r="B22" s="25" t="s">
        <v>17</v>
      </c>
      <c r="C22" s="26">
        <f>[41]С5!F12</f>
        <v>111.18082005602108</v>
      </c>
    </row>
    <row r="23" spans="1:3" ht="43.5" thickBot="1" x14ac:dyDescent="0.25">
      <c r="A23" s="27" t="s">
        <v>18</v>
      </c>
      <c r="B23" s="140" t="s">
        <v>19</v>
      </c>
      <c r="C23" s="28" t="str">
        <f>[41]С6!F12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[41]С1.1!E16</f>
        <v>5100</v>
      </c>
    </row>
    <row r="29" spans="1:3" ht="42.75" x14ac:dyDescent="0.2">
      <c r="A29" s="22" t="s">
        <v>10</v>
      </c>
      <c r="B29" s="33" t="s">
        <v>22</v>
      </c>
      <c r="C29" s="34">
        <f>[41]С1.1!E27</f>
        <v>3783.48</v>
      </c>
    </row>
    <row r="30" spans="1:3" ht="17.25" x14ac:dyDescent="0.2">
      <c r="A30" s="22" t="s">
        <v>12</v>
      </c>
      <c r="B30" s="33" t="s">
        <v>23</v>
      </c>
      <c r="C30" s="35">
        <f>[41]С1.1!E19</f>
        <v>1.4E-2</v>
      </c>
    </row>
    <row r="31" spans="1:3" ht="17.25" x14ac:dyDescent="0.2">
      <c r="A31" s="22" t="s">
        <v>14</v>
      </c>
      <c r="B31" s="33" t="s">
        <v>24</v>
      </c>
      <c r="C31" s="35">
        <f>[41]С1.1!E20</f>
        <v>0.04</v>
      </c>
    </row>
    <row r="32" spans="1:3" ht="30" x14ac:dyDescent="0.2">
      <c r="A32" s="22" t="s">
        <v>16</v>
      </c>
      <c r="B32" s="36" t="s">
        <v>25</v>
      </c>
      <c r="C32" s="37">
        <f>[41]С1!F13</f>
        <v>176.4</v>
      </c>
    </row>
    <row r="33" spans="1:3" x14ac:dyDescent="0.2">
      <c r="A33" s="22" t="s">
        <v>18</v>
      </c>
      <c r="B33" s="36" t="s">
        <v>26</v>
      </c>
      <c r="C33" s="38">
        <f>[41]С1!F16</f>
        <v>7000</v>
      </c>
    </row>
    <row r="34" spans="1:3" ht="14.25" x14ac:dyDescent="0.2">
      <c r="A34" s="22" t="s">
        <v>27</v>
      </c>
      <c r="B34" s="39" t="s">
        <v>28</v>
      </c>
      <c r="C34" s="40">
        <f>[41]С1!F17</f>
        <v>0.72857142857142854</v>
      </c>
    </row>
    <row r="35" spans="1:3" ht="15.75" x14ac:dyDescent="0.2">
      <c r="A35" s="41" t="s">
        <v>29</v>
      </c>
      <c r="B35" s="42" t="s">
        <v>30</v>
      </c>
      <c r="C35" s="40">
        <f>[41]С1!F20</f>
        <v>21.588411179999994</v>
      </c>
    </row>
    <row r="36" spans="1:3" ht="15.75" x14ac:dyDescent="0.2">
      <c r="A36" s="41" t="s">
        <v>31</v>
      </c>
      <c r="B36" s="43" t="s">
        <v>32</v>
      </c>
      <c r="C36" s="40">
        <f>[41]С1!F21</f>
        <v>20.818139999999996</v>
      </c>
    </row>
    <row r="37" spans="1:3" ht="14.25" x14ac:dyDescent="0.2">
      <c r="A37" s="41" t="s">
        <v>33</v>
      </c>
      <c r="B37" s="44" t="s">
        <v>34</v>
      </c>
      <c r="C37" s="40">
        <f>[41]С1!F22</f>
        <v>1.0369999999999999</v>
      </c>
    </row>
    <row r="38" spans="1:3" ht="53.25" thickBot="1" x14ac:dyDescent="0.25">
      <c r="A38" s="27" t="s">
        <v>35</v>
      </c>
      <c r="B38" s="45" t="s">
        <v>36</v>
      </c>
      <c r="C38" s="46">
        <f>[41]С1!F23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[41]С2.1!E12</f>
        <v>V</v>
      </c>
    </row>
    <row r="42" spans="1:3" ht="25.5" x14ac:dyDescent="0.2">
      <c r="A42" s="22" t="s">
        <v>41</v>
      </c>
      <c r="B42" s="33" t="s">
        <v>42</v>
      </c>
      <c r="C42" s="51" t="str">
        <f>[41]С2.1!E13</f>
        <v>6 и менее баллов</v>
      </c>
    </row>
    <row r="43" spans="1:3" ht="25.5" x14ac:dyDescent="0.2">
      <c r="A43" s="22" t="s">
        <v>43</v>
      </c>
      <c r="B43" s="33" t="s">
        <v>44</v>
      </c>
      <c r="C43" s="51" t="str">
        <f>[41]С2.1!E14</f>
        <v>от 200 до 500</v>
      </c>
    </row>
    <row r="44" spans="1:3" ht="25.5" x14ac:dyDescent="0.2">
      <c r="A44" s="22" t="s">
        <v>45</v>
      </c>
      <c r="B44" s="33" t="s">
        <v>46</v>
      </c>
      <c r="C44" s="52" t="str">
        <f>[41]С2.1!E15</f>
        <v>нет</v>
      </c>
    </row>
    <row r="45" spans="1:3" ht="30" x14ac:dyDescent="0.2">
      <c r="A45" s="22" t="s">
        <v>47</v>
      </c>
      <c r="B45" s="33" t="s">
        <v>48</v>
      </c>
      <c r="C45" s="34">
        <f>[41]С2!F18</f>
        <v>38910.02669467502</v>
      </c>
    </row>
    <row r="46" spans="1:3" ht="30" x14ac:dyDescent="0.2">
      <c r="A46" s="22" t="s">
        <v>49</v>
      </c>
      <c r="B46" s="53" t="s">
        <v>50</v>
      </c>
      <c r="C46" s="34">
        <f>IF([41]С2!F19&gt;0,[41]С2!F19,[41]С2!F20)</f>
        <v>23441.524932855718</v>
      </c>
    </row>
    <row r="47" spans="1:3" ht="25.5" x14ac:dyDescent="0.2">
      <c r="A47" s="22" t="s">
        <v>51</v>
      </c>
      <c r="B47" s="54" t="s">
        <v>52</v>
      </c>
      <c r="C47" s="34">
        <f>[41]С2.1!E19</f>
        <v>-38</v>
      </c>
    </row>
    <row r="48" spans="1:3" ht="25.5" x14ac:dyDescent="0.2">
      <c r="A48" s="22" t="s">
        <v>53</v>
      </c>
      <c r="B48" s="54" t="s">
        <v>54</v>
      </c>
      <c r="C48" s="34" t="str">
        <f>[41]С2.1!E22</f>
        <v>нет</v>
      </c>
    </row>
    <row r="49" spans="1:3" ht="38.25" x14ac:dyDescent="0.2">
      <c r="A49" s="22" t="s">
        <v>55</v>
      </c>
      <c r="B49" s="55" t="s">
        <v>56</v>
      </c>
      <c r="C49" s="34">
        <f>[41]С2.2!E10</f>
        <v>1287</v>
      </c>
    </row>
    <row r="50" spans="1:3" ht="25.5" x14ac:dyDescent="0.2">
      <c r="A50" s="22" t="s">
        <v>57</v>
      </c>
      <c r="B50" s="56" t="s">
        <v>58</v>
      </c>
      <c r="C50" s="34">
        <f>[41]С2.2!E12</f>
        <v>5.97</v>
      </c>
    </row>
    <row r="51" spans="1:3" ht="52.5" x14ac:dyDescent="0.2">
      <c r="A51" s="22" t="s">
        <v>59</v>
      </c>
      <c r="B51" s="57" t="s">
        <v>60</v>
      </c>
      <c r="C51" s="34">
        <f>[41]С2.2!E13</f>
        <v>1</v>
      </c>
    </row>
    <row r="52" spans="1:3" ht="27.75" x14ac:dyDescent="0.2">
      <c r="A52" s="22" t="s">
        <v>61</v>
      </c>
      <c r="B52" s="56" t="s">
        <v>62</v>
      </c>
      <c r="C52" s="34">
        <f>[41]С2.2!E14</f>
        <v>12104</v>
      </c>
    </row>
    <row r="53" spans="1:3" ht="25.5" x14ac:dyDescent="0.2">
      <c r="A53" s="22" t="s">
        <v>63</v>
      </c>
      <c r="B53" s="57" t="s">
        <v>64</v>
      </c>
      <c r="C53" s="35">
        <f>[41]С2.2!E15</f>
        <v>4.8000000000000001E-2</v>
      </c>
    </row>
    <row r="54" spans="1:3" x14ac:dyDescent="0.2">
      <c r="A54" s="22" t="s">
        <v>65</v>
      </c>
      <c r="B54" s="57" t="s">
        <v>66</v>
      </c>
      <c r="C54" s="34">
        <f>[41]С2.2!E16</f>
        <v>1</v>
      </c>
    </row>
    <row r="55" spans="1:3" ht="15.75" x14ac:dyDescent="0.2">
      <c r="A55" s="22" t="s">
        <v>67</v>
      </c>
      <c r="B55" s="58" t="s">
        <v>68</v>
      </c>
      <c r="C55" s="34">
        <f>[41]С2!F21</f>
        <v>1</v>
      </c>
    </row>
    <row r="56" spans="1:3" ht="30" x14ac:dyDescent="0.2">
      <c r="A56" s="59" t="s">
        <v>69</v>
      </c>
      <c r="B56" s="33" t="s">
        <v>70</v>
      </c>
      <c r="C56" s="34">
        <f>[41]С2!F13</f>
        <v>203708.97017230222</v>
      </c>
    </row>
    <row r="57" spans="1:3" ht="30" x14ac:dyDescent="0.2">
      <c r="A57" s="59" t="s">
        <v>71</v>
      </c>
      <c r="B57" s="58" t="s">
        <v>72</v>
      </c>
      <c r="C57" s="34">
        <f>[41]С2!F14</f>
        <v>113455</v>
      </c>
    </row>
    <row r="58" spans="1:3" ht="15.75" x14ac:dyDescent="0.2">
      <c r="A58" s="59" t="s">
        <v>73</v>
      </c>
      <c r="B58" s="60" t="s">
        <v>74</v>
      </c>
      <c r="C58" s="40">
        <f>[41]С2!F15</f>
        <v>1.071</v>
      </c>
    </row>
    <row r="59" spans="1:3" ht="15.75" x14ac:dyDescent="0.2">
      <c r="A59" s="59" t="s">
        <v>75</v>
      </c>
      <c r="B59" s="60" t="s">
        <v>76</v>
      </c>
      <c r="C59" s="40">
        <f>[41]С2!F16</f>
        <v>1</v>
      </c>
    </row>
    <row r="60" spans="1:3" ht="17.25" x14ac:dyDescent="0.2">
      <c r="A60" s="59" t="s">
        <v>77</v>
      </c>
      <c r="B60" s="58" t="s">
        <v>78</v>
      </c>
      <c r="C60" s="34">
        <f>[41]С2!F17</f>
        <v>1.01</v>
      </c>
    </row>
    <row r="61" spans="1:3" s="63" customFormat="1" ht="14.25" x14ac:dyDescent="0.2">
      <c r="A61" s="59" t="s">
        <v>79</v>
      </c>
      <c r="B61" s="61" t="s">
        <v>80</v>
      </c>
      <c r="C61" s="62">
        <f>[41]С2!F33</f>
        <v>10</v>
      </c>
    </row>
    <row r="62" spans="1:3" ht="30" x14ac:dyDescent="0.2">
      <c r="A62" s="59" t="s">
        <v>81</v>
      </c>
      <c r="B62" s="64" t="s">
        <v>82</v>
      </c>
      <c r="C62" s="34">
        <f>[41]С2!F26</f>
        <v>3082.0508637929142</v>
      </c>
    </row>
    <row r="63" spans="1:3" ht="17.25" x14ac:dyDescent="0.2">
      <c r="A63" s="59" t="s">
        <v>83</v>
      </c>
      <c r="B63" s="53" t="s">
        <v>84</v>
      </c>
      <c r="C63" s="34">
        <f>[41]С2!F27</f>
        <v>0.44209422600000003</v>
      </c>
    </row>
    <row r="64" spans="1:3" ht="17.25" x14ac:dyDescent="0.2">
      <c r="A64" s="59" t="s">
        <v>85</v>
      </c>
      <c r="B64" s="58" t="s">
        <v>86</v>
      </c>
      <c r="C64" s="62">
        <f>[41]С2!F28</f>
        <v>4200</v>
      </c>
    </row>
    <row r="65" spans="1:3" ht="42.75" x14ac:dyDescent="0.2">
      <c r="A65" s="59" t="s">
        <v>87</v>
      </c>
      <c r="B65" s="33" t="s">
        <v>88</v>
      </c>
      <c r="C65" s="34">
        <f>[41]С2!F22</f>
        <v>42890.921752741691</v>
      </c>
    </row>
    <row r="66" spans="1:3" ht="30" x14ac:dyDescent="0.2">
      <c r="A66" s="59" t="s">
        <v>89</v>
      </c>
      <c r="B66" s="60" t="s">
        <v>90</v>
      </c>
      <c r="C66" s="34">
        <f>[41]С2!F23</f>
        <v>1990</v>
      </c>
    </row>
    <row r="67" spans="1:3" ht="30" x14ac:dyDescent="0.2">
      <c r="A67" s="59" t="s">
        <v>91</v>
      </c>
      <c r="B67" s="53" t="s">
        <v>92</v>
      </c>
      <c r="C67" s="34">
        <f>[41]С2.1!E27</f>
        <v>14307.876789999998</v>
      </c>
    </row>
    <row r="68" spans="1:3" ht="38.25" x14ac:dyDescent="0.2">
      <c r="A68" s="59" t="s">
        <v>93</v>
      </c>
      <c r="B68" s="65" t="s">
        <v>94</v>
      </c>
      <c r="C68" s="52">
        <f>[41]С2.3!E21</f>
        <v>0</v>
      </c>
    </row>
    <row r="69" spans="1:3" ht="25.5" x14ac:dyDescent="0.2">
      <c r="A69" s="59" t="s">
        <v>95</v>
      </c>
      <c r="B69" s="66" t="s">
        <v>96</v>
      </c>
      <c r="C69" s="67">
        <f>[41]С2.3!E11</f>
        <v>9.89</v>
      </c>
    </row>
    <row r="70" spans="1:3" ht="25.5" x14ac:dyDescent="0.2">
      <c r="A70" s="59" t="s">
        <v>97</v>
      </c>
      <c r="B70" s="66" t="s">
        <v>98</v>
      </c>
      <c r="C70" s="62">
        <f>[41]С2.3!E13</f>
        <v>300</v>
      </c>
    </row>
    <row r="71" spans="1:3" ht="25.5" x14ac:dyDescent="0.2">
      <c r="A71" s="59" t="s">
        <v>99</v>
      </c>
      <c r="B71" s="65" t="s">
        <v>100</v>
      </c>
      <c r="C71" s="68">
        <f>IF([41]С2.3!E22&gt;0,[41]С2.3!E22,[41]С2.3!E14)</f>
        <v>61211</v>
      </c>
    </row>
    <row r="72" spans="1:3" ht="38.25" x14ac:dyDescent="0.2">
      <c r="A72" s="59" t="s">
        <v>101</v>
      </c>
      <c r="B72" s="65" t="s">
        <v>102</v>
      </c>
      <c r="C72" s="68">
        <f>IF([41]С2.3!E23&gt;0,[41]С2.3!E23,[41]С2.3!E15)</f>
        <v>45675</v>
      </c>
    </row>
    <row r="73" spans="1:3" ht="30" x14ac:dyDescent="0.2">
      <c r="A73" s="59" t="s">
        <v>103</v>
      </c>
      <c r="B73" s="53" t="s">
        <v>104</v>
      </c>
      <c r="C73" s="34">
        <f>[41]С2.1!E28</f>
        <v>9541.9567200000001</v>
      </c>
    </row>
    <row r="74" spans="1:3" ht="38.25" x14ac:dyDescent="0.2">
      <c r="A74" s="59" t="s">
        <v>105</v>
      </c>
      <c r="B74" s="65" t="s">
        <v>106</v>
      </c>
      <c r="C74" s="52">
        <f>[41]С2.3!E25</f>
        <v>0</v>
      </c>
    </row>
    <row r="75" spans="1:3" ht="25.5" x14ac:dyDescent="0.2">
      <c r="A75" s="59" t="s">
        <v>107</v>
      </c>
      <c r="B75" s="66" t="s">
        <v>108</v>
      </c>
      <c r="C75" s="67">
        <f>[41]С2.3!E12</f>
        <v>0.56000000000000005</v>
      </c>
    </row>
    <row r="76" spans="1:3" ht="25.5" x14ac:dyDescent="0.2">
      <c r="A76" s="59" t="s">
        <v>109</v>
      </c>
      <c r="B76" s="66" t="s">
        <v>98</v>
      </c>
      <c r="C76" s="62">
        <f>[41]С2.3!E13</f>
        <v>300</v>
      </c>
    </row>
    <row r="77" spans="1:3" ht="25.5" x14ac:dyDescent="0.2">
      <c r="A77" s="59" t="s">
        <v>110</v>
      </c>
      <c r="B77" s="69" t="s">
        <v>111</v>
      </c>
      <c r="C77" s="68">
        <f>IF([41]С2.3!E26&gt;0,[41]С2.3!E26,[41]С2.3!E16)</f>
        <v>65637</v>
      </c>
    </row>
    <row r="78" spans="1:3" ht="38.25" x14ac:dyDescent="0.2">
      <c r="A78" s="59" t="s">
        <v>112</v>
      </c>
      <c r="B78" s="69" t="s">
        <v>113</v>
      </c>
      <c r="C78" s="68">
        <f>IF([41]С2.3!E27&gt;0,[41]С2.3!E27,[41]С2.3!E17)</f>
        <v>31684</v>
      </c>
    </row>
    <row r="79" spans="1:3" ht="17.25" x14ac:dyDescent="0.2">
      <c r="A79" s="59" t="s">
        <v>114</v>
      </c>
      <c r="B79" s="33" t="s">
        <v>115</v>
      </c>
      <c r="C79" s="35">
        <f>[41]С2!F29</f>
        <v>0.17804631770487722</v>
      </c>
    </row>
    <row r="80" spans="1:3" ht="30" x14ac:dyDescent="0.2">
      <c r="A80" s="59" t="s">
        <v>116</v>
      </c>
      <c r="B80" s="53" t="s">
        <v>117</v>
      </c>
      <c r="C80" s="70">
        <f>[41]С2!F30</f>
        <v>0.1652189781021898</v>
      </c>
    </row>
    <row r="81" spans="1:3" ht="17.25" x14ac:dyDescent="0.2">
      <c r="A81" s="59" t="s">
        <v>118</v>
      </c>
      <c r="B81" s="71" t="s">
        <v>119</v>
      </c>
      <c r="C81" s="35">
        <f>[41]С2!F31</f>
        <v>0.13880000000000001</v>
      </c>
    </row>
    <row r="82" spans="1:3" s="63" customFormat="1" ht="18" thickBot="1" x14ac:dyDescent="0.25">
      <c r="A82" s="72" t="s">
        <v>120</v>
      </c>
      <c r="B82" s="73" t="s">
        <v>121</v>
      </c>
      <c r="C82" s="74">
        <f>[41]С2!F32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[41]С3!F14</f>
        <v>14912.207299372252</v>
      </c>
    </row>
    <row r="86" spans="1:3" s="63" customFormat="1" ht="42.75" x14ac:dyDescent="0.2">
      <c r="A86" s="77" t="s">
        <v>126</v>
      </c>
      <c r="B86" s="53" t="s">
        <v>127</v>
      </c>
      <c r="C86" s="78">
        <f>[41]С3!F15</f>
        <v>0.25</v>
      </c>
    </row>
    <row r="87" spans="1:3" s="63" customFormat="1" ht="14.25" x14ac:dyDescent="0.2">
      <c r="A87" s="77" t="s">
        <v>128</v>
      </c>
      <c r="B87" s="79" t="s">
        <v>129</v>
      </c>
      <c r="C87" s="62">
        <f>[41]С3!F18</f>
        <v>15</v>
      </c>
    </row>
    <row r="88" spans="1:3" s="63" customFormat="1" ht="17.25" x14ac:dyDescent="0.2">
      <c r="A88" s="77" t="s">
        <v>130</v>
      </c>
      <c r="B88" s="33" t="s">
        <v>131</v>
      </c>
      <c r="C88" s="34">
        <f>[41]С3!F19</f>
        <v>4187.478806422544</v>
      </c>
    </row>
    <row r="89" spans="1:3" s="63" customFormat="1" ht="55.5" x14ac:dyDescent="0.2">
      <c r="A89" s="77" t="s">
        <v>132</v>
      </c>
      <c r="B89" s="53" t="s">
        <v>133</v>
      </c>
      <c r="C89" s="80">
        <f>[41]С3!F20</f>
        <v>2.1999999999999999E-2</v>
      </c>
    </row>
    <row r="90" spans="1:3" s="63" customFormat="1" ht="14.25" x14ac:dyDescent="0.2">
      <c r="A90" s="77" t="s">
        <v>134</v>
      </c>
      <c r="B90" s="58" t="s">
        <v>80</v>
      </c>
      <c r="C90" s="62">
        <f>[41]С3!F21</f>
        <v>10</v>
      </c>
    </row>
    <row r="91" spans="1:3" s="63" customFormat="1" ht="17.25" x14ac:dyDescent="0.2">
      <c r="A91" s="77" t="s">
        <v>135</v>
      </c>
      <c r="B91" s="33" t="s">
        <v>136</v>
      </c>
      <c r="C91" s="34">
        <f>[41]С3!F22</f>
        <v>9.2461525913787437</v>
      </c>
    </row>
    <row r="92" spans="1:3" s="63" customFormat="1" ht="55.5" x14ac:dyDescent="0.2">
      <c r="A92" s="77" t="s">
        <v>137</v>
      </c>
      <c r="B92" s="53" t="s">
        <v>138</v>
      </c>
      <c r="C92" s="80">
        <f>[41]С3!F23</f>
        <v>3.0000000000000001E-3</v>
      </c>
    </row>
    <row r="93" spans="1:3" s="63" customFormat="1" ht="27.75" thickBot="1" x14ac:dyDescent="0.25">
      <c r="A93" s="81" t="s">
        <v>139</v>
      </c>
      <c r="B93" s="82" t="s">
        <v>140</v>
      </c>
      <c r="C93" s="83">
        <f>[41]С3!F24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[41]С4!F16</f>
        <v>1652.5</v>
      </c>
    </row>
    <row r="97" spans="1:3" ht="30" x14ac:dyDescent="0.2">
      <c r="A97" s="59" t="s">
        <v>145</v>
      </c>
      <c r="B97" s="58" t="s">
        <v>146</v>
      </c>
      <c r="C97" s="34">
        <f>[41]С4!F17</f>
        <v>73547</v>
      </c>
    </row>
    <row r="98" spans="1:3" ht="17.25" x14ac:dyDescent="0.2">
      <c r="A98" s="59" t="s">
        <v>147</v>
      </c>
      <c r="B98" s="58" t="s">
        <v>148</v>
      </c>
      <c r="C98" s="40">
        <f>[41]С4!F18</f>
        <v>0.02</v>
      </c>
    </row>
    <row r="99" spans="1:3" ht="30" x14ac:dyDescent="0.2">
      <c r="A99" s="59" t="s">
        <v>149</v>
      </c>
      <c r="B99" s="58" t="s">
        <v>150</v>
      </c>
      <c r="C99" s="34">
        <f>[41]С4!F19</f>
        <v>12104</v>
      </c>
    </row>
    <row r="100" spans="1:3" ht="31.5" x14ac:dyDescent="0.2">
      <c r="A100" s="59" t="s">
        <v>151</v>
      </c>
      <c r="B100" s="58" t="s">
        <v>152</v>
      </c>
      <c r="C100" s="40">
        <f>[41]С4!F20</f>
        <v>1.4999999999999999E-2</v>
      </c>
    </row>
    <row r="101" spans="1:3" ht="30" x14ac:dyDescent="0.2">
      <c r="A101" s="59" t="s">
        <v>153</v>
      </c>
      <c r="B101" s="33" t="s">
        <v>154</v>
      </c>
      <c r="C101" s="34">
        <f>[41]С4!F21</f>
        <v>1933.1949342509995</v>
      </c>
    </row>
    <row r="102" spans="1:3" ht="24" customHeight="1" x14ac:dyDescent="0.2">
      <c r="A102" s="59" t="s">
        <v>155</v>
      </c>
      <c r="B102" s="53" t="s">
        <v>156</v>
      </c>
      <c r="C102" s="85">
        <f>IF([41]С4.2!F8="да",[41]С4.2!D21,[41]С4.2!D15)</f>
        <v>0</v>
      </c>
    </row>
    <row r="103" spans="1:3" ht="68.25" x14ac:dyDescent="0.2">
      <c r="A103" s="59" t="s">
        <v>157</v>
      </c>
      <c r="B103" s="53" t="s">
        <v>158</v>
      </c>
      <c r="C103" s="34">
        <f>[41]С4!F22</f>
        <v>3.6112641666666665</v>
      </c>
    </row>
    <row r="104" spans="1:3" ht="30" x14ac:dyDescent="0.2">
      <c r="A104" s="59" t="s">
        <v>159</v>
      </c>
      <c r="B104" s="58" t="s">
        <v>160</v>
      </c>
      <c r="C104" s="34">
        <f>[41]С4!F23</f>
        <v>180</v>
      </c>
    </row>
    <row r="105" spans="1:3" ht="14.25" x14ac:dyDescent="0.2">
      <c r="A105" s="59" t="s">
        <v>161</v>
      </c>
      <c r="B105" s="53" t="s">
        <v>162</v>
      </c>
      <c r="C105" s="34">
        <f>[41]С4!F24</f>
        <v>8497.1999999999989</v>
      </c>
    </row>
    <row r="106" spans="1:3" ht="14.25" x14ac:dyDescent="0.2">
      <c r="A106" s="59" t="s">
        <v>163</v>
      </c>
      <c r="B106" s="58" t="s">
        <v>164</v>
      </c>
      <c r="C106" s="40">
        <f>[41]С4!F25</f>
        <v>0.35</v>
      </c>
    </row>
    <row r="107" spans="1:3" ht="17.25" x14ac:dyDescent="0.2">
      <c r="A107" s="59" t="s">
        <v>165</v>
      </c>
      <c r="B107" s="33" t="s">
        <v>166</v>
      </c>
      <c r="C107" s="34">
        <f>[41]С4!F26</f>
        <v>99.678690000000003</v>
      </c>
    </row>
    <row r="108" spans="1:3" ht="25.5" x14ac:dyDescent="0.2">
      <c r="A108" s="59" t="s">
        <v>167</v>
      </c>
      <c r="B108" s="53" t="s">
        <v>94</v>
      </c>
      <c r="C108" s="85">
        <f>[41]С4.3!E16</f>
        <v>0</v>
      </c>
    </row>
    <row r="109" spans="1:3" ht="25.5" x14ac:dyDescent="0.2">
      <c r="A109" s="59" t="s">
        <v>168</v>
      </c>
      <c r="B109" s="53" t="s">
        <v>169</v>
      </c>
      <c r="C109" s="34">
        <f>[41]С4.3!E17</f>
        <v>26.63</v>
      </c>
    </row>
    <row r="110" spans="1:3" ht="38.25" x14ac:dyDescent="0.2">
      <c r="A110" s="59" t="s">
        <v>170</v>
      </c>
      <c r="B110" s="53" t="s">
        <v>106</v>
      </c>
      <c r="C110" s="85">
        <f>[41]С4.3!E18</f>
        <v>0</v>
      </c>
    </row>
    <row r="111" spans="1:3" x14ac:dyDescent="0.2">
      <c r="A111" s="59" t="s">
        <v>171</v>
      </c>
      <c r="B111" s="53" t="s">
        <v>172</v>
      </c>
      <c r="C111" s="34">
        <f>[41]С4.3!E19</f>
        <v>30.82</v>
      </c>
    </row>
    <row r="112" spans="1:3" x14ac:dyDescent="0.2">
      <c r="A112" s="59" t="s">
        <v>173</v>
      </c>
      <c r="B112" s="58" t="s">
        <v>174</v>
      </c>
      <c r="C112" s="34">
        <f>[41]С4.3!E11</f>
        <v>1871</v>
      </c>
    </row>
    <row r="113" spans="1:3" x14ac:dyDescent="0.2">
      <c r="A113" s="59" t="s">
        <v>175</v>
      </c>
      <c r="B113" s="58" t="s">
        <v>176</v>
      </c>
      <c r="C113" s="52">
        <f>[41]С4.3!E12</f>
        <v>1636</v>
      </c>
    </row>
    <row r="114" spans="1:3" x14ac:dyDescent="0.2">
      <c r="A114" s="59" t="s">
        <v>177</v>
      </c>
      <c r="B114" s="58" t="s">
        <v>178</v>
      </c>
      <c r="C114" s="52">
        <f>[41]С4.3!E13</f>
        <v>204</v>
      </c>
    </row>
    <row r="115" spans="1:3" ht="30" x14ac:dyDescent="0.2">
      <c r="A115" s="59" t="s">
        <v>179</v>
      </c>
      <c r="B115" s="33" t="s">
        <v>180</v>
      </c>
      <c r="C115" s="34">
        <f>[41]С4!F27</f>
        <v>1291.2863994686898</v>
      </c>
    </row>
    <row r="116" spans="1:3" ht="25.5" x14ac:dyDescent="0.2">
      <c r="A116" s="59" t="s">
        <v>181</v>
      </c>
      <c r="B116" s="53" t="s">
        <v>182</v>
      </c>
      <c r="C116" s="34">
        <f>[41]С4!F28</f>
        <v>991.77142816335618</v>
      </c>
    </row>
    <row r="117" spans="1:3" ht="42.75" x14ac:dyDescent="0.2">
      <c r="A117" s="59" t="s">
        <v>183</v>
      </c>
      <c r="B117" s="53" t="s">
        <v>184</v>
      </c>
      <c r="C117" s="34">
        <f>[41]С4!F29</f>
        <v>299.51497130533357</v>
      </c>
    </row>
    <row r="118" spans="1:3" ht="30" x14ac:dyDescent="0.2">
      <c r="A118" s="59" t="s">
        <v>185</v>
      </c>
      <c r="B118" s="39" t="s">
        <v>186</v>
      </c>
      <c r="C118" s="34">
        <f>[41]С4!F30</f>
        <v>2753.5378238097428</v>
      </c>
    </row>
    <row r="119" spans="1:3" ht="42.75" x14ac:dyDescent="0.2">
      <c r="A119" s="59" t="s">
        <v>187</v>
      </c>
      <c r="B119" s="86" t="s">
        <v>188</v>
      </c>
      <c r="C119" s="34">
        <f>[41]С4!F33</f>
        <v>1545.5024646063591</v>
      </c>
    </row>
    <row r="120" spans="1:3" ht="30" x14ac:dyDescent="0.2">
      <c r="A120" s="59" t="s">
        <v>189</v>
      </c>
      <c r="B120" s="87" t="s">
        <v>190</v>
      </c>
      <c r="C120" s="34">
        <f>[41]С4!F35</f>
        <v>17.040680999999999</v>
      </c>
    </row>
    <row r="121" spans="1:3" ht="14.25" x14ac:dyDescent="0.2">
      <c r="A121" s="59" t="s">
        <v>191</v>
      </c>
      <c r="B121" s="56" t="s">
        <v>192</v>
      </c>
      <c r="C121" s="34">
        <f>[41]С4!F36</f>
        <v>14319.9</v>
      </c>
    </row>
    <row r="122" spans="1:3" ht="28.5" thickBot="1" x14ac:dyDescent="0.25">
      <c r="A122" s="72" t="s">
        <v>193</v>
      </c>
      <c r="B122" s="88" t="s">
        <v>194</v>
      </c>
      <c r="C122" s="83">
        <f>[41]С4!F37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[41]С5!F17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[41]С2!F37</f>
        <v>20.818139999999996</v>
      </c>
    </row>
    <row r="136" spans="1:3" ht="14.25" x14ac:dyDescent="0.2">
      <c r="A136" s="59" t="s">
        <v>216</v>
      </c>
      <c r="B136" s="101" t="s">
        <v>217</v>
      </c>
      <c r="C136" s="34">
        <f>[41]С2!F38</f>
        <v>7</v>
      </c>
    </row>
    <row r="137" spans="1:3" ht="17.25" x14ac:dyDescent="0.2">
      <c r="A137" s="59" t="s">
        <v>218</v>
      </c>
      <c r="B137" s="101" t="s">
        <v>219</v>
      </c>
      <c r="C137" s="34">
        <f>[41]С2!F40</f>
        <v>0.97</v>
      </c>
    </row>
    <row r="138" spans="1:3" ht="15" thickBot="1" x14ac:dyDescent="0.25">
      <c r="A138" s="72" t="s">
        <v>220</v>
      </c>
      <c r="B138" s="102" t="s">
        <v>221</v>
      </c>
      <c r="C138" s="46">
        <f>[41]С2!F42</f>
        <v>0.35</v>
      </c>
    </row>
    <row r="139" spans="1:3" s="89" customFormat="1" ht="13.5" thickBot="1" x14ac:dyDescent="0.25">
      <c r="A139" s="47"/>
      <c r="B139" s="75"/>
      <c r="C139" s="15"/>
    </row>
    <row r="140" spans="1:3" ht="30" x14ac:dyDescent="0.2">
      <c r="A140" s="84" t="s">
        <v>222</v>
      </c>
      <c r="B140" s="103" t="s">
        <v>223</v>
      </c>
      <c r="C140" s="104">
        <f>[41]С2!F35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[41]С2.5!$E$11</f>
        <v>-2.9000000000000026E-2</v>
      </c>
    </row>
    <row r="144" spans="1:3" x14ac:dyDescent="0.2">
      <c r="A144" s="105"/>
      <c r="B144" s="110">
        <f>B143+1</f>
        <v>2021</v>
      </c>
      <c r="C144" s="111">
        <f>[41]С2.5!$F$11</f>
        <v>0.245</v>
      </c>
    </row>
    <row r="145" spans="1:3" x14ac:dyDescent="0.2">
      <c r="A145" s="105"/>
      <c r="B145" s="110">
        <f t="shared" ref="B145:B208" si="0">B144+1</f>
        <v>2022</v>
      </c>
      <c r="C145" s="111">
        <f>[41]С2.5!$G$11</f>
        <v>0.114</v>
      </c>
    </row>
    <row r="146" spans="1:3" ht="13.5" thickBot="1" x14ac:dyDescent="0.25">
      <c r="A146" s="105"/>
      <c r="B146" s="112">
        <f t="shared" si="0"/>
        <v>2023</v>
      </c>
      <c r="C146" s="113">
        <f>[41]С2.5!$H$11</f>
        <v>0.04</v>
      </c>
    </row>
    <row r="147" spans="1:3" x14ac:dyDescent="0.2">
      <c r="A147" s="105"/>
      <c r="B147" s="114">
        <f t="shared" si="0"/>
        <v>2024</v>
      </c>
      <c r="C147" s="115">
        <f>[41]С2.5!$I$11</f>
        <v>0.11700000000000001</v>
      </c>
    </row>
    <row r="148" spans="1:3" x14ac:dyDescent="0.2">
      <c r="A148" s="105"/>
      <c r="B148" s="110">
        <f t="shared" si="0"/>
        <v>2025</v>
      </c>
      <c r="C148" s="111">
        <f>[41]С2.5!$J$11</f>
        <v>6.0999999999999999E-2</v>
      </c>
    </row>
    <row r="149" spans="1:3" hidden="1" x14ac:dyDescent="0.2">
      <c r="A149" s="105"/>
      <c r="B149" s="110">
        <f t="shared" si="0"/>
        <v>2026</v>
      </c>
      <c r="C149" s="111">
        <f>[41]С2.5!$K$11</f>
        <v>3.5813361771260002E-2</v>
      </c>
    </row>
    <row r="150" spans="1:3" hidden="1" x14ac:dyDescent="0.2">
      <c r="A150" s="105"/>
      <c r="B150" s="110">
        <f t="shared" si="0"/>
        <v>2027</v>
      </c>
      <c r="C150" s="111">
        <f>[41]С2.5!$L$11</f>
        <v>3.2682303599220003E-2</v>
      </c>
    </row>
    <row r="151" spans="1:3" hidden="1" x14ac:dyDescent="0.2">
      <c r="A151" s="105"/>
      <c r="B151" s="110">
        <f t="shared" si="0"/>
        <v>2028</v>
      </c>
      <c r="C151" s="111">
        <f>[41]С2.5!$M$11</f>
        <v>0</v>
      </c>
    </row>
    <row r="152" spans="1:3" hidden="1" x14ac:dyDescent="0.2">
      <c r="A152" s="105"/>
      <c r="B152" s="110">
        <f t="shared" si="0"/>
        <v>2029</v>
      </c>
      <c r="C152" s="111">
        <f>[41]С2.5!$N$11</f>
        <v>0</v>
      </c>
    </row>
    <row r="153" spans="1:3" hidden="1" x14ac:dyDescent="0.2">
      <c r="A153" s="105"/>
      <c r="B153" s="110">
        <f t="shared" si="0"/>
        <v>2030</v>
      </c>
      <c r="C153" s="111">
        <f>[41]С2.5!$O$11</f>
        <v>0</v>
      </c>
    </row>
    <row r="154" spans="1:3" hidden="1" x14ac:dyDescent="0.2">
      <c r="A154" s="105"/>
      <c r="B154" s="110">
        <f t="shared" si="0"/>
        <v>2031</v>
      </c>
      <c r="C154" s="111">
        <f>[41]С2.5!$P$11</f>
        <v>0</v>
      </c>
    </row>
    <row r="155" spans="1:3" hidden="1" x14ac:dyDescent="0.2">
      <c r="A155" s="89"/>
      <c r="B155" s="110">
        <f t="shared" si="0"/>
        <v>2032</v>
      </c>
      <c r="C155" s="111">
        <f>[41]С2.5!$Q$11</f>
        <v>0</v>
      </c>
    </row>
    <row r="156" spans="1:3" hidden="1" x14ac:dyDescent="0.2">
      <c r="A156" s="89"/>
      <c r="B156" s="110">
        <f t="shared" si="0"/>
        <v>2033</v>
      </c>
      <c r="C156" s="111">
        <f>[41]С2.5!$R$11</f>
        <v>0</v>
      </c>
    </row>
    <row r="157" spans="1:3" hidden="1" x14ac:dyDescent="0.2">
      <c r="B157" s="110">
        <f t="shared" si="0"/>
        <v>2034</v>
      </c>
      <c r="C157" s="111">
        <f>[41]С2.5!$S$11</f>
        <v>0</v>
      </c>
    </row>
    <row r="158" spans="1:3" hidden="1" x14ac:dyDescent="0.2">
      <c r="B158" s="110">
        <f t="shared" si="0"/>
        <v>2035</v>
      </c>
      <c r="C158" s="111">
        <f>[41]С2.5!$T$11</f>
        <v>0</v>
      </c>
    </row>
    <row r="159" spans="1:3" hidden="1" x14ac:dyDescent="0.2">
      <c r="B159" s="110">
        <f t="shared" si="0"/>
        <v>2036</v>
      </c>
      <c r="C159" s="111">
        <f>[41]С2.5!$U$11</f>
        <v>0</v>
      </c>
    </row>
    <row r="160" spans="1:3" hidden="1" x14ac:dyDescent="0.2">
      <c r="B160" s="110">
        <f t="shared" si="0"/>
        <v>2037</v>
      </c>
      <c r="C160" s="111">
        <f>[41]С2.5!$V$11</f>
        <v>0</v>
      </c>
    </row>
    <row r="161" spans="2:3" hidden="1" x14ac:dyDescent="0.2">
      <c r="B161" s="110">
        <f t="shared" si="0"/>
        <v>2038</v>
      </c>
      <c r="C161" s="111">
        <f>[41]С2.5!$W$11</f>
        <v>0</v>
      </c>
    </row>
    <row r="162" spans="2:3" hidden="1" x14ac:dyDescent="0.2">
      <c r="B162" s="110">
        <f t="shared" si="0"/>
        <v>2039</v>
      </c>
      <c r="C162" s="111">
        <f>[41]С2.5!$X$11</f>
        <v>0</v>
      </c>
    </row>
    <row r="163" spans="2:3" hidden="1" x14ac:dyDescent="0.2">
      <c r="B163" s="110">
        <f t="shared" si="0"/>
        <v>2040</v>
      </c>
      <c r="C163" s="111">
        <f>[41]С2.5!$Y$11</f>
        <v>0</v>
      </c>
    </row>
    <row r="164" spans="2:3" hidden="1" x14ac:dyDescent="0.2">
      <c r="B164" s="110">
        <f t="shared" si="0"/>
        <v>2041</v>
      </c>
      <c r="C164" s="111">
        <f>[41]С2.5!$Z$11</f>
        <v>0</v>
      </c>
    </row>
    <row r="165" spans="2:3" hidden="1" x14ac:dyDescent="0.2">
      <c r="B165" s="110">
        <f t="shared" si="0"/>
        <v>2042</v>
      </c>
      <c r="C165" s="111">
        <f>[41]С2.5!$AA$11</f>
        <v>0</v>
      </c>
    </row>
    <row r="166" spans="2:3" hidden="1" x14ac:dyDescent="0.2">
      <c r="B166" s="110">
        <f t="shared" si="0"/>
        <v>2043</v>
      </c>
      <c r="C166" s="111">
        <f>[41]С2.5!$AB$11</f>
        <v>0</v>
      </c>
    </row>
    <row r="167" spans="2:3" hidden="1" x14ac:dyDescent="0.2">
      <c r="B167" s="110">
        <f t="shared" si="0"/>
        <v>2044</v>
      </c>
      <c r="C167" s="111">
        <f>[41]С2.5!$AC$11</f>
        <v>0</v>
      </c>
    </row>
    <row r="168" spans="2:3" hidden="1" x14ac:dyDescent="0.2">
      <c r="B168" s="110">
        <f t="shared" si="0"/>
        <v>2045</v>
      </c>
      <c r="C168" s="111">
        <f>[41]С2.5!$AD$11</f>
        <v>0</v>
      </c>
    </row>
    <row r="169" spans="2:3" hidden="1" x14ac:dyDescent="0.2">
      <c r="B169" s="110">
        <f t="shared" si="0"/>
        <v>2046</v>
      </c>
      <c r="C169" s="111">
        <f>[41]С2.5!$AE$11</f>
        <v>0</v>
      </c>
    </row>
    <row r="170" spans="2:3" hidden="1" x14ac:dyDescent="0.2">
      <c r="B170" s="110">
        <f t="shared" si="0"/>
        <v>2047</v>
      </c>
      <c r="C170" s="111">
        <f>[41]С2.5!$AF$11</f>
        <v>0</v>
      </c>
    </row>
    <row r="171" spans="2:3" hidden="1" x14ac:dyDescent="0.2">
      <c r="B171" s="110">
        <f t="shared" si="0"/>
        <v>2048</v>
      </c>
      <c r="C171" s="111">
        <f>[41]С2.5!$AG$11</f>
        <v>0</v>
      </c>
    </row>
    <row r="172" spans="2:3" hidden="1" x14ac:dyDescent="0.2">
      <c r="B172" s="110">
        <f t="shared" si="0"/>
        <v>2049</v>
      </c>
      <c r="C172" s="111">
        <f>[41]С2.5!$AH$11</f>
        <v>0</v>
      </c>
    </row>
    <row r="173" spans="2:3" hidden="1" x14ac:dyDescent="0.2">
      <c r="B173" s="110">
        <f t="shared" si="0"/>
        <v>2050</v>
      </c>
      <c r="C173" s="111">
        <f>[41]С2.5!$AI$11</f>
        <v>0</v>
      </c>
    </row>
    <row r="174" spans="2:3" hidden="1" x14ac:dyDescent="0.2">
      <c r="B174" s="110">
        <f t="shared" si="0"/>
        <v>2051</v>
      </c>
      <c r="C174" s="111">
        <f>[41]С2.5!$AJ$11</f>
        <v>0</v>
      </c>
    </row>
    <row r="175" spans="2:3" hidden="1" x14ac:dyDescent="0.2">
      <c r="B175" s="110">
        <f t="shared" si="0"/>
        <v>2052</v>
      </c>
      <c r="C175" s="111">
        <f>[41]С2.5!$AK$11</f>
        <v>0</v>
      </c>
    </row>
    <row r="176" spans="2:3" hidden="1" x14ac:dyDescent="0.2">
      <c r="B176" s="110">
        <f t="shared" si="0"/>
        <v>2053</v>
      </c>
      <c r="C176" s="111">
        <f>[41]С2.5!$AL$11</f>
        <v>0</v>
      </c>
    </row>
    <row r="177" spans="2:3" hidden="1" x14ac:dyDescent="0.2">
      <c r="B177" s="110">
        <f t="shared" si="0"/>
        <v>2054</v>
      </c>
      <c r="C177" s="111">
        <f>[41]С2.5!$AM$11</f>
        <v>0</v>
      </c>
    </row>
    <row r="178" spans="2:3" hidden="1" x14ac:dyDescent="0.2">
      <c r="B178" s="110">
        <f t="shared" si="0"/>
        <v>2055</v>
      </c>
      <c r="C178" s="111">
        <f>[41]С2.5!$AN$11</f>
        <v>0</v>
      </c>
    </row>
    <row r="179" spans="2:3" hidden="1" x14ac:dyDescent="0.2">
      <c r="B179" s="110">
        <f t="shared" si="0"/>
        <v>2056</v>
      </c>
      <c r="C179" s="111">
        <f>[41]С2.5!$AO$11</f>
        <v>0</v>
      </c>
    </row>
    <row r="180" spans="2:3" hidden="1" x14ac:dyDescent="0.2">
      <c r="B180" s="110">
        <f t="shared" si="0"/>
        <v>2057</v>
      </c>
      <c r="C180" s="111">
        <f>[41]С2.5!$AP$11</f>
        <v>0</v>
      </c>
    </row>
    <row r="181" spans="2:3" hidden="1" x14ac:dyDescent="0.2">
      <c r="B181" s="110">
        <f t="shared" si="0"/>
        <v>2058</v>
      </c>
      <c r="C181" s="111">
        <f>[41]С2.5!$AQ$11</f>
        <v>0</v>
      </c>
    </row>
    <row r="182" spans="2:3" hidden="1" x14ac:dyDescent="0.2">
      <c r="B182" s="110">
        <f t="shared" si="0"/>
        <v>2059</v>
      </c>
      <c r="C182" s="111">
        <f>[41]С2.5!$AR$11</f>
        <v>0</v>
      </c>
    </row>
    <row r="183" spans="2:3" hidden="1" x14ac:dyDescent="0.2">
      <c r="B183" s="110">
        <f t="shared" si="0"/>
        <v>2060</v>
      </c>
      <c r="C183" s="111">
        <f>[41]С2.5!$AS$11</f>
        <v>0</v>
      </c>
    </row>
    <row r="184" spans="2:3" hidden="1" x14ac:dyDescent="0.2">
      <c r="B184" s="110">
        <f t="shared" si="0"/>
        <v>2061</v>
      </c>
      <c r="C184" s="111">
        <f>[41]С2.5!$AT$11</f>
        <v>0</v>
      </c>
    </row>
    <row r="185" spans="2:3" hidden="1" x14ac:dyDescent="0.2">
      <c r="B185" s="110">
        <f t="shared" si="0"/>
        <v>2062</v>
      </c>
      <c r="C185" s="111">
        <f>[41]С2.5!$AU$11</f>
        <v>0</v>
      </c>
    </row>
    <row r="186" spans="2:3" hidden="1" x14ac:dyDescent="0.2">
      <c r="B186" s="110">
        <f t="shared" si="0"/>
        <v>2063</v>
      </c>
      <c r="C186" s="111">
        <f>[41]С2.5!$AV$11</f>
        <v>0</v>
      </c>
    </row>
    <row r="187" spans="2:3" hidden="1" x14ac:dyDescent="0.2">
      <c r="B187" s="110">
        <f t="shared" si="0"/>
        <v>2064</v>
      </c>
      <c r="C187" s="111">
        <f>[41]С2.5!$AW$11</f>
        <v>0</v>
      </c>
    </row>
    <row r="188" spans="2:3" hidden="1" x14ac:dyDescent="0.2">
      <c r="B188" s="110">
        <f t="shared" si="0"/>
        <v>2065</v>
      </c>
      <c r="C188" s="111">
        <f>[41]С2.5!$AX$11</f>
        <v>0</v>
      </c>
    </row>
    <row r="189" spans="2:3" hidden="1" x14ac:dyDescent="0.2">
      <c r="B189" s="110">
        <f t="shared" si="0"/>
        <v>2066</v>
      </c>
      <c r="C189" s="111">
        <f>[41]С2.5!$AY$11</f>
        <v>0</v>
      </c>
    </row>
    <row r="190" spans="2:3" hidden="1" x14ac:dyDescent="0.2">
      <c r="B190" s="110">
        <f t="shared" si="0"/>
        <v>2067</v>
      </c>
      <c r="C190" s="111">
        <f>[41]С2.5!$AZ$11</f>
        <v>0</v>
      </c>
    </row>
    <row r="191" spans="2:3" hidden="1" x14ac:dyDescent="0.2">
      <c r="B191" s="110">
        <f t="shared" si="0"/>
        <v>2068</v>
      </c>
      <c r="C191" s="111">
        <f>[41]С2.5!$BA$11</f>
        <v>0</v>
      </c>
    </row>
    <row r="192" spans="2:3" hidden="1" x14ac:dyDescent="0.2">
      <c r="B192" s="110">
        <f t="shared" si="0"/>
        <v>2069</v>
      </c>
      <c r="C192" s="111">
        <f>[41]С2.5!$BB$11</f>
        <v>0</v>
      </c>
    </row>
    <row r="193" spans="2:3" hidden="1" x14ac:dyDescent="0.2">
      <c r="B193" s="110">
        <f t="shared" si="0"/>
        <v>2070</v>
      </c>
      <c r="C193" s="111">
        <f>[41]С2.5!$BC$11</f>
        <v>0</v>
      </c>
    </row>
    <row r="194" spans="2:3" hidden="1" x14ac:dyDescent="0.2">
      <c r="B194" s="110">
        <f t="shared" si="0"/>
        <v>2071</v>
      </c>
      <c r="C194" s="111">
        <f>[41]С2.5!$BD$11</f>
        <v>0</v>
      </c>
    </row>
    <row r="195" spans="2:3" hidden="1" x14ac:dyDescent="0.2">
      <c r="B195" s="110">
        <f t="shared" si="0"/>
        <v>2072</v>
      </c>
      <c r="C195" s="111">
        <f>[41]С2.5!$BE$11</f>
        <v>0</v>
      </c>
    </row>
    <row r="196" spans="2:3" hidden="1" x14ac:dyDescent="0.2">
      <c r="B196" s="110">
        <f t="shared" si="0"/>
        <v>2073</v>
      </c>
      <c r="C196" s="111">
        <f>[41]С2.5!$BF$11</f>
        <v>0</v>
      </c>
    </row>
    <row r="197" spans="2:3" hidden="1" x14ac:dyDescent="0.2">
      <c r="B197" s="110">
        <f t="shared" si="0"/>
        <v>2074</v>
      </c>
      <c r="C197" s="111">
        <f>[41]С2.5!$BG$11</f>
        <v>0</v>
      </c>
    </row>
    <row r="198" spans="2:3" hidden="1" x14ac:dyDescent="0.2">
      <c r="B198" s="110">
        <f t="shared" si="0"/>
        <v>2075</v>
      </c>
      <c r="C198" s="111">
        <f>[41]С2.5!$BH$11</f>
        <v>0</v>
      </c>
    </row>
    <row r="199" spans="2:3" hidden="1" x14ac:dyDescent="0.2">
      <c r="B199" s="110">
        <f t="shared" si="0"/>
        <v>2076</v>
      </c>
      <c r="C199" s="111">
        <f>[41]С2.5!$BI$11</f>
        <v>0</v>
      </c>
    </row>
    <row r="200" spans="2:3" hidden="1" x14ac:dyDescent="0.2">
      <c r="B200" s="110">
        <f t="shared" si="0"/>
        <v>2077</v>
      </c>
      <c r="C200" s="111">
        <f>[41]С2.5!$BJ$11</f>
        <v>0</v>
      </c>
    </row>
    <row r="201" spans="2:3" hidden="1" x14ac:dyDescent="0.2">
      <c r="B201" s="110">
        <f t="shared" si="0"/>
        <v>2078</v>
      </c>
      <c r="C201" s="111">
        <f>[41]С2.5!$BK$11</f>
        <v>0</v>
      </c>
    </row>
    <row r="202" spans="2:3" hidden="1" x14ac:dyDescent="0.2">
      <c r="B202" s="110">
        <f t="shared" si="0"/>
        <v>2079</v>
      </c>
      <c r="C202" s="111">
        <f>[41]С2.5!$BL$11</f>
        <v>0</v>
      </c>
    </row>
    <row r="203" spans="2:3" hidden="1" x14ac:dyDescent="0.2">
      <c r="B203" s="110">
        <f t="shared" si="0"/>
        <v>2080</v>
      </c>
      <c r="C203" s="111">
        <f>[41]С2.5!$BM$11</f>
        <v>0</v>
      </c>
    </row>
    <row r="204" spans="2:3" hidden="1" x14ac:dyDescent="0.2">
      <c r="B204" s="110">
        <f t="shared" si="0"/>
        <v>2081</v>
      </c>
      <c r="C204" s="111">
        <f>[41]С2.5!$BN$11</f>
        <v>0</v>
      </c>
    </row>
    <row r="205" spans="2:3" hidden="1" x14ac:dyDescent="0.2">
      <c r="B205" s="110">
        <f t="shared" si="0"/>
        <v>2082</v>
      </c>
      <c r="C205" s="111">
        <f>[41]С2.5!$BO$11</f>
        <v>0</v>
      </c>
    </row>
    <row r="206" spans="2:3" hidden="1" x14ac:dyDescent="0.2">
      <c r="B206" s="110">
        <f t="shared" si="0"/>
        <v>2083</v>
      </c>
      <c r="C206" s="111">
        <f>[41]С2.5!$BP$11</f>
        <v>0</v>
      </c>
    </row>
    <row r="207" spans="2:3" hidden="1" x14ac:dyDescent="0.2">
      <c r="B207" s="110">
        <f t="shared" si="0"/>
        <v>2084</v>
      </c>
      <c r="C207" s="111">
        <f>[41]С2.5!$BQ$11</f>
        <v>0</v>
      </c>
    </row>
    <row r="208" spans="2:3" hidden="1" x14ac:dyDescent="0.2">
      <c r="B208" s="110">
        <f t="shared" si="0"/>
        <v>2085</v>
      </c>
      <c r="C208" s="111">
        <f>[41]С2.5!$BR$11</f>
        <v>0</v>
      </c>
    </row>
    <row r="209" spans="2:3" hidden="1" x14ac:dyDescent="0.2">
      <c r="B209" s="110">
        <f t="shared" ref="B209:B223" si="1">B208+1</f>
        <v>2086</v>
      </c>
      <c r="C209" s="111">
        <f>[41]С2.5!$BS$11</f>
        <v>0</v>
      </c>
    </row>
    <row r="210" spans="2:3" hidden="1" x14ac:dyDescent="0.2">
      <c r="B210" s="110">
        <f t="shared" si="1"/>
        <v>2087</v>
      </c>
      <c r="C210" s="111">
        <f>[41]С2.5!$BT$11</f>
        <v>0</v>
      </c>
    </row>
    <row r="211" spans="2:3" hidden="1" x14ac:dyDescent="0.2">
      <c r="B211" s="110">
        <f t="shared" si="1"/>
        <v>2088</v>
      </c>
      <c r="C211" s="111">
        <f>[41]С2.5!$BU$11</f>
        <v>0</v>
      </c>
    </row>
    <row r="212" spans="2:3" hidden="1" x14ac:dyDescent="0.2">
      <c r="B212" s="110">
        <f t="shared" si="1"/>
        <v>2089</v>
      </c>
      <c r="C212" s="111">
        <f>[41]С2.5!$BV$11</f>
        <v>0</v>
      </c>
    </row>
    <row r="213" spans="2:3" hidden="1" x14ac:dyDescent="0.2">
      <c r="B213" s="110">
        <f t="shared" si="1"/>
        <v>2090</v>
      </c>
      <c r="C213" s="111">
        <f>[41]С2.5!$BW$11</f>
        <v>0</v>
      </c>
    </row>
    <row r="214" spans="2:3" hidden="1" x14ac:dyDescent="0.2">
      <c r="B214" s="110">
        <f t="shared" si="1"/>
        <v>2091</v>
      </c>
      <c r="C214" s="111">
        <f>[41]С2.5!$BX$11</f>
        <v>0</v>
      </c>
    </row>
    <row r="215" spans="2:3" hidden="1" x14ac:dyDescent="0.2">
      <c r="B215" s="110">
        <f t="shared" si="1"/>
        <v>2092</v>
      </c>
      <c r="C215" s="111">
        <f>[41]С2.5!$BY$11</f>
        <v>0</v>
      </c>
    </row>
    <row r="216" spans="2:3" hidden="1" x14ac:dyDescent="0.2">
      <c r="B216" s="110">
        <f t="shared" si="1"/>
        <v>2093</v>
      </c>
      <c r="C216" s="111">
        <f>[41]С2.5!$BZ$11</f>
        <v>0</v>
      </c>
    </row>
    <row r="217" spans="2:3" hidden="1" x14ac:dyDescent="0.2">
      <c r="B217" s="110">
        <f t="shared" si="1"/>
        <v>2094</v>
      </c>
      <c r="C217" s="111">
        <f>[41]С2.5!$CA$11</f>
        <v>0</v>
      </c>
    </row>
    <row r="218" spans="2:3" hidden="1" x14ac:dyDescent="0.2">
      <c r="B218" s="110">
        <f t="shared" si="1"/>
        <v>2095</v>
      </c>
      <c r="C218" s="111">
        <f>[41]С2.5!$CB$11</f>
        <v>0</v>
      </c>
    </row>
    <row r="219" spans="2:3" hidden="1" x14ac:dyDescent="0.2">
      <c r="B219" s="110">
        <f t="shared" si="1"/>
        <v>2096</v>
      </c>
      <c r="C219" s="111">
        <f>[41]С2.5!$CC$11</f>
        <v>0</v>
      </c>
    </row>
    <row r="220" spans="2:3" hidden="1" x14ac:dyDescent="0.2">
      <c r="B220" s="110">
        <f t="shared" si="1"/>
        <v>2097</v>
      </c>
      <c r="C220" s="111">
        <f>[41]С2.5!$CD$11</f>
        <v>0</v>
      </c>
    </row>
    <row r="221" spans="2:3" hidden="1" x14ac:dyDescent="0.2">
      <c r="B221" s="110">
        <f t="shared" si="1"/>
        <v>2098</v>
      </c>
      <c r="C221" s="111">
        <f>[41]С2.5!$CE$11</f>
        <v>0</v>
      </c>
    </row>
    <row r="222" spans="2:3" hidden="1" x14ac:dyDescent="0.2">
      <c r="B222" s="110">
        <f t="shared" si="1"/>
        <v>2099</v>
      </c>
      <c r="C222" s="111">
        <f>[41]С2.5!$CF$11</f>
        <v>0</v>
      </c>
    </row>
    <row r="223" spans="2:3" ht="13.5" hidden="1" thickBot="1" x14ac:dyDescent="0.25">
      <c r="B223" s="112">
        <f t="shared" si="1"/>
        <v>2100</v>
      </c>
      <c r="C223" s="113">
        <f>[41]С2.5!$CG$11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3" sqref="B3"/>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[42]И1!D13</f>
        <v>Субъект Российской Федерации</v>
      </c>
      <c r="C4" s="10" t="str">
        <f>[42]И1!E13</f>
        <v>Новосибирская область</v>
      </c>
    </row>
    <row r="5" spans="1:3" ht="46.9" customHeight="1" x14ac:dyDescent="0.2">
      <c r="A5" s="8"/>
      <c r="B5" s="9" t="str">
        <f>[42]И1!D14</f>
        <v>Тип муниципального образования (выберите из списка)</v>
      </c>
      <c r="C5" s="10" t="str">
        <f>[42]И1!E14</f>
        <v>село Усть-Чем, Искитимский муниципальный район</v>
      </c>
    </row>
    <row r="6" spans="1:3" x14ac:dyDescent="0.2">
      <c r="A6" s="8"/>
      <c r="B6" s="9" t="str">
        <f>IF([42]И1!E15="","",[42]И1!D15)</f>
        <v/>
      </c>
      <c r="C6" s="10" t="str">
        <f>IF([42]И1!E15="","",[42]И1!E15)</f>
        <v/>
      </c>
    </row>
    <row r="7" spans="1:3" x14ac:dyDescent="0.2">
      <c r="A7" s="8"/>
      <c r="B7" s="9" t="str">
        <f>[42]И1!D16</f>
        <v>Код ОКТМО</v>
      </c>
      <c r="C7" s="11" t="str">
        <f>[42]И1!E16</f>
        <v xml:space="preserve"> (50615434101)</v>
      </c>
    </row>
    <row r="8" spans="1:3" x14ac:dyDescent="0.2">
      <c r="A8" s="8"/>
      <c r="B8" s="12" t="str">
        <f>[42]И1!D17</f>
        <v>Система теплоснабжения</v>
      </c>
      <c r="C8" s="13">
        <f>[42]И1!E17</f>
        <v>0</v>
      </c>
    </row>
    <row r="9" spans="1:3" x14ac:dyDescent="0.2">
      <c r="A9" s="8"/>
      <c r="B9" s="9" t="str">
        <f>[42]И1!D8</f>
        <v>Период регулирования (i)-й</v>
      </c>
      <c r="C9" s="14">
        <f>[42]И1!E8</f>
        <v>2025</v>
      </c>
    </row>
    <row r="10" spans="1:3" x14ac:dyDescent="0.2">
      <c r="A10" s="8"/>
      <c r="B10" s="9" t="str">
        <f>[42]И1!D9</f>
        <v>Период регулирования (i-1)-й</v>
      </c>
      <c r="C10" s="14">
        <f>[42]И1!E9</f>
        <v>2024</v>
      </c>
    </row>
    <row r="11" spans="1:3" x14ac:dyDescent="0.2">
      <c r="A11" s="8"/>
      <c r="B11" s="9" t="str">
        <f>[42]И1!D10</f>
        <v>Период регулирования (i-2)-й</v>
      </c>
      <c r="C11" s="14">
        <f>[42]И1!E10</f>
        <v>2023</v>
      </c>
    </row>
    <row r="12" spans="1:3" x14ac:dyDescent="0.2">
      <c r="A12" s="8"/>
      <c r="B12" s="9" t="str">
        <f>[42]И1!D11</f>
        <v>Базовый год (б)</v>
      </c>
      <c r="C12" s="14">
        <f>[42]И1!E11</f>
        <v>2019</v>
      </c>
    </row>
    <row r="13" spans="1:3" ht="38.25" x14ac:dyDescent="0.2">
      <c r="A13" s="8"/>
      <c r="B13" s="9" t="str">
        <f>[42]И1!D18</f>
        <v>Вид топлива, использование которого преобладает в системе теплоснабжения</v>
      </c>
      <c r="C13" s="15" t="str">
        <f>[42]С1.1!E13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5570.6088563387466</v>
      </c>
    </row>
    <row r="18" spans="1:3" ht="42.75" x14ac:dyDescent="0.2">
      <c r="A18" s="22" t="s">
        <v>8</v>
      </c>
      <c r="B18" s="25" t="s">
        <v>9</v>
      </c>
      <c r="C18" s="26">
        <f>[42]С1!F12</f>
        <v>958.24669124268542</v>
      </c>
    </row>
    <row r="19" spans="1:3" ht="42.75" x14ac:dyDescent="0.2">
      <c r="A19" s="22" t="s">
        <v>10</v>
      </c>
      <c r="B19" s="25" t="s">
        <v>11</v>
      </c>
      <c r="C19" s="26">
        <f>[42]С2!F12</f>
        <v>3063.2235383547568</v>
      </c>
    </row>
    <row r="20" spans="1:3" ht="30" x14ac:dyDescent="0.2">
      <c r="A20" s="22" t="s">
        <v>12</v>
      </c>
      <c r="B20" s="25" t="s">
        <v>13</v>
      </c>
      <c r="C20" s="26">
        <f>[42]С3!F12</f>
        <v>917.89815316767874</v>
      </c>
    </row>
    <row r="21" spans="1:3" ht="42.75" x14ac:dyDescent="0.2">
      <c r="A21" s="22" t="s">
        <v>14</v>
      </c>
      <c r="B21" s="25" t="s">
        <v>15</v>
      </c>
      <c r="C21" s="26">
        <f>[42]С4!F12</f>
        <v>522.01284893953209</v>
      </c>
    </row>
    <row r="22" spans="1:3" ht="30" x14ac:dyDescent="0.2">
      <c r="A22" s="22" t="s">
        <v>16</v>
      </c>
      <c r="B22" s="25" t="s">
        <v>17</v>
      </c>
      <c r="C22" s="26">
        <f>[42]С5!F12</f>
        <v>109.22762463409306</v>
      </c>
    </row>
    <row r="23" spans="1:3" ht="43.5" thickBot="1" x14ac:dyDescent="0.25">
      <c r="A23" s="27" t="s">
        <v>18</v>
      </c>
      <c r="B23" s="140" t="s">
        <v>19</v>
      </c>
      <c r="C23" s="28" t="str">
        <f>[42]С6!F12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[42]С1.1!E16</f>
        <v>5100</v>
      </c>
    </row>
    <row r="29" spans="1:3" ht="42.75" x14ac:dyDescent="0.2">
      <c r="A29" s="22" t="s">
        <v>10</v>
      </c>
      <c r="B29" s="33" t="s">
        <v>22</v>
      </c>
      <c r="C29" s="34">
        <f>[42]С1.1!E27</f>
        <v>3456.64</v>
      </c>
    </row>
    <row r="30" spans="1:3" ht="17.25" x14ac:dyDescent="0.2">
      <c r="A30" s="22" t="s">
        <v>12</v>
      </c>
      <c r="B30" s="33" t="s">
        <v>23</v>
      </c>
      <c r="C30" s="35">
        <f>[42]С1.1!E19</f>
        <v>1.4E-2</v>
      </c>
    </row>
    <row r="31" spans="1:3" ht="17.25" x14ac:dyDescent="0.2">
      <c r="A31" s="22" t="s">
        <v>14</v>
      </c>
      <c r="B31" s="33" t="s">
        <v>24</v>
      </c>
      <c r="C31" s="35">
        <f>[42]С1.1!E20</f>
        <v>0.04</v>
      </c>
    </row>
    <row r="32" spans="1:3" ht="30" x14ac:dyDescent="0.2">
      <c r="A32" s="22" t="s">
        <v>16</v>
      </c>
      <c r="B32" s="36" t="s">
        <v>25</v>
      </c>
      <c r="C32" s="37">
        <f>[42]С1!F13</f>
        <v>176.4</v>
      </c>
    </row>
    <row r="33" spans="1:3" x14ac:dyDescent="0.2">
      <c r="A33" s="22" t="s">
        <v>18</v>
      </c>
      <c r="B33" s="36" t="s">
        <v>26</v>
      </c>
      <c r="C33" s="38">
        <f>[42]С1!F16</f>
        <v>7000</v>
      </c>
    </row>
    <row r="34" spans="1:3" ht="14.25" x14ac:dyDescent="0.2">
      <c r="A34" s="22" t="s">
        <v>27</v>
      </c>
      <c r="B34" s="39" t="s">
        <v>28</v>
      </c>
      <c r="C34" s="40">
        <f>[42]С1!F17</f>
        <v>0.72857142857142854</v>
      </c>
    </row>
    <row r="35" spans="1:3" ht="15.75" x14ac:dyDescent="0.2">
      <c r="A35" s="41" t="s">
        <v>29</v>
      </c>
      <c r="B35" s="42" t="s">
        <v>30</v>
      </c>
      <c r="C35" s="40">
        <f>[42]С1!F20</f>
        <v>21.588411179999994</v>
      </c>
    </row>
    <row r="36" spans="1:3" ht="15.75" x14ac:dyDescent="0.2">
      <c r="A36" s="41" t="s">
        <v>31</v>
      </c>
      <c r="B36" s="43" t="s">
        <v>32</v>
      </c>
      <c r="C36" s="40">
        <f>[42]С1!F21</f>
        <v>20.818139999999996</v>
      </c>
    </row>
    <row r="37" spans="1:3" ht="14.25" x14ac:dyDescent="0.2">
      <c r="A37" s="41" t="s">
        <v>33</v>
      </c>
      <c r="B37" s="44" t="s">
        <v>34</v>
      </c>
      <c r="C37" s="40">
        <f>[42]С1!F22</f>
        <v>1.0369999999999999</v>
      </c>
    </row>
    <row r="38" spans="1:3" ht="53.25" thickBot="1" x14ac:dyDescent="0.25">
      <c r="A38" s="27" t="s">
        <v>35</v>
      </c>
      <c r="B38" s="45" t="s">
        <v>36</v>
      </c>
      <c r="C38" s="46">
        <f>[42]С1!F23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[42]С2.1!E12</f>
        <v>V</v>
      </c>
    </row>
    <row r="42" spans="1:3" ht="25.5" x14ac:dyDescent="0.2">
      <c r="A42" s="22" t="s">
        <v>41</v>
      </c>
      <c r="B42" s="33" t="s">
        <v>42</v>
      </c>
      <c r="C42" s="51" t="str">
        <f>[42]С2.1!E13</f>
        <v>6 и менее баллов</v>
      </c>
    </row>
    <row r="43" spans="1:3" ht="25.5" x14ac:dyDescent="0.2">
      <c r="A43" s="22" t="s">
        <v>43</v>
      </c>
      <c r="B43" s="33" t="s">
        <v>44</v>
      </c>
      <c r="C43" s="51" t="str">
        <f>[42]С2.1!E14</f>
        <v>от 200 до 500</v>
      </c>
    </row>
    <row r="44" spans="1:3" ht="25.5" x14ac:dyDescent="0.2">
      <c r="A44" s="22" t="s">
        <v>45</v>
      </c>
      <c r="B44" s="33" t="s">
        <v>46</v>
      </c>
      <c r="C44" s="52" t="str">
        <f>[42]С2.1!E15</f>
        <v>нет</v>
      </c>
    </row>
    <row r="45" spans="1:3" ht="30" x14ac:dyDescent="0.2">
      <c r="A45" s="22" t="s">
        <v>47</v>
      </c>
      <c r="B45" s="33" t="s">
        <v>48</v>
      </c>
      <c r="C45" s="34">
        <f>[42]С2!F18</f>
        <v>38910.02669467502</v>
      </c>
    </row>
    <row r="46" spans="1:3" ht="30" x14ac:dyDescent="0.2">
      <c r="A46" s="22" t="s">
        <v>49</v>
      </c>
      <c r="B46" s="53" t="s">
        <v>50</v>
      </c>
      <c r="C46" s="34">
        <f>IF([42]С2!F19&gt;0,[42]С2!F19,[42]С2!F20)</f>
        <v>23441.524932855718</v>
      </c>
    </row>
    <row r="47" spans="1:3" ht="25.5" x14ac:dyDescent="0.2">
      <c r="A47" s="22" t="s">
        <v>51</v>
      </c>
      <c r="B47" s="54" t="s">
        <v>52</v>
      </c>
      <c r="C47" s="34">
        <f>[42]С2.1!E19</f>
        <v>-38</v>
      </c>
    </row>
    <row r="48" spans="1:3" ht="25.5" x14ac:dyDescent="0.2">
      <c r="A48" s="22" t="s">
        <v>53</v>
      </c>
      <c r="B48" s="54" t="s">
        <v>54</v>
      </c>
      <c r="C48" s="34" t="str">
        <f>[42]С2.1!E22</f>
        <v>нет</v>
      </c>
    </row>
    <row r="49" spans="1:3" ht="38.25" x14ac:dyDescent="0.2">
      <c r="A49" s="22" t="s">
        <v>55</v>
      </c>
      <c r="B49" s="55" t="s">
        <v>56</v>
      </c>
      <c r="C49" s="34">
        <f>[42]С2.2!E10</f>
        <v>1287</v>
      </c>
    </row>
    <row r="50" spans="1:3" ht="25.5" x14ac:dyDescent="0.2">
      <c r="A50" s="22" t="s">
        <v>57</v>
      </c>
      <c r="B50" s="56" t="s">
        <v>58</v>
      </c>
      <c r="C50" s="34">
        <f>[42]С2.2!E12</f>
        <v>5.97</v>
      </c>
    </row>
    <row r="51" spans="1:3" ht="52.5" x14ac:dyDescent="0.2">
      <c r="A51" s="22" t="s">
        <v>59</v>
      </c>
      <c r="B51" s="57" t="s">
        <v>60</v>
      </c>
      <c r="C51" s="34">
        <f>[42]С2.2!E13</f>
        <v>1</v>
      </c>
    </row>
    <row r="52" spans="1:3" ht="27.75" x14ac:dyDescent="0.2">
      <c r="A52" s="22" t="s">
        <v>61</v>
      </c>
      <c r="B52" s="56" t="s">
        <v>62</v>
      </c>
      <c r="C52" s="34">
        <f>[42]С2.2!E14</f>
        <v>12104</v>
      </c>
    </row>
    <row r="53" spans="1:3" ht="25.5" x14ac:dyDescent="0.2">
      <c r="A53" s="22" t="s">
        <v>63</v>
      </c>
      <c r="B53" s="57" t="s">
        <v>64</v>
      </c>
      <c r="C53" s="35">
        <f>[42]С2.2!E15</f>
        <v>4.8000000000000001E-2</v>
      </c>
    </row>
    <row r="54" spans="1:3" x14ac:dyDescent="0.2">
      <c r="A54" s="22" t="s">
        <v>65</v>
      </c>
      <c r="B54" s="57" t="s">
        <v>66</v>
      </c>
      <c r="C54" s="34">
        <f>[42]С2.2!E16</f>
        <v>1</v>
      </c>
    </row>
    <row r="55" spans="1:3" ht="15.75" x14ac:dyDescent="0.2">
      <c r="A55" s="22" t="s">
        <v>67</v>
      </c>
      <c r="B55" s="58" t="s">
        <v>68</v>
      </c>
      <c r="C55" s="34">
        <f>[42]С2!F21</f>
        <v>1</v>
      </c>
    </row>
    <row r="56" spans="1:3" ht="30" x14ac:dyDescent="0.2">
      <c r="A56" s="59" t="s">
        <v>69</v>
      </c>
      <c r="B56" s="33" t="s">
        <v>70</v>
      </c>
      <c r="C56" s="34">
        <f>[42]С2!F13</f>
        <v>203708.97017230222</v>
      </c>
    </row>
    <row r="57" spans="1:3" ht="30" x14ac:dyDescent="0.2">
      <c r="A57" s="59" t="s">
        <v>71</v>
      </c>
      <c r="B57" s="58" t="s">
        <v>72</v>
      </c>
      <c r="C57" s="34">
        <f>[42]С2!F14</f>
        <v>113455</v>
      </c>
    </row>
    <row r="58" spans="1:3" ht="15.75" x14ac:dyDescent="0.2">
      <c r="A58" s="59" t="s">
        <v>73</v>
      </c>
      <c r="B58" s="60" t="s">
        <v>74</v>
      </c>
      <c r="C58" s="40">
        <f>[42]С2!F15</f>
        <v>1.071</v>
      </c>
    </row>
    <row r="59" spans="1:3" ht="15.75" x14ac:dyDescent="0.2">
      <c r="A59" s="59" t="s">
        <v>75</v>
      </c>
      <c r="B59" s="60" t="s">
        <v>76</v>
      </c>
      <c r="C59" s="40">
        <f>[42]С2!F16</f>
        <v>1</v>
      </c>
    </row>
    <row r="60" spans="1:3" ht="17.25" x14ac:dyDescent="0.2">
      <c r="A60" s="59" t="s">
        <v>77</v>
      </c>
      <c r="B60" s="58" t="s">
        <v>78</v>
      </c>
      <c r="C60" s="34">
        <f>[42]С2!F17</f>
        <v>1.01</v>
      </c>
    </row>
    <row r="61" spans="1:3" s="63" customFormat="1" ht="14.25" x14ac:dyDescent="0.2">
      <c r="A61" s="59" t="s">
        <v>79</v>
      </c>
      <c r="B61" s="61" t="s">
        <v>80</v>
      </c>
      <c r="C61" s="62">
        <f>[42]С2!F33</f>
        <v>10</v>
      </c>
    </row>
    <row r="62" spans="1:3" ht="30" x14ac:dyDescent="0.2">
      <c r="A62" s="59" t="s">
        <v>81</v>
      </c>
      <c r="B62" s="64" t="s">
        <v>82</v>
      </c>
      <c r="C62" s="34">
        <f>[42]С2!F26</f>
        <v>3082.0508637929142</v>
      </c>
    </row>
    <row r="63" spans="1:3" ht="17.25" x14ac:dyDescent="0.2">
      <c r="A63" s="59" t="s">
        <v>83</v>
      </c>
      <c r="B63" s="53" t="s">
        <v>84</v>
      </c>
      <c r="C63" s="34">
        <f>[42]С2!F27</f>
        <v>0.44209422600000003</v>
      </c>
    </row>
    <row r="64" spans="1:3" ht="17.25" x14ac:dyDescent="0.2">
      <c r="A64" s="59" t="s">
        <v>85</v>
      </c>
      <c r="B64" s="58" t="s">
        <v>86</v>
      </c>
      <c r="C64" s="62">
        <f>[42]С2!F28</f>
        <v>4200</v>
      </c>
    </row>
    <row r="65" spans="1:3" ht="42.75" x14ac:dyDescent="0.2">
      <c r="A65" s="59" t="s">
        <v>87</v>
      </c>
      <c r="B65" s="33" t="s">
        <v>88</v>
      </c>
      <c r="C65" s="34">
        <f>[42]С2!F22</f>
        <v>42890.921752741691</v>
      </c>
    </row>
    <row r="66" spans="1:3" ht="30" x14ac:dyDescent="0.2">
      <c r="A66" s="59" t="s">
        <v>89</v>
      </c>
      <c r="B66" s="60" t="s">
        <v>90</v>
      </c>
      <c r="C66" s="34">
        <f>[42]С2!F23</f>
        <v>1990</v>
      </c>
    </row>
    <row r="67" spans="1:3" ht="30" x14ac:dyDescent="0.2">
      <c r="A67" s="59" t="s">
        <v>91</v>
      </c>
      <c r="B67" s="53" t="s">
        <v>92</v>
      </c>
      <c r="C67" s="34">
        <f>[42]С2.1!E27</f>
        <v>14307.876789999998</v>
      </c>
    </row>
    <row r="68" spans="1:3" ht="38.25" x14ac:dyDescent="0.2">
      <c r="A68" s="59" t="s">
        <v>93</v>
      </c>
      <c r="B68" s="65" t="s">
        <v>94</v>
      </c>
      <c r="C68" s="52">
        <f>[42]С2.3!E21</f>
        <v>0</v>
      </c>
    </row>
    <row r="69" spans="1:3" ht="25.5" x14ac:dyDescent="0.2">
      <c r="A69" s="59" t="s">
        <v>95</v>
      </c>
      <c r="B69" s="66" t="s">
        <v>96</v>
      </c>
      <c r="C69" s="67">
        <f>[42]С2.3!E11</f>
        <v>9.89</v>
      </c>
    </row>
    <row r="70" spans="1:3" ht="25.5" x14ac:dyDescent="0.2">
      <c r="A70" s="59" t="s">
        <v>97</v>
      </c>
      <c r="B70" s="66" t="s">
        <v>98</v>
      </c>
      <c r="C70" s="62">
        <f>[42]С2.3!E13</f>
        <v>300</v>
      </c>
    </row>
    <row r="71" spans="1:3" ht="25.5" x14ac:dyDescent="0.2">
      <c r="A71" s="59" t="s">
        <v>99</v>
      </c>
      <c r="B71" s="65" t="s">
        <v>100</v>
      </c>
      <c r="C71" s="68">
        <f>IF([42]С2.3!E22&gt;0,[42]С2.3!E22,[42]С2.3!E14)</f>
        <v>61211</v>
      </c>
    </row>
    <row r="72" spans="1:3" ht="38.25" x14ac:dyDescent="0.2">
      <c r="A72" s="59" t="s">
        <v>101</v>
      </c>
      <c r="B72" s="65" t="s">
        <v>102</v>
      </c>
      <c r="C72" s="68">
        <f>IF([42]С2.3!E23&gt;0,[42]С2.3!E23,[42]С2.3!E15)</f>
        <v>45675</v>
      </c>
    </row>
    <row r="73" spans="1:3" ht="30" x14ac:dyDescent="0.2">
      <c r="A73" s="59" t="s">
        <v>103</v>
      </c>
      <c r="B73" s="53" t="s">
        <v>104</v>
      </c>
      <c r="C73" s="34">
        <f>[42]С2.1!E28</f>
        <v>9541.9567200000001</v>
      </c>
    </row>
    <row r="74" spans="1:3" ht="38.25" x14ac:dyDescent="0.2">
      <c r="A74" s="59" t="s">
        <v>105</v>
      </c>
      <c r="B74" s="65" t="s">
        <v>106</v>
      </c>
      <c r="C74" s="52">
        <f>[42]С2.3!E25</f>
        <v>0</v>
      </c>
    </row>
    <row r="75" spans="1:3" ht="25.5" x14ac:dyDescent="0.2">
      <c r="A75" s="59" t="s">
        <v>107</v>
      </c>
      <c r="B75" s="66" t="s">
        <v>108</v>
      </c>
      <c r="C75" s="67">
        <f>[42]С2.3!E12</f>
        <v>0.56000000000000005</v>
      </c>
    </row>
    <row r="76" spans="1:3" ht="25.5" x14ac:dyDescent="0.2">
      <c r="A76" s="59" t="s">
        <v>109</v>
      </c>
      <c r="B76" s="66" t="s">
        <v>98</v>
      </c>
      <c r="C76" s="62">
        <f>[42]С2.3!E13</f>
        <v>300</v>
      </c>
    </row>
    <row r="77" spans="1:3" ht="25.5" x14ac:dyDescent="0.2">
      <c r="A77" s="59" t="s">
        <v>110</v>
      </c>
      <c r="B77" s="69" t="s">
        <v>111</v>
      </c>
      <c r="C77" s="68">
        <f>IF([42]С2.3!E26&gt;0,[42]С2.3!E26,[42]С2.3!E16)</f>
        <v>65637</v>
      </c>
    </row>
    <row r="78" spans="1:3" ht="38.25" x14ac:dyDescent="0.2">
      <c r="A78" s="59" t="s">
        <v>112</v>
      </c>
      <c r="B78" s="69" t="s">
        <v>113</v>
      </c>
      <c r="C78" s="68">
        <f>IF([42]С2.3!E27&gt;0,[42]С2.3!E27,[42]С2.3!E17)</f>
        <v>31684</v>
      </c>
    </row>
    <row r="79" spans="1:3" ht="17.25" x14ac:dyDescent="0.2">
      <c r="A79" s="59" t="s">
        <v>114</v>
      </c>
      <c r="B79" s="33" t="s">
        <v>115</v>
      </c>
      <c r="C79" s="35">
        <f>[42]С2!F29</f>
        <v>0.17804631770487722</v>
      </c>
    </row>
    <row r="80" spans="1:3" ht="30" x14ac:dyDescent="0.2">
      <c r="A80" s="59" t="s">
        <v>116</v>
      </c>
      <c r="B80" s="53" t="s">
        <v>117</v>
      </c>
      <c r="C80" s="70">
        <f>[42]С2!F30</f>
        <v>0.1652189781021898</v>
      </c>
    </row>
    <row r="81" spans="1:3" ht="17.25" x14ac:dyDescent="0.2">
      <c r="A81" s="59" t="s">
        <v>118</v>
      </c>
      <c r="B81" s="71" t="s">
        <v>119</v>
      </c>
      <c r="C81" s="35">
        <f>[42]С2!F31</f>
        <v>0.13880000000000001</v>
      </c>
    </row>
    <row r="82" spans="1:3" s="63" customFormat="1" ht="18" thickBot="1" x14ac:dyDescent="0.25">
      <c r="A82" s="72" t="s">
        <v>120</v>
      </c>
      <c r="B82" s="73" t="s">
        <v>121</v>
      </c>
      <c r="C82" s="74">
        <f>[42]С2!F32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[42]С3!F14</f>
        <v>14912.207299372252</v>
      </c>
    </row>
    <row r="86" spans="1:3" s="63" customFormat="1" ht="42.75" x14ac:dyDescent="0.2">
      <c r="A86" s="77" t="s">
        <v>126</v>
      </c>
      <c r="B86" s="53" t="s">
        <v>127</v>
      </c>
      <c r="C86" s="78">
        <f>[42]С3!F15</f>
        <v>0.25</v>
      </c>
    </row>
    <row r="87" spans="1:3" s="63" customFormat="1" ht="14.25" x14ac:dyDescent="0.2">
      <c r="A87" s="77" t="s">
        <v>128</v>
      </c>
      <c r="B87" s="79" t="s">
        <v>129</v>
      </c>
      <c r="C87" s="62">
        <f>[42]С3!F18</f>
        <v>15</v>
      </c>
    </row>
    <row r="88" spans="1:3" s="63" customFormat="1" ht="17.25" x14ac:dyDescent="0.2">
      <c r="A88" s="77" t="s">
        <v>130</v>
      </c>
      <c r="B88" s="33" t="s">
        <v>131</v>
      </c>
      <c r="C88" s="34">
        <f>[42]С3!F19</f>
        <v>4187.478806422544</v>
      </c>
    </row>
    <row r="89" spans="1:3" s="63" customFormat="1" ht="55.5" x14ac:dyDescent="0.2">
      <c r="A89" s="77" t="s">
        <v>132</v>
      </c>
      <c r="B89" s="53" t="s">
        <v>133</v>
      </c>
      <c r="C89" s="80">
        <f>[42]С3!F20</f>
        <v>2.1999999999999999E-2</v>
      </c>
    </row>
    <row r="90" spans="1:3" s="63" customFormat="1" ht="14.25" x14ac:dyDescent="0.2">
      <c r="A90" s="77" t="s">
        <v>134</v>
      </c>
      <c r="B90" s="58" t="s">
        <v>80</v>
      </c>
      <c r="C90" s="62">
        <f>[42]С3!F21</f>
        <v>10</v>
      </c>
    </row>
    <row r="91" spans="1:3" s="63" customFormat="1" ht="17.25" x14ac:dyDescent="0.2">
      <c r="A91" s="77" t="s">
        <v>135</v>
      </c>
      <c r="B91" s="33" t="s">
        <v>136</v>
      </c>
      <c r="C91" s="34">
        <f>[42]С3!F22</f>
        <v>9.2461525913787437</v>
      </c>
    </row>
    <row r="92" spans="1:3" s="63" customFormat="1" ht="55.5" x14ac:dyDescent="0.2">
      <c r="A92" s="77" t="s">
        <v>137</v>
      </c>
      <c r="B92" s="53" t="s">
        <v>138</v>
      </c>
      <c r="C92" s="80">
        <f>[42]С3!F23</f>
        <v>3.0000000000000001E-3</v>
      </c>
    </row>
    <row r="93" spans="1:3" s="63" customFormat="1" ht="27.75" thickBot="1" x14ac:dyDescent="0.25">
      <c r="A93" s="81" t="s">
        <v>139</v>
      </c>
      <c r="B93" s="82" t="s">
        <v>140</v>
      </c>
      <c r="C93" s="83">
        <f>[42]С3!F24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[42]С4!F16</f>
        <v>1652.5</v>
      </c>
    </row>
    <row r="97" spans="1:3" ht="30" x14ac:dyDescent="0.2">
      <c r="A97" s="59" t="s">
        <v>145</v>
      </c>
      <c r="B97" s="58" t="s">
        <v>146</v>
      </c>
      <c r="C97" s="34">
        <f>[42]С4!F17</f>
        <v>73547</v>
      </c>
    </row>
    <row r="98" spans="1:3" ht="17.25" x14ac:dyDescent="0.2">
      <c r="A98" s="59" t="s">
        <v>147</v>
      </c>
      <c r="B98" s="58" t="s">
        <v>148</v>
      </c>
      <c r="C98" s="40">
        <f>[42]С4!F18</f>
        <v>0.02</v>
      </c>
    </row>
    <row r="99" spans="1:3" ht="30" x14ac:dyDescent="0.2">
      <c r="A99" s="59" t="s">
        <v>149</v>
      </c>
      <c r="B99" s="58" t="s">
        <v>150</v>
      </c>
      <c r="C99" s="34">
        <f>[42]С4!F19</f>
        <v>12104</v>
      </c>
    </row>
    <row r="100" spans="1:3" ht="31.5" x14ac:dyDescent="0.2">
      <c r="A100" s="59" t="s">
        <v>151</v>
      </c>
      <c r="B100" s="58" t="s">
        <v>152</v>
      </c>
      <c r="C100" s="40">
        <f>[42]С4!F20</f>
        <v>1.4999999999999999E-2</v>
      </c>
    </row>
    <row r="101" spans="1:3" ht="30" x14ac:dyDescent="0.2">
      <c r="A101" s="59" t="s">
        <v>153</v>
      </c>
      <c r="B101" s="33" t="s">
        <v>154</v>
      </c>
      <c r="C101" s="34">
        <f>[42]С4!F21</f>
        <v>1933.1949342509995</v>
      </c>
    </row>
    <row r="102" spans="1:3" ht="24" customHeight="1" x14ac:dyDescent="0.2">
      <c r="A102" s="59" t="s">
        <v>155</v>
      </c>
      <c r="B102" s="53" t="s">
        <v>156</v>
      </c>
      <c r="C102" s="85">
        <f>IF([42]С4.2!F8="да",[42]С4.2!D21,[42]С4.2!D15)</f>
        <v>0</v>
      </c>
    </row>
    <row r="103" spans="1:3" ht="68.25" x14ac:dyDescent="0.2">
      <c r="A103" s="59" t="s">
        <v>157</v>
      </c>
      <c r="B103" s="53" t="s">
        <v>158</v>
      </c>
      <c r="C103" s="34">
        <f>[42]С4!F22</f>
        <v>3.6112641666666665</v>
      </c>
    </row>
    <row r="104" spans="1:3" ht="30" x14ac:dyDescent="0.2">
      <c r="A104" s="59" t="s">
        <v>159</v>
      </c>
      <c r="B104" s="58" t="s">
        <v>160</v>
      </c>
      <c r="C104" s="34">
        <f>[42]С4!F23</f>
        <v>180</v>
      </c>
    </row>
    <row r="105" spans="1:3" ht="14.25" x14ac:dyDescent="0.2">
      <c r="A105" s="59" t="s">
        <v>161</v>
      </c>
      <c r="B105" s="53" t="s">
        <v>162</v>
      </c>
      <c r="C105" s="34">
        <f>[42]С4!F24</f>
        <v>8497.1999999999989</v>
      </c>
    </row>
    <row r="106" spans="1:3" ht="14.25" x14ac:dyDescent="0.2">
      <c r="A106" s="59" t="s">
        <v>163</v>
      </c>
      <c r="B106" s="58" t="s">
        <v>164</v>
      </c>
      <c r="C106" s="40">
        <f>[42]С4!F25</f>
        <v>0.35</v>
      </c>
    </row>
    <row r="107" spans="1:3" ht="17.25" x14ac:dyDescent="0.2">
      <c r="A107" s="59" t="s">
        <v>165</v>
      </c>
      <c r="B107" s="33" t="s">
        <v>166</v>
      </c>
      <c r="C107" s="34">
        <f>[42]С4!F26</f>
        <v>91.185569999999998</v>
      </c>
    </row>
    <row r="108" spans="1:3" ht="25.5" x14ac:dyDescent="0.2">
      <c r="A108" s="59" t="s">
        <v>167</v>
      </c>
      <c r="B108" s="53" t="s">
        <v>94</v>
      </c>
      <c r="C108" s="85">
        <f>[42]С4.3!E16</f>
        <v>0</v>
      </c>
    </row>
    <row r="109" spans="1:3" ht="25.5" x14ac:dyDescent="0.2">
      <c r="A109" s="59" t="s">
        <v>168</v>
      </c>
      <c r="B109" s="53" t="s">
        <v>169</v>
      </c>
      <c r="C109" s="34">
        <f>[42]С4.3!E17</f>
        <v>25.15</v>
      </c>
    </row>
    <row r="110" spans="1:3" ht="38.25" x14ac:dyDescent="0.2">
      <c r="A110" s="59" t="s">
        <v>170</v>
      </c>
      <c r="B110" s="53" t="s">
        <v>106</v>
      </c>
      <c r="C110" s="85">
        <f>[42]С4.3!E18</f>
        <v>0</v>
      </c>
    </row>
    <row r="111" spans="1:3" x14ac:dyDescent="0.2">
      <c r="A111" s="59" t="s">
        <v>171</v>
      </c>
      <c r="B111" s="53" t="s">
        <v>172</v>
      </c>
      <c r="C111" s="34">
        <f>[42]С4.3!E19</f>
        <v>14.63</v>
      </c>
    </row>
    <row r="112" spans="1:3" x14ac:dyDescent="0.2">
      <c r="A112" s="59" t="s">
        <v>173</v>
      </c>
      <c r="B112" s="58" t="s">
        <v>174</v>
      </c>
      <c r="C112" s="34">
        <f>[42]С4.3!E11</f>
        <v>1871</v>
      </c>
    </row>
    <row r="113" spans="1:3" x14ac:dyDescent="0.2">
      <c r="A113" s="59" t="s">
        <v>175</v>
      </c>
      <c r="B113" s="58" t="s">
        <v>176</v>
      </c>
      <c r="C113" s="52">
        <f>[42]С4.3!E12</f>
        <v>1636</v>
      </c>
    </row>
    <row r="114" spans="1:3" x14ac:dyDescent="0.2">
      <c r="A114" s="59" t="s">
        <v>177</v>
      </c>
      <c r="B114" s="58" t="s">
        <v>178</v>
      </c>
      <c r="C114" s="52">
        <f>[42]С4.3!E13</f>
        <v>204</v>
      </c>
    </row>
    <row r="115" spans="1:3" ht="30" x14ac:dyDescent="0.2">
      <c r="A115" s="59" t="s">
        <v>179</v>
      </c>
      <c r="B115" s="33" t="s">
        <v>180</v>
      </c>
      <c r="C115" s="34">
        <f>[42]С4!F27</f>
        <v>1291.2863994686898</v>
      </c>
    </row>
    <row r="116" spans="1:3" ht="25.5" x14ac:dyDescent="0.2">
      <c r="A116" s="59" t="s">
        <v>181</v>
      </c>
      <c r="B116" s="53" t="s">
        <v>182</v>
      </c>
      <c r="C116" s="34">
        <f>[42]С4!F28</f>
        <v>991.77142816335618</v>
      </c>
    </row>
    <row r="117" spans="1:3" ht="42.75" x14ac:dyDescent="0.2">
      <c r="A117" s="59" t="s">
        <v>183</v>
      </c>
      <c r="B117" s="53" t="s">
        <v>184</v>
      </c>
      <c r="C117" s="34">
        <f>[42]С4!F29</f>
        <v>299.51497130533357</v>
      </c>
    </row>
    <row r="118" spans="1:3" ht="30" x14ac:dyDescent="0.2">
      <c r="A118" s="59" t="s">
        <v>185</v>
      </c>
      <c r="B118" s="39" t="s">
        <v>186</v>
      </c>
      <c r="C118" s="34">
        <f>[42]С4!F30</f>
        <v>2620.7951279613858</v>
      </c>
    </row>
    <row r="119" spans="1:3" ht="42.75" x14ac:dyDescent="0.2">
      <c r="A119" s="59" t="s">
        <v>187</v>
      </c>
      <c r="B119" s="86" t="s">
        <v>188</v>
      </c>
      <c r="C119" s="34">
        <f>[42]С4!F33</f>
        <v>1413.4646450978896</v>
      </c>
    </row>
    <row r="120" spans="1:3" ht="30" x14ac:dyDescent="0.2">
      <c r="A120" s="59" t="s">
        <v>189</v>
      </c>
      <c r="B120" s="87" t="s">
        <v>190</v>
      </c>
      <c r="C120" s="34">
        <f>[42]С4!F35</f>
        <v>17.040680999999999</v>
      </c>
    </row>
    <row r="121" spans="1:3" ht="14.25" x14ac:dyDescent="0.2">
      <c r="A121" s="59" t="s">
        <v>191</v>
      </c>
      <c r="B121" s="56" t="s">
        <v>192</v>
      </c>
      <c r="C121" s="34">
        <f>[42]С4!F36</f>
        <v>14319.9</v>
      </c>
    </row>
    <row r="122" spans="1:3" ht="28.5" thickBot="1" x14ac:dyDescent="0.25">
      <c r="A122" s="72" t="s">
        <v>193</v>
      </c>
      <c r="B122" s="88" t="s">
        <v>194</v>
      </c>
      <c r="C122" s="83">
        <f>[42]С4!F37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[42]С5!F17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[42]С2!F37</f>
        <v>20.818139999999996</v>
      </c>
    </row>
    <row r="136" spans="1:3" ht="14.25" x14ac:dyDescent="0.2">
      <c r="A136" s="59" t="s">
        <v>216</v>
      </c>
      <c r="B136" s="101" t="s">
        <v>217</v>
      </c>
      <c r="C136" s="34">
        <f>[42]С2!F38</f>
        <v>7</v>
      </c>
    </row>
    <row r="137" spans="1:3" ht="17.25" x14ac:dyDescent="0.2">
      <c r="A137" s="59" t="s">
        <v>218</v>
      </c>
      <c r="B137" s="101" t="s">
        <v>219</v>
      </c>
      <c r="C137" s="34">
        <f>[42]С2!F40</f>
        <v>0.97</v>
      </c>
    </row>
    <row r="138" spans="1:3" ht="15" thickBot="1" x14ac:dyDescent="0.25">
      <c r="A138" s="72" t="s">
        <v>220</v>
      </c>
      <c r="B138" s="102" t="s">
        <v>221</v>
      </c>
      <c r="C138" s="46">
        <f>[42]С2!F42</f>
        <v>0.35</v>
      </c>
    </row>
    <row r="139" spans="1:3" s="89" customFormat="1" ht="13.5" thickBot="1" x14ac:dyDescent="0.25">
      <c r="A139" s="47"/>
      <c r="B139" s="75"/>
      <c r="C139" s="15"/>
    </row>
    <row r="140" spans="1:3" ht="30" x14ac:dyDescent="0.2">
      <c r="A140" s="84" t="s">
        <v>222</v>
      </c>
      <c r="B140" s="103" t="s">
        <v>223</v>
      </c>
      <c r="C140" s="104">
        <f>[42]С2!F35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[42]С2.5!$E$11</f>
        <v>-2.9000000000000026E-2</v>
      </c>
    </row>
    <row r="144" spans="1:3" x14ac:dyDescent="0.2">
      <c r="A144" s="105"/>
      <c r="B144" s="110">
        <f>B143+1</f>
        <v>2021</v>
      </c>
      <c r="C144" s="111">
        <f>[42]С2.5!$F$11</f>
        <v>0.245</v>
      </c>
    </row>
    <row r="145" spans="1:3" x14ac:dyDescent="0.2">
      <c r="A145" s="105"/>
      <c r="B145" s="110">
        <f t="shared" ref="B145:B208" si="0">B144+1</f>
        <v>2022</v>
      </c>
      <c r="C145" s="111">
        <f>[42]С2.5!$G$11</f>
        <v>0.114</v>
      </c>
    </row>
    <row r="146" spans="1:3" ht="13.5" thickBot="1" x14ac:dyDescent="0.25">
      <c r="A146" s="105"/>
      <c r="B146" s="112">
        <f t="shared" si="0"/>
        <v>2023</v>
      </c>
      <c r="C146" s="113">
        <f>[42]С2.5!$H$11</f>
        <v>0.04</v>
      </c>
    </row>
    <row r="147" spans="1:3" x14ac:dyDescent="0.2">
      <c r="A147" s="105"/>
      <c r="B147" s="114">
        <f t="shared" si="0"/>
        <v>2024</v>
      </c>
      <c r="C147" s="115">
        <f>[42]С2.5!$I$11</f>
        <v>0.11700000000000001</v>
      </c>
    </row>
    <row r="148" spans="1:3" x14ac:dyDescent="0.2">
      <c r="A148" s="105"/>
      <c r="B148" s="110">
        <f t="shared" si="0"/>
        <v>2025</v>
      </c>
      <c r="C148" s="111">
        <f>[42]С2.5!$J$11</f>
        <v>6.0999999999999999E-2</v>
      </c>
    </row>
    <row r="149" spans="1:3" hidden="1" x14ac:dyDescent="0.2">
      <c r="A149" s="105"/>
      <c r="B149" s="110">
        <f t="shared" si="0"/>
        <v>2026</v>
      </c>
      <c r="C149" s="111">
        <f>[42]С2.5!$K$11</f>
        <v>3.5813361771260002E-2</v>
      </c>
    </row>
    <row r="150" spans="1:3" hidden="1" x14ac:dyDescent="0.2">
      <c r="A150" s="105"/>
      <c r="B150" s="110">
        <f t="shared" si="0"/>
        <v>2027</v>
      </c>
      <c r="C150" s="111">
        <f>[42]С2.5!$L$11</f>
        <v>3.2682303599220003E-2</v>
      </c>
    </row>
    <row r="151" spans="1:3" hidden="1" x14ac:dyDescent="0.2">
      <c r="A151" s="105"/>
      <c r="B151" s="110">
        <f t="shared" si="0"/>
        <v>2028</v>
      </c>
      <c r="C151" s="111">
        <f>[42]С2.5!$M$11</f>
        <v>0</v>
      </c>
    </row>
    <row r="152" spans="1:3" hidden="1" x14ac:dyDescent="0.2">
      <c r="A152" s="105"/>
      <c r="B152" s="110">
        <f t="shared" si="0"/>
        <v>2029</v>
      </c>
      <c r="C152" s="111">
        <f>[42]С2.5!$N$11</f>
        <v>0</v>
      </c>
    </row>
    <row r="153" spans="1:3" hidden="1" x14ac:dyDescent="0.2">
      <c r="A153" s="105"/>
      <c r="B153" s="110">
        <f t="shared" si="0"/>
        <v>2030</v>
      </c>
      <c r="C153" s="111">
        <f>[42]С2.5!$O$11</f>
        <v>0</v>
      </c>
    </row>
    <row r="154" spans="1:3" hidden="1" x14ac:dyDescent="0.2">
      <c r="A154" s="105"/>
      <c r="B154" s="110">
        <f t="shared" si="0"/>
        <v>2031</v>
      </c>
      <c r="C154" s="111">
        <f>[42]С2.5!$P$11</f>
        <v>0</v>
      </c>
    </row>
    <row r="155" spans="1:3" hidden="1" x14ac:dyDescent="0.2">
      <c r="A155" s="89"/>
      <c r="B155" s="110">
        <f t="shared" si="0"/>
        <v>2032</v>
      </c>
      <c r="C155" s="111">
        <f>[42]С2.5!$Q$11</f>
        <v>0</v>
      </c>
    </row>
    <row r="156" spans="1:3" hidden="1" x14ac:dyDescent="0.2">
      <c r="A156" s="89"/>
      <c r="B156" s="110">
        <f t="shared" si="0"/>
        <v>2033</v>
      </c>
      <c r="C156" s="111">
        <f>[42]С2.5!$R$11</f>
        <v>0</v>
      </c>
    </row>
    <row r="157" spans="1:3" hidden="1" x14ac:dyDescent="0.2">
      <c r="B157" s="110">
        <f t="shared" si="0"/>
        <v>2034</v>
      </c>
      <c r="C157" s="111">
        <f>[42]С2.5!$S$11</f>
        <v>0</v>
      </c>
    </row>
    <row r="158" spans="1:3" hidden="1" x14ac:dyDescent="0.2">
      <c r="B158" s="110">
        <f t="shared" si="0"/>
        <v>2035</v>
      </c>
      <c r="C158" s="111">
        <f>[42]С2.5!$T$11</f>
        <v>0</v>
      </c>
    </row>
    <row r="159" spans="1:3" hidden="1" x14ac:dyDescent="0.2">
      <c r="B159" s="110">
        <f t="shared" si="0"/>
        <v>2036</v>
      </c>
      <c r="C159" s="111">
        <f>[42]С2.5!$U$11</f>
        <v>0</v>
      </c>
    </row>
    <row r="160" spans="1:3" hidden="1" x14ac:dyDescent="0.2">
      <c r="B160" s="110">
        <f t="shared" si="0"/>
        <v>2037</v>
      </c>
      <c r="C160" s="111">
        <f>[42]С2.5!$V$11</f>
        <v>0</v>
      </c>
    </row>
    <row r="161" spans="2:3" hidden="1" x14ac:dyDescent="0.2">
      <c r="B161" s="110">
        <f t="shared" si="0"/>
        <v>2038</v>
      </c>
      <c r="C161" s="111">
        <f>[42]С2.5!$W$11</f>
        <v>0</v>
      </c>
    </row>
    <row r="162" spans="2:3" hidden="1" x14ac:dyDescent="0.2">
      <c r="B162" s="110">
        <f t="shared" si="0"/>
        <v>2039</v>
      </c>
      <c r="C162" s="111">
        <f>[42]С2.5!$X$11</f>
        <v>0</v>
      </c>
    </row>
    <row r="163" spans="2:3" hidden="1" x14ac:dyDescent="0.2">
      <c r="B163" s="110">
        <f t="shared" si="0"/>
        <v>2040</v>
      </c>
      <c r="C163" s="111">
        <f>[42]С2.5!$Y$11</f>
        <v>0</v>
      </c>
    </row>
    <row r="164" spans="2:3" hidden="1" x14ac:dyDescent="0.2">
      <c r="B164" s="110">
        <f t="shared" si="0"/>
        <v>2041</v>
      </c>
      <c r="C164" s="111">
        <f>[42]С2.5!$Z$11</f>
        <v>0</v>
      </c>
    </row>
    <row r="165" spans="2:3" hidden="1" x14ac:dyDescent="0.2">
      <c r="B165" s="110">
        <f t="shared" si="0"/>
        <v>2042</v>
      </c>
      <c r="C165" s="111">
        <f>[42]С2.5!$AA$11</f>
        <v>0</v>
      </c>
    </row>
    <row r="166" spans="2:3" hidden="1" x14ac:dyDescent="0.2">
      <c r="B166" s="110">
        <f t="shared" si="0"/>
        <v>2043</v>
      </c>
      <c r="C166" s="111">
        <f>[42]С2.5!$AB$11</f>
        <v>0</v>
      </c>
    </row>
    <row r="167" spans="2:3" hidden="1" x14ac:dyDescent="0.2">
      <c r="B167" s="110">
        <f t="shared" si="0"/>
        <v>2044</v>
      </c>
      <c r="C167" s="111">
        <f>[42]С2.5!$AC$11</f>
        <v>0</v>
      </c>
    </row>
    <row r="168" spans="2:3" hidden="1" x14ac:dyDescent="0.2">
      <c r="B168" s="110">
        <f t="shared" si="0"/>
        <v>2045</v>
      </c>
      <c r="C168" s="111">
        <f>[42]С2.5!$AD$11</f>
        <v>0</v>
      </c>
    </row>
    <row r="169" spans="2:3" hidden="1" x14ac:dyDescent="0.2">
      <c r="B169" s="110">
        <f t="shared" si="0"/>
        <v>2046</v>
      </c>
      <c r="C169" s="111">
        <f>[42]С2.5!$AE$11</f>
        <v>0</v>
      </c>
    </row>
    <row r="170" spans="2:3" hidden="1" x14ac:dyDescent="0.2">
      <c r="B170" s="110">
        <f t="shared" si="0"/>
        <v>2047</v>
      </c>
      <c r="C170" s="111">
        <f>[42]С2.5!$AF$11</f>
        <v>0</v>
      </c>
    </row>
    <row r="171" spans="2:3" hidden="1" x14ac:dyDescent="0.2">
      <c r="B171" s="110">
        <f t="shared" si="0"/>
        <v>2048</v>
      </c>
      <c r="C171" s="111">
        <f>[42]С2.5!$AG$11</f>
        <v>0</v>
      </c>
    </row>
    <row r="172" spans="2:3" hidden="1" x14ac:dyDescent="0.2">
      <c r="B172" s="110">
        <f t="shared" si="0"/>
        <v>2049</v>
      </c>
      <c r="C172" s="111">
        <f>[42]С2.5!$AH$11</f>
        <v>0</v>
      </c>
    </row>
    <row r="173" spans="2:3" hidden="1" x14ac:dyDescent="0.2">
      <c r="B173" s="110">
        <f t="shared" si="0"/>
        <v>2050</v>
      </c>
      <c r="C173" s="111">
        <f>[42]С2.5!$AI$11</f>
        <v>0</v>
      </c>
    </row>
    <row r="174" spans="2:3" hidden="1" x14ac:dyDescent="0.2">
      <c r="B174" s="110">
        <f t="shared" si="0"/>
        <v>2051</v>
      </c>
      <c r="C174" s="111">
        <f>[42]С2.5!$AJ$11</f>
        <v>0</v>
      </c>
    </row>
    <row r="175" spans="2:3" hidden="1" x14ac:dyDescent="0.2">
      <c r="B175" s="110">
        <f t="shared" si="0"/>
        <v>2052</v>
      </c>
      <c r="C175" s="111">
        <f>[42]С2.5!$AK$11</f>
        <v>0</v>
      </c>
    </row>
    <row r="176" spans="2:3" hidden="1" x14ac:dyDescent="0.2">
      <c r="B176" s="110">
        <f t="shared" si="0"/>
        <v>2053</v>
      </c>
      <c r="C176" s="111">
        <f>[42]С2.5!$AL$11</f>
        <v>0</v>
      </c>
    </row>
    <row r="177" spans="2:3" hidden="1" x14ac:dyDescent="0.2">
      <c r="B177" s="110">
        <f t="shared" si="0"/>
        <v>2054</v>
      </c>
      <c r="C177" s="111">
        <f>[42]С2.5!$AM$11</f>
        <v>0</v>
      </c>
    </row>
    <row r="178" spans="2:3" hidden="1" x14ac:dyDescent="0.2">
      <c r="B178" s="110">
        <f t="shared" si="0"/>
        <v>2055</v>
      </c>
      <c r="C178" s="111">
        <f>[42]С2.5!$AN$11</f>
        <v>0</v>
      </c>
    </row>
    <row r="179" spans="2:3" hidden="1" x14ac:dyDescent="0.2">
      <c r="B179" s="110">
        <f t="shared" si="0"/>
        <v>2056</v>
      </c>
      <c r="C179" s="111">
        <f>[42]С2.5!$AO$11</f>
        <v>0</v>
      </c>
    </row>
    <row r="180" spans="2:3" hidden="1" x14ac:dyDescent="0.2">
      <c r="B180" s="110">
        <f t="shared" si="0"/>
        <v>2057</v>
      </c>
      <c r="C180" s="111">
        <f>[42]С2.5!$AP$11</f>
        <v>0</v>
      </c>
    </row>
    <row r="181" spans="2:3" hidden="1" x14ac:dyDescent="0.2">
      <c r="B181" s="110">
        <f t="shared" si="0"/>
        <v>2058</v>
      </c>
      <c r="C181" s="111">
        <f>[42]С2.5!$AQ$11</f>
        <v>0</v>
      </c>
    </row>
    <row r="182" spans="2:3" hidden="1" x14ac:dyDescent="0.2">
      <c r="B182" s="110">
        <f t="shared" si="0"/>
        <v>2059</v>
      </c>
      <c r="C182" s="111">
        <f>[42]С2.5!$AR$11</f>
        <v>0</v>
      </c>
    </row>
    <row r="183" spans="2:3" hidden="1" x14ac:dyDescent="0.2">
      <c r="B183" s="110">
        <f t="shared" si="0"/>
        <v>2060</v>
      </c>
      <c r="C183" s="111">
        <f>[42]С2.5!$AS$11</f>
        <v>0</v>
      </c>
    </row>
    <row r="184" spans="2:3" hidden="1" x14ac:dyDescent="0.2">
      <c r="B184" s="110">
        <f t="shared" si="0"/>
        <v>2061</v>
      </c>
      <c r="C184" s="111">
        <f>[42]С2.5!$AT$11</f>
        <v>0</v>
      </c>
    </row>
    <row r="185" spans="2:3" hidden="1" x14ac:dyDescent="0.2">
      <c r="B185" s="110">
        <f t="shared" si="0"/>
        <v>2062</v>
      </c>
      <c r="C185" s="111">
        <f>[42]С2.5!$AU$11</f>
        <v>0</v>
      </c>
    </row>
    <row r="186" spans="2:3" hidden="1" x14ac:dyDescent="0.2">
      <c r="B186" s="110">
        <f t="shared" si="0"/>
        <v>2063</v>
      </c>
      <c r="C186" s="111">
        <f>[42]С2.5!$AV$11</f>
        <v>0</v>
      </c>
    </row>
    <row r="187" spans="2:3" hidden="1" x14ac:dyDescent="0.2">
      <c r="B187" s="110">
        <f t="shared" si="0"/>
        <v>2064</v>
      </c>
      <c r="C187" s="111">
        <f>[42]С2.5!$AW$11</f>
        <v>0</v>
      </c>
    </row>
    <row r="188" spans="2:3" hidden="1" x14ac:dyDescent="0.2">
      <c r="B188" s="110">
        <f t="shared" si="0"/>
        <v>2065</v>
      </c>
      <c r="C188" s="111">
        <f>[42]С2.5!$AX$11</f>
        <v>0</v>
      </c>
    </row>
    <row r="189" spans="2:3" hidden="1" x14ac:dyDescent="0.2">
      <c r="B189" s="110">
        <f t="shared" si="0"/>
        <v>2066</v>
      </c>
      <c r="C189" s="111">
        <f>[42]С2.5!$AY$11</f>
        <v>0</v>
      </c>
    </row>
    <row r="190" spans="2:3" hidden="1" x14ac:dyDescent="0.2">
      <c r="B190" s="110">
        <f t="shared" si="0"/>
        <v>2067</v>
      </c>
      <c r="C190" s="111">
        <f>[42]С2.5!$AZ$11</f>
        <v>0</v>
      </c>
    </row>
    <row r="191" spans="2:3" hidden="1" x14ac:dyDescent="0.2">
      <c r="B191" s="110">
        <f t="shared" si="0"/>
        <v>2068</v>
      </c>
      <c r="C191" s="111">
        <f>[42]С2.5!$BA$11</f>
        <v>0</v>
      </c>
    </row>
    <row r="192" spans="2:3" hidden="1" x14ac:dyDescent="0.2">
      <c r="B192" s="110">
        <f t="shared" si="0"/>
        <v>2069</v>
      </c>
      <c r="C192" s="111">
        <f>[42]С2.5!$BB$11</f>
        <v>0</v>
      </c>
    </row>
    <row r="193" spans="2:3" hidden="1" x14ac:dyDescent="0.2">
      <c r="B193" s="110">
        <f t="shared" si="0"/>
        <v>2070</v>
      </c>
      <c r="C193" s="111">
        <f>[42]С2.5!$BC$11</f>
        <v>0</v>
      </c>
    </row>
    <row r="194" spans="2:3" hidden="1" x14ac:dyDescent="0.2">
      <c r="B194" s="110">
        <f t="shared" si="0"/>
        <v>2071</v>
      </c>
      <c r="C194" s="111">
        <f>[42]С2.5!$BD$11</f>
        <v>0</v>
      </c>
    </row>
    <row r="195" spans="2:3" hidden="1" x14ac:dyDescent="0.2">
      <c r="B195" s="110">
        <f t="shared" si="0"/>
        <v>2072</v>
      </c>
      <c r="C195" s="111">
        <f>[42]С2.5!$BE$11</f>
        <v>0</v>
      </c>
    </row>
    <row r="196" spans="2:3" hidden="1" x14ac:dyDescent="0.2">
      <c r="B196" s="110">
        <f t="shared" si="0"/>
        <v>2073</v>
      </c>
      <c r="C196" s="111">
        <f>[42]С2.5!$BF$11</f>
        <v>0</v>
      </c>
    </row>
    <row r="197" spans="2:3" hidden="1" x14ac:dyDescent="0.2">
      <c r="B197" s="110">
        <f t="shared" si="0"/>
        <v>2074</v>
      </c>
      <c r="C197" s="111">
        <f>[42]С2.5!$BG$11</f>
        <v>0</v>
      </c>
    </row>
    <row r="198" spans="2:3" hidden="1" x14ac:dyDescent="0.2">
      <c r="B198" s="110">
        <f t="shared" si="0"/>
        <v>2075</v>
      </c>
      <c r="C198" s="111">
        <f>[42]С2.5!$BH$11</f>
        <v>0</v>
      </c>
    </row>
    <row r="199" spans="2:3" hidden="1" x14ac:dyDescent="0.2">
      <c r="B199" s="110">
        <f t="shared" si="0"/>
        <v>2076</v>
      </c>
      <c r="C199" s="111">
        <f>[42]С2.5!$BI$11</f>
        <v>0</v>
      </c>
    </row>
    <row r="200" spans="2:3" hidden="1" x14ac:dyDescent="0.2">
      <c r="B200" s="110">
        <f t="shared" si="0"/>
        <v>2077</v>
      </c>
      <c r="C200" s="111">
        <f>[42]С2.5!$BJ$11</f>
        <v>0</v>
      </c>
    </row>
    <row r="201" spans="2:3" hidden="1" x14ac:dyDescent="0.2">
      <c r="B201" s="110">
        <f t="shared" si="0"/>
        <v>2078</v>
      </c>
      <c r="C201" s="111">
        <f>[42]С2.5!$BK$11</f>
        <v>0</v>
      </c>
    </row>
    <row r="202" spans="2:3" hidden="1" x14ac:dyDescent="0.2">
      <c r="B202" s="110">
        <f t="shared" si="0"/>
        <v>2079</v>
      </c>
      <c r="C202" s="111">
        <f>[42]С2.5!$BL$11</f>
        <v>0</v>
      </c>
    </row>
    <row r="203" spans="2:3" hidden="1" x14ac:dyDescent="0.2">
      <c r="B203" s="110">
        <f t="shared" si="0"/>
        <v>2080</v>
      </c>
      <c r="C203" s="111">
        <f>[42]С2.5!$BM$11</f>
        <v>0</v>
      </c>
    </row>
    <row r="204" spans="2:3" hidden="1" x14ac:dyDescent="0.2">
      <c r="B204" s="110">
        <f t="shared" si="0"/>
        <v>2081</v>
      </c>
      <c r="C204" s="111">
        <f>[42]С2.5!$BN$11</f>
        <v>0</v>
      </c>
    </row>
    <row r="205" spans="2:3" hidden="1" x14ac:dyDescent="0.2">
      <c r="B205" s="110">
        <f t="shared" si="0"/>
        <v>2082</v>
      </c>
      <c r="C205" s="111">
        <f>[42]С2.5!$BO$11</f>
        <v>0</v>
      </c>
    </row>
    <row r="206" spans="2:3" hidden="1" x14ac:dyDescent="0.2">
      <c r="B206" s="110">
        <f t="shared" si="0"/>
        <v>2083</v>
      </c>
      <c r="C206" s="111">
        <f>[42]С2.5!$BP$11</f>
        <v>0</v>
      </c>
    </row>
    <row r="207" spans="2:3" hidden="1" x14ac:dyDescent="0.2">
      <c r="B207" s="110">
        <f t="shared" si="0"/>
        <v>2084</v>
      </c>
      <c r="C207" s="111">
        <f>[42]С2.5!$BQ$11</f>
        <v>0</v>
      </c>
    </row>
    <row r="208" spans="2:3" hidden="1" x14ac:dyDescent="0.2">
      <c r="B208" s="110">
        <f t="shared" si="0"/>
        <v>2085</v>
      </c>
      <c r="C208" s="111">
        <f>[42]С2.5!$BR$11</f>
        <v>0</v>
      </c>
    </row>
    <row r="209" spans="2:3" hidden="1" x14ac:dyDescent="0.2">
      <c r="B209" s="110">
        <f t="shared" ref="B209:B223" si="1">B208+1</f>
        <v>2086</v>
      </c>
      <c r="C209" s="111">
        <f>[42]С2.5!$BS$11</f>
        <v>0</v>
      </c>
    </row>
    <row r="210" spans="2:3" hidden="1" x14ac:dyDescent="0.2">
      <c r="B210" s="110">
        <f t="shared" si="1"/>
        <v>2087</v>
      </c>
      <c r="C210" s="111">
        <f>[42]С2.5!$BT$11</f>
        <v>0</v>
      </c>
    </row>
    <row r="211" spans="2:3" hidden="1" x14ac:dyDescent="0.2">
      <c r="B211" s="110">
        <f t="shared" si="1"/>
        <v>2088</v>
      </c>
      <c r="C211" s="111">
        <f>[42]С2.5!$BU$11</f>
        <v>0</v>
      </c>
    </row>
    <row r="212" spans="2:3" hidden="1" x14ac:dyDescent="0.2">
      <c r="B212" s="110">
        <f t="shared" si="1"/>
        <v>2089</v>
      </c>
      <c r="C212" s="111">
        <f>[42]С2.5!$BV$11</f>
        <v>0</v>
      </c>
    </row>
    <row r="213" spans="2:3" hidden="1" x14ac:dyDescent="0.2">
      <c r="B213" s="110">
        <f t="shared" si="1"/>
        <v>2090</v>
      </c>
      <c r="C213" s="111">
        <f>[42]С2.5!$BW$11</f>
        <v>0</v>
      </c>
    </row>
    <row r="214" spans="2:3" hidden="1" x14ac:dyDescent="0.2">
      <c r="B214" s="110">
        <f t="shared" si="1"/>
        <v>2091</v>
      </c>
      <c r="C214" s="111">
        <f>[42]С2.5!$BX$11</f>
        <v>0</v>
      </c>
    </row>
    <row r="215" spans="2:3" hidden="1" x14ac:dyDescent="0.2">
      <c r="B215" s="110">
        <f t="shared" si="1"/>
        <v>2092</v>
      </c>
      <c r="C215" s="111">
        <f>[42]С2.5!$BY$11</f>
        <v>0</v>
      </c>
    </row>
    <row r="216" spans="2:3" hidden="1" x14ac:dyDescent="0.2">
      <c r="B216" s="110">
        <f t="shared" si="1"/>
        <v>2093</v>
      </c>
      <c r="C216" s="111">
        <f>[42]С2.5!$BZ$11</f>
        <v>0</v>
      </c>
    </row>
    <row r="217" spans="2:3" hidden="1" x14ac:dyDescent="0.2">
      <c r="B217" s="110">
        <f t="shared" si="1"/>
        <v>2094</v>
      </c>
      <c r="C217" s="111">
        <f>[42]С2.5!$CA$11</f>
        <v>0</v>
      </c>
    </row>
    <row r="218" spans="2:3" hidden="1" x14ac:dyDescent="0.2">
      <c r="B218" s="110">
        <f t="shared" si="1"/>
        <v>2095</v>
      </c>
      <c r="C218" s="111">
        <f>[42]С2.5!$CB$11</f>
        <v>0</v>
      </c>
    </row>
    <row r="219" spans="2:3" hidden="1" x14ac:dyDescent="0.2">
      <c r="B219" s="110">
        <f t="shared" si="1"/>
        <v>2096</v>
      </c>
      <c r="C219" s="111">
        <f>[42]С2.5!$CC$11</f>
        <v>0</v>
      </c>
    </row>
    <row r="220" spans="2:3" hidden="1" x14ac:dyDescent="0.2">
      <c r="B220" s="110">
        <f t="shared" si="1"/>
        <v>2097</v>
      </c>
      <c r="C220" s="111">
        <f>[42]С2.5!$CD$11</f>
        <v>0</v>
      </c>
    </row>
    <row r="221" spans="2:3" hidden="1" x14ac:dyDescent="0.2">
      <c r="B221" s="110">
        <f t="shared" si="1"/>
        <v>2098</v>
      </c>
      <c r="C221" s="111">
        <f>[42]С2.5!$CE$11</f>
        <v>0</v>
      </c>
    </row>
    <row r="222" spans="2:3" hidden="1" x14ac:dyDescent="0.2">
      <c r="B222" s="110">
        <f t="shared" si="1"/>
        <v>2099</v>
      </c>
      <c r="C222" s="111">
        <f>[42]С2.5!$CF$11</f>
        <v>0</v>
      </c>
    </row>
    <row r="223" spans="2:3" ht="13.5" hidden="1" thickBot="1" x14ac:dyDescent="0.25">
      <c r="B223" s="112">
        <f t="shared" si="1"/>
        <v>2100</v>
      </c>
      <c r="C223" s="113">
        <f>[42]С2.5!$CG$11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4" sqref="B4"/>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[31]И1!D13</f>
        <v>Субъект Российской Федерации</v>
      </c>
      <c r="C4" s="10" t="str">
        <f>[31]И1!E13</f>
        <v>Новосибирская область</v>
      </c>
    </row>
    <row r="5" spans="1:3" ht="48.6" customHeight="1" x14ac:dyDescent="0.2">
      <c r="A5" s="8"/>
      <c r="B5" s="9" t="str">
        <f>[31]И1!D14</f>
        <v>Тип муниципального образования (выберите из списка)</v>
      </c>
      <c r="C5" s="10" t="str">
        <f>[31]И1!E14</f>
        <v>поселок Чернореченский, Искитимский муниципальный район</v>
      </c>
    </row>
    <row r="6" spans="1:3" x14ac:dyDescent="0.2">
      <c r="A6" s="8"/>
      <c r="B6" s="9" t="str">
        <f>IF([31]И1!E15="","",[31]И1!D15)</f>
        <v/>
      </c>
      <c r="C6" s="7" t="str">
        <f>IF([31]И1!E15="","",[31]И1!E15)</f>
        <v/>
      </c>
    </row>
    <row r="7" spans="1:3" x14ac:dyDescent="0.2">
      <c r="A7" s="8"/>
      <c r="B7" s="9" t="str">
        <f>[31]И1!D16</f>
        <v>Код ОКТМО</v>
      </c>
      <c r="C7" s="11" t="str">
        <f>[31]И1!E16</f>
        <v xml:space="preserve"> (50615437101)</v>
      </c>
    </row>
    <row r="8" spans="1:3" x14ac:dyDescent="0.2">
      <c r="A8" s="8"/>
      <c r="B8" s="12" t="str">
        <f>[31]И1!D17</f>
        <v>Система теплоснабжения</v>
      </c>
      <c r="C8" s="13">
        <f>[31]И1!E17</f>
        <v>0</v>
      </c>
    </row>
    <row r="9" spans="1:3" x14ac:dyDescent="0.2">
      <c r="A9" s="8"/>
      <c r="B9" s="9" t="str">
        <f>[31]И1!D8</f>
        <v>Период регулирования (i)-й</v>
      </c>
      <c r="C9" s="14">
        <f>[31]И1!E8</f>
        <v>2025</v>
      </c>
    </row>
    <row r="10" spans="1:3" x14ac:dyDescent="0.2">
      <c r="A10" s="8"/>
      <c r="B10" s="9" t="str">
        <f>[31]И1!D9</f>
        <v>Период регулирования (i-1)-й</v>
      </c>
      <c r="C10" s="14">
        <f>[31]И1!E9</f>
        <v>2024</v>
      </c>
    </row>
    <row r="11" spans="1:3" x14ac:dyDescent="0.2">
      <c r="A11" s="8"/>
      <c r="B11" s="9" t="str">
        <f>[31]И1!D10</f>
        <v>Период регулирования (i-2)-й</v>
      </c>
      <c r="C11" s="14">
        <f>[31]И1!E10</f>
        <v>2023</v>
      </c>
    </row>
    <row r="12" spans="1:3" x14ac:dyDescent="0.2">
      <c r="A12" s="8"/>
      <c r="B12" s="9" t="str">
        <f>[31]И1!D11</f>
        <v>Базовый год (б)</v>
      </c>
      <c r="C12" s="14">
        <f>[31]И1!E11</f>
        <v>2019</v>
      </c>
    </row>
    <row r="13" spans="1:3" x14ac:dyDescent="0.2">
      <c r="A13" s="8"/>
      <c r="B13" s="9" t="str">
        <f>[31]И1!D18</f>
        <v>Вид топлива, использование которого преобладает в системе теплоснабжения</v>
      </c>
      <c r="C13" s="15" t="str">
        <f>[31]И1!E18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4216.1961687530111</v>
      </c>
    </row>
    <row r="18" spans="1:3" ht="42.75" x14ac:dyDescent="0.2">
      <c r="A18" s="22" t="s">
        <v>8</v>
      </c>
      <c r="B18" s="25" t="s">
        <v>9</v>
      </c>
      <c r="C18" s="26">
        <f>[31]С1!F12</f>
        <v>1201.0642791911237</v>
      </c>
    </row>
    <row r="19" spans="1:3" ht="42.75" x14ac:dyDescent="0.2">
      <c r="A19" s="22" t="s">
        <v>10</v>
      </c>
      <c r="B19" s="25" t="s">
        <v>11</v>
      </c>
      <c r="C19" s="26">
        <f>[31]С2!F12</f>
        <v>2049.7946392543367</v>
      </c>
    </row>
    <row r="20" spans="1:3" ht="30" x14ac:dyDescent="0.2">
      <c r="A20" s="22" t="s">
        <v>12</v>
      </c>
      <c r="B20" s="25" t="s">
        <v>13</v>
      </c>
      <c r="C20" s="26">
        <f>[31]С3!F12</f>
        <v>613.3572799725365</v>
      </c>
    </row>
    <row r="21" spans="1:3" ht="42.75" x14ac:dyDescent="0.2">
      <c r="A21" s="22" t="s">
        <v>14</v>
      </c>
      <c r="B21" s="25" t="s">
        <v>228</v>
      </c>
      <c r="C21" s="26">
        <f>[31]С4!F12</f>
        <v>269.30945722221009</v>
      </c>
    </row>
    <row r="22" spans="1:3" ht="33" customHeight="1" x14ac:dyDescent="0.2">
      <c r="A22" s="22" t="s">
        <v>16</v>
      </c>
      <c r="B22" s="25" t="s">
        <v>229</v>
      </c>
      <c r="C22" s="26">
        <f>[31]С5!F12</f>
        <v>82.670513112804144</v>
      </c>
    </row>
    <row r="23" spans="1:3" ht="45.75" customHeight="1" thickBot="1" x14ac:dyDescent="0.25">
      <c r="A23" s="27" t="s">
        <v>18</v>
      </c>
      <c r="B23" s="140" t="s">
        <v>230</v>
      </c>
      <c r="C23" s="28">
        <f>[31]С6!F12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[31]С1.1!E16</f>
        <v>7900</v>
      </c>
    </row>
    <row r="29" spans="1:3" ht="42.75" x14ac:dyDescent="0.2">
      <c r="A29" s="22" t="s">
        <v>10</v>
      </c>
      <c r="B29" s="33" t="s">
        <v>232</v>
      </c>
      <c r="C29" s="34">
        <f>[31]С1.1!E32</f>
        <v>6213.94</v>
      </c>
    </row>
    <row r="30" spans="1:3" ht="38.25" x14ac:dyDescent="0.2">
      <c r="A30" s="22" t="s">
        <v>233</v>
      </c>
      <c r="B30" s="33" t="s">
        <v>234</v>
      </c>
      <c r="C30" s="85" t="str">
        <f>[31]С1.1!E25</f>
        <v>ООО "Газпром газораспределение Томск"</v>
      </c>
    </row>
    <row r="31" spans="1:3" ht="38.25" x14ac:dyDescent="0.2">
      <c r="A31" s="22" t="s">
        <v>235</v>
      </c>
      <c r="B31" s="33" t="str">
        <f>[31]С1.1!D26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[31]С1.1!E26</f>
        <v>5099</v>
      </c>
    </row>
    <row r="32" spans="1:3" ht="25.5" x14ac:dyDescent="0.2">
      <c r="A32" s="22" t="s">
        <v>236</v>
      </c>
      <c r="B32" s="33" t="str">
        <f>[31]С1.1!D27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[31]С1.1!E27</f>
        <v>740.38</v>
      </c>
    </row>
    <row r="33" spans="1:3" ht="25.5" x14ac:dyDescent="0.2">
      <c r="A33" s="22" t="s">
        <v>237</v>
      </c>
      <c r="B33" s="33" t="str">
        <f>[31]С1.1!D28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[31]С1.1!E28</f>
        <v>144.72999999999999</v>
      </c>
    </row>
    <row r="34" spans="1:3" ht="38.25" x14ac:dyDescent="0.2">
      <c r="A34" s="22" t="s">
        <v>238</v>
      </c>
      <c r="B34" s="33" t="str">
        <f>[31]С1.1!D29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[31]С1.1!E29</f>
        <v>229.83</v>
      </c>
    </row>
    <row r="35" spans="1:3" ht="17.25" x14ac:dyDescent="0.2">
      <c r="A35" s="22" t="s">
        <v>12</v>
      </c>
      <c r="B35" s="33" t="s">
        <v>23</v>
      </c>
      <c r="C35" s="35">
        <f>[31]С1.1!E20</f>
        <v>0.112</v>
      </c>
    </row>
    <row r="36" spans="1:3" ht="17.25" x14ac:dyDescent="0.2">
      <c r="A36" s="22" t="s">
        <v>14</v>
      </c>
      <c r="B36" s="33" t="s">
        <v>24</v>
      </c>
      <c r="C36" s="35">
        <f>[31]С1.1!E21</f>
        <v>0.21299999999999999</v>
      </c>
    </row>
    <row r="37" spans="1:3" ht="30" x14ac:dyDescent="0.2">
      <c r="A37" s="22" t="s">
        <v>16</v>
      </c>
      <c r="B37" s="36" t="s">
        <v>239</v>
      </c>
      <c r="C37" s="121">
        <f>[31]С1!F13</f>
        <v>156.1</v>
      </c>
    </row>
    <row r="38" spans="1:3" x14ac:dyDescent="0.2">
      <c r="A38" s="22" t="s">
        <v>18</v>
      </c>
      <c r="B38" s="36" t="s">
        <v>26</v>
      </c>
      <c r="C38" s="38">
        <f>[31]С1!F16</f>
        <v>7000</v>
      </c>
    </row>
    <row r="39" spans="1:3" ht="14.25" x14ac:dyDescent="0.2">
      <c r="A39" s="122" t="s">
        <v>27</v>
      </c>
      <c r="B39" s="39" t="s">
        <v>240</v>
      </c>
      <c r="C39" s="40">
        <f>[31]С1!F17</f>
        <v>1.1285714285714286</v>
      </c>
    </row>
    <row r="40" spans="1:3" ht="15.75" x14ac:dyDescent="0.2">
      <c r="A40" s="123" t="s">
        <v>29</v>
      </c>
      <c r="B40" s="42" t="s">
        <v>30</v>
      </c>
      <c r="C40" s="40">
        <f>[31]С1!F20</f>
        <v>22.307053372799995</v>
      </c>
    </row>
    <row r="41" spans="1:3" ht="15.75" x14ac:dyDescent="0.2">
      <c r="A41" s="123" t="s">
        <v>31</v>
      </c>
      <c r="B41" s="43" t="s">
        <v>32</v>
      </c>
      <c r="C41" s="40">
        <f>[31]С1!F21</f>
        <v>21.531904799999996</v>
      </c>
    </row>
    <row r="42" spans="1:3" ht="14.25" x14ac:dyDescent="0.2">
      <c r="A42" s="123" t="s">
        <v>33</v>
      </c>
      <c r="B42" s="44" t="s">
        <v>34</v>
      </c>
      <c r="C42" s="40">
        <f>[31]С1!F22</f>
        <v>1.036</v>
      </c>
    </row>
    <row r="43" spans="1:3" ht="53.25" thickBot="1" x14ac:dyDescent="0.25">
      <c r="A43" s="27" t="s">
        <v>35</v>
      </c>
      <c r="B43" s="45" t="s">
        <v>36</v>
      </c>
      <c r="C43" s="46" t="str">
        <f>[31]С1!F23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[31]С2.1!E12</f>
        <v>V</v>
      </c>
    </row>
    <row r="47" spans="1:3" ht="25.5" x14ac:dyDescent="0.2">
      <c r="A47" s="22" t="s">
        <v>41</v>
      </c>
      <c r="B47" s="33" t="s">
        <v>42</v>
      </c>
      <c r="C47" s="51" t="str">
        <f>[31]С2.1!E13</f>
        <v>6 и менее баллов</v>
      </c>
    </row>
    <row r="48" spans="1:3" ht="25.5" x14ac:dyDescent="0.2">
      <c r="A48" s="22" t="s">
        <v>43</v>
      </c>
      <c r="B48" s="33" t="s">
        <v>241</v>
      </c>
      <c r="C48" s="51" t="str">
        <f>[31]С2.1!E14</f>
        <v>от 200 до 500</v>
      </c>
    </row>
    <row r="49" spans="1:3" ht="25.5" x14ac:dyDescent="0.2">
      <c r="A49" s="22" t="s">
        <v>45</v>
      </c>
      <c r="B49" s="33" t="s">
        <v>242</v>
      </c>
      <c r="C49" s="52" t="str">
        <f>[31]С2.1!E15</f>
        <v>нет</v>
      </c>
    </row>
    <row r="50" spans="1:3" ht="30" x14ac:dyDescent="0.2">
      <c r="A50" s="22" t="s">
        <v>47</v>
      </c>
      <c r="B50" s="33" t="s">
        <v>48</v>
      </c>
      <c r="C50" s="34">
        <f>[31]С2!F18</f>
        <v>38910.02669467502</v>
      </c>
    </row>
    <row r="51" spans="1:3" ht="30" x14ac:dyDescent="0.2">
      <c r="A51" s="22" t="s">
        <v>49</v>
      </c>
      <c r="B51" s="53" t="s">
        <v>50</v>
      </c>
      <c r="C51" s="34">
        <f>IF([31]С2!F19&gt;0,[31]С2!F19,[31]С2!F20)</f>
        <v>23441.524932855718</v>
      </c>
    </row>
    <row r="52" spans="1:3" ht="25.5" x14ac:dyDescent="0.2">
      <c r="A52" s="22" t="s">
        <v>51</v>
      </c>
      <c r="B52" s="54" t="s">
        <v>52</v>
      </c>
      <c r="C52" s="34">
        <f>[31]С2.1!E20</f>
        <v>-38</v>
      </c>
    </row>
    <row r="53" spans="1:3" ht="25.5" x14ac:dyDescent="0.2">
      <c r="A53" s="22" t="s">
        <v>53</v>
      </c>
      <c r="B53" s="54" t="s">
        <v>54</v>
      </c>
      <c r="C53" s="34" t="str">
        <f>[31]С2.1!E23</f>
        <v>нет</v>
      </c>
    </row>
    <row r="54" spans="1:3" ht="38.25" x14ac:dyDescent="0.2">
      <c r="A54" s="22" t="s">
        <v>55</v>
      </c>
      <c r="B54" s="55" t="s">
        <v>56</v>
      </c>
      <c r="C54" s="34">
        <f>[31]С2.2!E10</f>
        <v>1287</v>
      </c>
    </row>
    <row r="55" spans="1:3" ht="25.5" x14ac:dyDescent="0.2">
      <c r="A55" s="22" t="s">
        <v>57</v>
      </c>
      <c r="B55" s="56" t="s">
        <v>58</v>
      </c>
      <c r="C55" s="34">
        <f>[31]С2.2!E12</f>
        <v>5.97</v>
      </c>
    </row>
    <row r="56" spans="1:3" ht="52.5" x14ac:dyDescent="0.2">
      <c r="A56" s="22" t="s">
        <v>59</v>
      </c>
      <c r="B56" s="57" t="s">
        <v>60</v>
      </c>
      <c r="C56" s="34">
        <f>[31]С2.2!E13</f>
        <v>1</v>
      </c>
    </row>
    <row r="57" spans="1:3" ht="27.75" x14ac:dyDescent="0.2">
      <c r="A57" s="22" t="s">
        <v>61</v>
      </c>
      <c r="B57" s="56" t="s">
        <v>62</v>
      </c>
      <c r="C57" s="34">
        <f>[31]С2.2!E14</f>
        <v>12104</v>
      </c>
    </row>
    <row r="58" spans="1:3" ht="25.5" x14ac:dyDescent="0.2">
      <c r="A58" s="22" t="s">
        <v>63</v>
      </c>
      <c r="B58" s="57" t="s">
        <v>64</v>
      </c>
      <c r="C58" s="35">
        <f>[31]С2.2!E15</f>
        <v>4.8000000000000001E-2</v>
      </c>
    </row>
    <row r="59" spans="1:3" x14ac:dyDescent="0.2">
      <c r="A59" s="22" t="s">
        <v>65</v>
      </c>
      <c r="B59" s="57" t="s">
        <v>66</v>
      </c>
      <c r="C59" s="124">
        <f>[31]С2.2!E16</f>
        <v>1</v>
      </c>
    </row>
    <row r="60" spans="1:3" ht="15.75" x14ac:dyDescent="0.2">
      <c r="A60" s="22" t="s">
        <v>67</v>
      </c>
      <c r="B60" s="58" t="s">
        <v>68</v>
      </c>
      <c r="C60" s="34">
        <f>[31]С2!F21</f>
        <v>1</v>
      </c>
    </row>
    <row r="61" spans="1:3" ht="30" x14ac:dyDescent="0.2">
      <c r="A61" s="59" t="s">
        <v>69</v>
      </c>
      <c r="B61" s="33" t="s">
        <v>243</v>
      </c>
      <c r="C61" s="34">
        <f>[31]С2!F13</f>
        <v>116526.45062105893</v>
      </c>
    </row>
    <row r="62" spans="1:3" ht="30" x14ac:dyDescent="0.2">
      <c r="A62" s="59" t="s">
        <v>71</v>
      </c>
      <c r="B62" s="60" t="s">
        <v>244</v>
      </c>
      <c r="C62" s="34">
        <f>[31]С2!F14</f>
        <v>64899</v>
      </c>
    </row>
    <row r="63" spans="1:3" ht="15.75" x14ac:dyDescent="0.2">
      <c r="A63" s="59" t="s">
        <v>73</v>
      </c>
      <c r="B63" s="60" t="s">
        <v>74</v>
      </c>
      <c r="C63" s="40">
        <f>[31]С2!F15</f>
        <v>1.071</v>
      </c>
    </row>
    <row r="64" spans="1:3" ht="15.75" x14ac:dyDescent="0.2">
      <c r="A64" s="59" t="s">
        <v>75</v>
      </c>
      <c r="B64" s="60" t="s">
        <v>76</v>
      </c>
      <c r="C64" s="125">
        <f>[31]С2!F16</f>
        <v>1</v>
      </c>
    </row>
    <row r="65" spans="1:3" ht="17.25" x14ac:dyDescent="0.2">
      <c r="A65" s="59" t="s">
        <v>77</v>
      </c>
      <c r="B65" s="60" t="s">
        <v>78</v>
      </c>
      <c r="C65" s="126">
        <f>[31]С2!F17</f>
        <v>1.01</v>
      </c>
    </row>
    <row r="66" spans="1:3" s="63" customFormat="1" ht="14.25" x14ac:dyDescent="0.2">
      <c r="A66" s="59" t="s">
        <v>79</v>
      </c>
      <c r="B66" s="61" t="s">
        <v>80</v>
      </c>
      <c r="C66" s="62">
        <f>[31]С2!F35</f>
        <v>10</v>
      </c>
    </row>
    <row r="67" spans="1:3" ht="30" x14ac:dyDescent="0.2">
      <c r="A67" s="59" t="s">
        <v>81</v>
      </c>
      <c r="B67" s="64" t="s">
        <v>82</v>
      </c>
      <c r="C67" s="34">
        <f>[31]С2!F28</f>
        <v>366.91081711820414</v>
      </c>
    </row>
    <row r="68" spans="1:3" ht="17.25" x14ac:dyDescent="0.2">
      <c r="A68" s="59" t="s">
        <v>83</v>
      </c>
      <c r="B68" s="53" t="s">
        <v>245</v>
      </c>
      <c r="C68" s="40">
        <f>[31]С2!F29</f>
        <v>0.44209422600000003</v>
      </c>
    </row>
    <row r="69" spans="1:3" ht="17.25" x14ac:dyDescent="0.2">
      <c r="A69" s="59" t="s">
        <v>85</v>
      </c>
      <c r="B69" s="58" t="s">
        <v>246</v>
      </c>
      <c r="C69" s="62">
        <f>[31]С2!F30</f>
        <v>500</v>
      </c>
    </row>
    <row r="70" spans="1:3" ht="42.75" x14ac:dyDescent="0.2">
      <c r="A70" s="59" t="s">
        <v>87</v>
      </c>
      <c r="B70" s="33" t="s">
        <v>247</v>
      </c>
      <c r="C70" s="34">
        <f>[31]С2!F22</f>
        <v>43932.649760529566</v>
      </c>
    </row>
    <row r="71" spans="1:3" ht="30" x14ac:dyDescent="0.2">
      <c r="A71" s="59" t="s">
        <v>89</v>
      </c>
      <c r="B71" s="60" t="s">
        <v>248</v>
      </c>
      <c r="C71" s="34">
        <f>[31]С2!F23</f>
        <v>21</v>
      </c>
    </row>
    <row r="72" spans="1:3" ht="30" x14ac:dyDescent="0.2">
      <c r="A72" s="59" t="s">
        <v>91</v>
      </c>
      <c r="B72" s="53" t="s">
        <v>92</v>
      </c>
      <c r="C72" s="34">
        <f>[31]С2.1!E28</f>
        <v>14036.09995</v>
      </c>
    </row>
    <row r="73" spans="1:3" ht="38.25" x14ac:dyDescent="0.2">
      <c r="A73" s="59" t="s">
        <v>93</v>
      </c>
      <c r="B73" s="65" t="s">
        <v>94</v>
      </c>
      <c r="C73" s="52">
        <f>[31]С2.3!E21</f>
        <v>0</v>
      </c>
    </row>
    <row r="74" spans="1:3" ht="25.5" x14ac:dyDescent="0.2">
      <c r="A74" s="59" t="s">
        <v>95</v>
      </c>
      <c r="B74" s="66" t="s">
        <v>96</v>
      </c>
      <c r="C74" s="67">
        <f>[31]С2.3!E11</f>
        <v>5.45</v>
      </c>
    </row>
    <row r="75" spans="1:3" ht="25.5" x14ac:dyDescent="0.2">
      <c r="A75" s="59" t="s">
        <v>97</v>
      </c>
      <c r="B75" s="66" t="s">
        <v>98</v>
      </c>
      <c r="C75" s="62">
        <f>[31]С2.3!E13</f>
        <v>300</v>
      </c>
    </row>
    <row r="76" spans="1:3" ht="25.5" x14ac:dyDescent="0.2">
      <c r="A76" s="59" t="s">
        <v>99</v>
      </c>
      <c r="B76" s="65" t="s">
        <v>100</v>
      </c>
      <c r="C76" s="68">
        <f>IF([31]С2.3!E22&gt;0,[31]С2.3!E22,[31]С2.3!E14)</f>
        <v>61211</v>
      </c>
    </row>
    <row r="77" spans="1:3" ht="38.25" x14ac:dyDescent="0.2">
      <c r="A77" s="59" t="s">
        <v>101</v>
      </c>
      <c r="B77" s="65" t="s">
        <v>102</v>
      </c>
      <c r="C77" s="68">
        <f>IF([31]С2.3!E23&gt;0,[31]С2.3!E23,[31]С2.3!E15)</f>
        <v>45675</v>
      </c>
    </row>
    <row r="78" spans="1:3" ht="30" x14ac:dyDescent="0.2">
      <c r="A78" s="59" t="s">
        <v>103</v>
      </c>
      <c r="B78" s="53" t="s">
        <v>104</v>
      </c>
      <c r="C78" s="34">
        <f>[31]С2.1!E29</f>
        <v>9518.3274000000001</v>
      </c>
    </row>
    <row r="79" spans="1:3" ht="38.25" x14ac:dyDescent="0.2">
      <c r="A79" s="59" t="s">
        <v>105</v>
      </c>
      <c r="B79" s="65" t="s">
        <v>106</v>
      </c>
      <c r="C79" s="52">
        <f>[31]С2.3!E25</f>
        <v>0</v>
      </c>
    </row>
    <row r="80" spans="1:3" ht="25.5" x14ac:dyDescent="0.2">
      <c r="A80" s="59" t="s">
        <v>107</v>
      </c>
      <c r="B80" s="66" t="s">
        <v>108</v>
      </c>
      <c r="C80" s="67">
        <f>[31]С2.3!E12</f>
        <v>0.2</v>
      </c>
    </row>
    <row r="81" spans="1:3" ht="25.5" x14ac:dyDescent="0.2">
      <c r="A81" s="59" t="s">
        <v>109</v>
      </c>
      <c r="B81" s="66" t="s">
        <v>98</v>
      </c>
      <c r="C81" s="62">
        <f>[31]С2.3!E13</f>
        <v>300</v>
      </c>
    </row>
    <row r="82" spans="1:3" ht="25.5" x14ac:dyDescent="0.2">
      <c r="A82" s="59" t="s">
        <v>110</v>
      </c>
      <c r="B82" s="69" t="s">
        <v>111</v>
      </c>
      <c r="C82" s="68">
        <f>IF([31]С2.3!E26&gt;0,[31]С2.3!E26,[31]С2.3!E16)</f>
        <v>65637</v>
      </c>
    </row>
    <row r="83" spans="1:3" ht="38.25" x14ac:dyDescent="0.2">
      <c r="A83" s="59" t="s">
        <v>112</v>
      </c>
      <c r="B83" s="69" t="s">
        <v>113</v>
      </c>
      <c r="C83" s="68">
        <f>IF([31]С2.3!E27&gt;0,[31]С2.3!E27,[31]С2.3!E17)</f>
        <v>31684</v>
      </c>
    </row>
    <row r="84" spans="1:3" ht="30" x14ac:dyDescent="0.2">
      <c r="A84" s="59" t="s">
        <v>249</v>
      </c>
      <c r="B84" s="60" t="s">
        <v>250</v>
      </c>
      <c r="C84" s="68">
        <f>IF([31]С2.1!E19&gt;0,[31]С2.1!E19,[31]С2!F26)</f>
        <v>2892</v>
      </c>
    </row>
    <row r="85" spans="1:3" ht="17.25" x14ac:dyDescent="0.2">
      <c r="A85" s="59" t="s">
        <v>114</v>
      </c>
      <c r="B85" s="33" t="s">
        <v>115</v>
      </c>
      <c r="C85" s="35">
        <f>[31]С2!F31</f>
        <v>0.17804631770487722</v>
      </c>
    </row>
    <row r="86" spans="1:3" ht="30" x14ac:dyDescent="0.2">
      <c r="A86" s="59" t="s">
        <v>116</v>
      </c>
      <c r="B86" s="53" t="s">
        <v>117</v>
      </c>
      <c r="C86" s="70">
        <f>[31]С2!F32</f>
        <v>0.1652189781021898</v>
      </c>
    </row>
    <row r="87" spans="1:3" ht="17.25" x14ac:dyDescent="0.2">
      <c r="A87" s="59" t="s">
        <v>118</v>
      </c>
      <c r="B87" s="71" t="s">
        <v>119</v>
      </c>
      <c r="C87" s="35">
        <f>[31]С2!F33</f>
        <v>0.13880000000000001</v>
      </c>
    </row>
    <row r="88" spans="1:3" s="63" customFormat="1" ht="18" thickBot="1" x14ac:dyDescent="0.25">
      <c r="A88" s="72" t="s">
        <v>120</v>
      </c>
      <c r="B88" s="73" t="s">
        <v>121</v>
      </c>
      <c r="C88" s="74">
        <f>[31]С2!F34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[31]С3!F14</f>
        <v>10281.56929785238</v>
      </c>
    </row>
    <row r="92" spans="1:3" s="63" customFormat="1" ht="42.75" x14ac:dyDescent="0.2">
      <c r="A92" s="77" t="s">
        <v>126</v>
      </c>
      <c r="B92" s="53" t="s">
        <v>127</v>
      </c>
      <c r="C92" s="78">
        <f>[31]С3!F15</f>
        <v>0.25</v>
      </c>
    </row>
    <row r="93" spans="1:3" s="63" customFormat="1" ht="14.25" x14ac:dyDescent="0.2">
      <c r="A93" s="77" t="s">
        <v>128</v>
      </c>
      <c r="B93" s="79" t="s">
        <v>129</v>
      </c>
      <c r="C93" s="62">
        <f>[31]С3!F18</f>
        <v>15</v>
      </c>
    </row>
    <row r="94" spans="1:3" s="63" customFormat="1" ht="17.25" x14ac:dyDescent="0.2">
      <c r="A94" s="77" t="s">
        <v>130</v>
      </c>
      <c r="B94" s="33" t="s">
        <v>131</v>
      </c>
      <c r="C94" s="34">
        <f>[31]С3!F19</f>
        <v>2924.0805304518653</v>
      </c>
    </row>
    <row r="95" spans="1:3" s="63" customFormat="1" ht="55.5" x14ac:dyDescent="0.2">
      <c r="A95" s="77" t="s">
        <v>132</v>
      </c>
      <c r="B95" s="53" t="s">
        <v>133</v>
      </c>
      <c r="C95" s="80">
        <f>[31]С3!F20</f>
        <v>2.1999999999999999E-2</v>
      </c>
    </row>
    <row r="96" spans="1:3" s="63" customFormat="1" ht="14.25" x14ac:dyDescent="0.2">
      <c r="A96" s="77" t="s">
        <v>134</v>
      </c>
      <c r="B96" s="58" t="s">
        <v>80</v>
      </c>
      <c r="C96" s="62">
        <f>[31]С3!F21</f>
        <v>10</v>
      </c>
    </row>
    <row r="97" spans="1:3" s="63" customFormat="1" ht="17.25" x14ac:dyDescent="0.2">
      <c r="A97" s="77" t="s">
        <v>135</v>
      </c>
      <c r="B97" s="33" t="s">
        <v>136</v>
      </c>
      <c r="C97" s="34">
        <f>[31]С3!F22</f>
        <v>1.1007324513546124</v>
      </c>
    </row>
    <row r="98" spans="1:3" s="63" customFormat="1" ht="55.5" x14ac:dyDescent="0.2">
      <c r="A98" s="77" t="s">
        <v>137</v>
      </c>
      <c r="B98" s="53" t="s">
        <v>138</v>
      </c>
      <c r="C98" s="80">
        <f>[31]С3!F23</f>
        <v>3.0000000000000001E-3</v>
      </c>
    </row>
    <row r="99" spans="1:3" s="63" customFormat="1" ht="30.75" thickBot="1" x14ac:dyDescent="0.25">
      <c r="A99" s="81" t="s">
        <v>139</v>
      </c>
      <c r="B99" s="82" t="s">
        <v>82</v>
      </c>
      <c r="C99" s="83">
        <f>[31]С3!F24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[31]С4!F16</f>
        <v>832.33500000000004</v>
      </c>
    </row>
    <row r="103" spans="1:3" ht="30" x14ac:dyDescent="0.2">
      <c r="A103" s="59" t="s">
        <v>145</v>
      </c>
      <c r="B103" s="58" t="s">
        <v>252</v>
      </c>
      <c r="C103" s="34">
        <f>[31]С4!F17</f>
        <v>43385</v>
      </c>
    </row>
    <row r="104" spans="1:3" ht="17.25" x14ac:dyDescent="0.2">
      <c r="A104" s="59" t="s">
        <v>147</v>
      </c>
      <c r="B104" s="58" t="s">
        <v>148</v>
      </c>
      <c r="C104" s="40">
        <f>[31]С4!F18</f>
        <v>1.4999999999999999E-2</v>
      </c>
    </row>
    <row r="105" spans="1:3" ht="30" x14ac:dyDescent="0.2">
      <c r="A105" s="59" t="s">
        <v>149</v>
      </c>
      <c r="B105" s="58" t="s">
        <v>150</v>
      </c>
      <c r="C105" s="34">
        <f>[31]С4!F19</f>
        <v>12104</v>
      </c>
    </row>
    <row r="106" spans="1:3" ht="31.5" x14ac:dyDescent="0.2">
      <c r="A106" s="59" t="s">
        <v>151</v>
      </c>
      <c r="B106" s="58" t="s">
        <v>152</v>
      </c>
      <c r="C106" s="40">
        <f>[31]С4!F20</f>
        <v>1.4999999999999999E-2</v>
      </c>
    </row>
    <row r="107" spans="1:3" ht="30" x14ac:dyDescent="0.2">
      <c r="A107" s="59" t="s">
        <v>153</v>
      </c>
      <c r="B107" s="33" t="s">
        <v>253</v>
      </c>
      <c r="C107" s="34">
        <f>[31]С4!F21</f>
        <v>1221.9019409821399</v>
      </c>
    </row>
    <row r="108" spans="1:3" ht="45.6" customHeight="1" x14ac:dyDescent="0.2">
      <c r="A108" s="59" t="s">
        <v>155</v>
      </c>
      <c r="B108" s="53" t="s">
        <v>156</v>
      </c>
      <c r="C108" s="85" t="str">
        <f>IF([31]С4.2!F8="да",[31]С4.2!D21,[31]С4.2!D15)</f>
        <v>АО "Новосибирскэнергосбыт"</v>
      </c>
    </row>
    <row r="109" spans="1:3" ht="68.25" customHeight="1" x14ac:dyDescent="0.2">
      <c r="A109" s="59" t="s">
        <v>157</v>
      </c>
      <c r="B109" s="53" t="s">
        <v>158</v>
      </c>
      <c r="C109" s="34">
        <f>[31]С4!F22</f>
        <v>3.6112641666666665</v>
      </c>
    </row>
    <row r="110" spans="1:3" ht="30" x14ac:dyDescent="0.2">
      <c r="A110" s="59" t="s">
        <v>159</v>
      </c>
      <c r="B110" s="58" t="s">
        <v>254</v>
      </c>
      <c r="C110" s="62">
        <f>[31]С4!F23</f>
        <v>110</v>
      </c>
    </row>
    <row r="111" spans="1:3" ht="14.25" x14ac:dyDescent="0.2">
      <c r="A111" s="59" t="s">
        <v>161</v>
      </c>
      <c r="B111" s="53" t="s">
        <v>162</v>
      </c>
      <c r="C111" s="34">
        <f>[31]С4!F24</f>
        <v>8497.1999999999989</v>
      </c>
    </row>
    <row r="112" spans="1:3" ht="14.25" x14ac:dyDescent="0.2">
      <c r="A112" s="59" t="s">
        <v>163</v>
      </c>
      <c r="B112" s="58" t="s">
        <v>164</v>
      </c>
      <c r="C112" s="40">
        <f>[31]С4!F25</f>
        <v>0.36199999999999999</v>
      </c>
    </row>
    <row r="113" spans="1:3" ht="17.25" x14ac:dyDescent="0.2">
      <c r="A113" s="59" t="s">
        <v>165</v>
      </c>
      <c r="B113" s="33" t="s">
        <v>166</v>
      </c>
      <c r="C113" s="34">
        <f>[31]С4!F26</f>
        <v>47.569780000000002</v>
      </c>
    </row>
    <row r="114" spans="1:3" ht="25.5" x14ac:dyDescent="0.2">
      <c r="A114" s="59" t="s">
        <v>167</v>
      </c>
      <c r="B114" s="53" t="s">
        <v>94</v>
      </c>
      <c r="C114" s="85">
        <f>[31]С4.3!E16</f>
        <v>0</v>
      </c>
    </row>
    <row r="115" spans="1:3" ht="25.5" x14ac:dyDescent="0.2">
      <c r="A115" s="59" t="s">
        <v>168</v>
      </c>
      <c r="B115" s="53" t="s">
        <v>169</v>
      </c>
      <c r="C115" s="34">
        <f>[31]С4.3!E17</f>
        <v>23.92</v>
      </c>
    </row>
    <row r="116" spans="1:3" ht="38.25" x14ac:dyDescent="0.2">
      <c r="A116" s="59" t="s">
        <v>170</v>
      </c>
      <c r="B116" s="53" t="s">
        <v>106</v>
      </c>
      <c r="C116" s="85">
        <f>[31]С4.3!E18</f>
        <v>0</v>
      </c>
    </row>
    <row r="117" spans="1:3" x14ac:dyDescent="0.2">
      <c r="A117" s="59" t="s">
        <v>171</v>
      </c>
      <c r="B117" s="53" t="s">
        <v>172</v>
      </c>
      <c r="C117" s="34">
        <f>[31]С4.3!E19</f>
        <v>18.579999999999998</v>
      </c>
    </row>
    <row r="118" spans="1:3" x14ac:dyDescent="0.2">
      <c r="A118" s="59" t="s">
        <v>173</v>
      </c>
      <c r="B118" s="58" t="s">
        <v>174</v>
      </c>
      <c r="C118" s="62">
        <f>[31]С4.3!E11</f>
        <v>1871</v>
      </c>
    </row>
    <row r="119" spans="1:3" x14ac:dyDescent="0.2">
      <c r="A119" s="59" t="s">
        <v>175</v>
      </c>
      <c r="B119" s="58" t="s">
        <v>176</v>
      </c>
      <c r="C119" s="52">
        <f>[31]С4.3!E12</f>
        <v>61</v>
      </c>
    </row>
    <row r="120" spans="1:3" x14ac:dyDescent="0.2">
      <c r="A120" s="59" t="s">
        <v>177</v>
      </c>
      <c r="B120" s="58" t="s">
        <v>178</v>
      </c>
      <c r="C120" s="52">
        <f>[31]С4.3!E13</f>
        <v>73</v>
      </c>
    </row>
    <row r="121" spans="1:3" ht="30" x14ac:dyDescent="0.2">
      <c r="A121" s="59" t="s">
        <v>179</v>
      </c>
      <c r="B121" s="33" t="s">
        <v>255</v>
      </c>
      <c r="C121" s="34">
        <f>[31]С4!F27</f>
        <v>904.62444244124072</v>
      </c>
    </row>
    <row r="122" spans="1:3" ht="25.5" x14ac:dyDescent="0.2">
      <c r="A122" s="59" t="s">
        <v>181</v>
      </c>
      <c r="B122" s="53" t="s">
        <v>256</v>
      </c>
      <c r="C122" s="34">
        <f>[31]С4!F28</f>
        <v>694.79603874135228</v>
      </c>
    </row>
    <row r="123" spans="1:3" ht="42.75" x14ac:dyDescent="0.2">
      <c r="A123" s="59" t="s">
        <v>183</v>
      </c>
      <c r="B123" s="53" t="s">
        <v>184</v>
      </c>
      <c r="C123" s="34">
        <f>[31]С4!F29</f>
        <v>209.82840369988838</v>
      </c>
    </row>
    <row r="124" spans="1:3" ht="30.75" thickBot="1" x14ac:dyDescent="0.25">
      <c r="A124" s="72" t="s">
        <v>185</v>
      </c>
      <c r="B124" s="90" t="s">
        <v>186</v>
      </c>
      <c r="C124" s="83">
        <f>[31]С4!F30</f>
        <v>808.44239724211775</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[31]С5!F17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IF([31]С6.1!E11="нет",[31]С6!F13,"")</f>
        <v/>
      </c>
    </row>
    <row r="131" spans="1:3" ht="42.75" x14ac:dyDescent="0.2">
      <c r="A131" s="59" t="s">
        <v>204</v>
      </c>
      <c r="B131" s="86" t="s">
        <v>205</v>
      </c>
      <c r="C131" s="92" t="str">
        <f>IF([31]С6.1!E12="нет",[31]С6.1!E17,"")</f>
        <v/>
      </c>
    </row>
    <row r="132" spans="1:3" ht="68.25" x14ac:dyDescent="0.2">
      <c r="A132" s="59" t="s">
        <v>206</v>
      </c>
      <c r="B132" s="91" t="s">
        <v>207</v>
      </c>
      <c r="C132" s="127" t="str">
        <f>IF([31]С6.1!E18="нет",[31]С6!F19,"")</f>
        <v/>
      </c>
    </row>
    <row r="133" spans="1:3" ht="55.5" x14ac:dyDescent="0.2">
      <c r="A133" s="59" t="s">
        <v>208</v>
      </c>
      <c r="B133" s="86" t="s">
        <v>209</v>
      </c>
      <c r="C133" s="35" t="str">
        <f>IF([31]С6.1!E18="нет",[31]С6.1!E19,"")</f>
        <v/>
      </c>
    </row>
    <row r="134" spans="1:3" ht="61.5" customHeight="1" x14ac:dyDescent="0.2">
      <c r="A134" s="59" t="s">
        <v>210</v>
      </c>
      <c r="B134" s="86" t="s">
        <v>257</v>
      </c>
      <c r="C134" s="35" t="str">
        <f>IF([31]С6.1!E18="нет",[31]С6.1!E22,"")</f>
        <v/>
      </c>
    </row>
    <row r="135" spans="1:3" ht="69" thickBot="1" x14ac:dyDescent="0.25">
      <c r="A135" s="72" t="s">
        <v>212</v>
      </c>
      <c r="B135" s="98" t="s">
        <v>213</v>
      </c>
      <c r="C135" s="74" t="str">
        <f>IF([31]С6.1!E18="нет",[31]С6.1!E23,"")</f>
        <v/>
      </c>
    </row>
    <row r="136" spans="1:3" s="89" customFormat="1" ht="13.5" thickBot="1" x14ac:dyDescent="0.25">
      <c r="A136" s="47"/>
      <c r="B136" s="75"/>
      <c r="C136" s="15"/>
    </row>
    <row r="137" spans="1:3" ht="15.75" x14ac:dyDescent="0.2">
      <c r="A137" s="84" t="s">
        <v>214</v>
      </c>
      <c r="B137" s="99" t="s">
        <v>215</v>
      </c>
      <c r="C137" s="100">
        <f>[31]С2!F39</f>
        <v>21.531904799999996</v>
      </c>
    </row>
    <row r="138" spans="1:3" ht="14.25" x14ac:dyDescent="0.2">
      <c r="A138" s="59" t="s">
        <v>216</v>
      </c>
      <c r="B138" s="58" t="s">
        <v>217</v>
      </c>
      <c r="C138" s="34">
        <f>[31]С2!F40</f>
        <v>7</v>
      </c>
    </row>
    <row r="139" spans="1:3" ht="17.25" x14ac:dyDescent="0.2">
      <c r="A139" s="59" t="s">
        <v>218</v>
      </c>
      <c r="B139" s="58" t="s">
        <v>219</v>
      </c>
      <c r="C139" s="34">
        <f>[31]С2!F42</f>
        <v>0.97</v>
      </c>
    </row>
    <row r="140" spans="1:3" ht="15" thickBot="1" x14ac:dyDescent="0.25">
      <c r="A140" s="72" t="s">
        <v>220</v>
      </c>
      <c r="B140" s="73" t="s">
        <v>221</v>
      </c>
      <c r="C140" s="46">
        <f>[31]С2!F44</f>
        <v>0.36199999999999999</v>
      </c>
    </row>
    <row r="141" spans="1:3" s="89" customFormat="1" ht="13.5" thickBot="1" x14ac:dyDescent="0.25">
      <c r="A141" s="47"/>
      <c r="B141" s="75"/>
      <c r="C141" s="15"/>
    </row>
    <row r="142" spans="1:3" ht="17.25" x14ac:dyDescent="0.2">
      <c r="A142" s="84" t="s">
        <v>222</v>
      </c>
      <c r="B142" s="103" t="s">
        <v>258</v>
      </c>
      <c r="C142" s="128">
        <f>[31]С2!F37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[31]С2.5!$E$11</f>
        <v>-2.9000000000000026E-2</v>
      </c>
    </row>
    <row r="146" spans="1:3" x14ac:dyDescent="0.2">
      <c r="B146" s="131">
        <f>B145+1</f>
        <v>2021</v>
      </c>
      <c r="C146" s="133">
        <f>[31]С2.5!$F$11</f>
        <v>0.245</v>
      </c>
    </row>
    <row r="147" spans="1:3" x14ac:dyDescent="0.2">
      <c r="B147" s="131">
        <f t="shared" ref="B147:B210" si="0">B146+1</f>
        <v>2022</v>
      </c>
      <c r="C147" s="134">
        <f>[31]С2.5!$G$11</f>
        <v>0.114</v>
      </c>
    </row>
    <row r="148" spans="1:3" x14ac:dyDescent="0.2">
      <c r="B148" s="110">
        <f t="shared" si="0"/>
        <v>2023</v>
      </c>
      <c r="C148" s="135">
        <f>[31]С2.5!$H$11</f>
        <v>0.04</v>
      </c>
    </row>
    <row r="149" spans="1:3" x14ac:dyDescent="0.2">
      <c r="B149" s="110">
        <f t="shared" si="0"/>
        <v>2024</v>
      </c>
      <c r="C149" s="135">
        <f>[31]С2.5!$I$11</f>
        <v>0.11700000000000001</v>
      </c>
    </row>
    <row r="150" spans="1:3" ht="13.5" thickBot="1" x14ac:dyDescent="0.25">
      <c r="B150" s="110">
        <f t="shared" si="0"/>
        <v>2025</v>
      </c>
      <c r="C150" s="135">
        <f>[31]С2.5!$J$11</f>
        <v>6.0999999999999999E-2</v>
      </c>
    </row>
    <row r="151" spans="1:3" ht="13.5" hidden="1" thickBot="1" x14ac:dyDescent="0.25">
      <c r="B151" s="110">
        <f t="shared" si="0"/>
        <v>2026</v>
      </c>
      <c r="C151" s="135">
        <f>[31]С2.5!$K$11</f>
        <v>0</v>
      </c>
    </row>
    <row r="152" spans="1:3" ht="13.5" hidden="1" thickBot="1" x14ac:dyDescent="0.25">
      <c r="B152" s="110">
        <f t="shared" si="0"/>
        <v>2027</v>
      </c>
      <c r="C152" s="135">
        <f>[31]С2.5!$L$11</f>
        <v>0</v>
      </c>
    </row>
    <row r="153" spans="1:3" ht="13.5" hidden="1" thickBot="1" x14ac:dyDescent="0.25">
      <c r="B153" s="110">
        <f t="shared" si="0"/>
        <v>2028</v>
      </c>
      <c r="C153" s="135">
        <f>[31]С2.5!$M$11</f>
        <v>0</v>
      </c>
    </row>
    <row r="154" spans="1:3" ht="13.5" hidden="1" thickBot="1" x14ac:dyDescent="0.25">
      <c r="B154" s="110">
        <f t="shared" si="0"/>
        <v>2029</v>
      </c>
      <c r="C154" s="135">
        <f>[31]С2.5!$N$11</f>
        <v>0</v>
      </c>
    </row>
    <row r="155" spans="1:3" ht="13.5" hidden="1" thickBot="1" x14ac:dyDescent="0.25">
      <c r="B155" s="110">
        <f t="shared" si="0"/>
        <v>2030</v>
      </c>
      <c r="C155" s="135">
        <f>[31]С2.5!$O$11</f>
        <v>0</v>
      </c>
    </row>
    <row r="156" spans="1:3" ht="13.5" hidden="1" thickBot="1" x14ac:dyDescent="0.25">
      <c r="B156" s="110">
        <f t="shared" si="0"/>
        <v>2031</v>
      </c>
      <c r="C156" s="135">
        <f>[31]С2.5!$P$11</f>
        <v>0</v>
      </c>
    </row>
    <row r="157" spans="1:3" ht="13.5" hidden="1" thickBot="1" x14ac:dyDescent="0.25">
      <c r="B157" s="110">
        <f t="shared" si="0"/>
        <v>2032</v>
      </c>
      <c r="C157" s="135">
        <f>[31]С2.5!$Q$11</f>
        <v>0</v>
      </c>
    </row>
    <row r="158" spans="1:3" ht="13.5" hidden="1" thickBot="1" x14ac:dyDescent="0.25">
      <c r="B158" s="110">
        <f t="shared" si="0"/>
        <v>2033</v>
      </c>
      <c r="C158" s="135">
        <f>[31]С2.5!$R$11</f>
        <v>0</v>
      </c>
    </row>
    <row r="159" spans="1:3" ht="13.5" hidden="1" thickBot="1" x14ac:dyDescent="0.25">
      <c r="B159" s="110">
        <f t="shared" si="0"/>
        <v>2034</v>
      </c>
      <c r="C159" s="135">
        <f>[31]С2.5!$S$11</f>
        <v>0</v>
      </c>
    </row>
    <row r="160" spans="1:3" ht="13.5" hidden="1" thickBot="1" x14ac:dyDescent="0.25">
      <c r="B160" s="110">
        <f t="shared" si="0"/>
        <v>2035</v>
      </c>
      <c r="C160" s="135">
        <f>[31]С2.5!$T$11</f>
        <v>0</v>
      </c>
    </row>
    <row r="161" spans="2:3" ht="13.5" hidden="1" thickBot="1" x14ac:dyDescent="0.25">
      <c r="B161" s="110">
        <f t="shared" si="0"/>
        <v>2036</v>
      </c>
      <c r="C161" s="135">
        <f>[31]С2.5!$U$11</f>
        <v>0</v>
      </c>
    </row>
    <row r="162" spans="2:3" ht="13.5" hidden="1" thickBot="1" x14ac:dyDescent="0.25">
      <c r="B162" s="110">
        <f t="shared" si="0"/>
        <v>2037</v>
      </c>
      <c r="C162" s="135">
        <f>[31]С2.5!$V$11</f>
        <v>0</v>
      </c>
    </row>
    <row r="163" spans="2:3" ht="13.5" hidden="1" thickBot="1" x14ac:dyDescent="0.25">
      <c r="B163" s="110">
        <f t="shared" si="0"/>
        <v>2038</v>
      </c>
      <c r="C163" s="135">
        <f>[31]С2.5!$W$11</f>
        <v>0</v>
      </c>
    </row>
    <row r="164" spans="2:3" ht="13.5" hidden="1" thickBot="1" x14ac:dyDescent="0.25">
      <c r="B164" s="110">
        <f t="shared" si="0"/>
        <v>2039</v>
      </c>
      <c r="C164" s="135">
        <f>[31]С2.5!$X$11</f>
        <v>0</v>
      </c>
    </row>
    <row r="165" spans="2:3" ht="13.5" hidden="1" thickBot="1" x14ac:dyDescent="0.25">
      <c r="B165" s="110">
        <f t="shared" si="0"/>
        <v>2040</v>
      </c>
      <c r="C165" s="135">
        <f>[31]С2.5!$Y$11</f>
        <v>0</v>
      </c>
    </row>
    <row r="166" spans="2:3" ht="13.5" hidden="1" thickBot="1" x14ac:dyDescent="0.25">
      <c r="B166" s="110">
        <f t="shared" si="0"/>
        <v>2041</v>
      </c>
      <c r="C166" s="135">
        <f>[31]С2.5!$Z$11</f>
        <v>0</v>
      </c>
    </row>
    <row r="167" spans="2:3" ht="13.5" hidden="1" thickBot="1" x14ac:dyDescent="0.25">
      <c r="B167" s="110">
        <f t="shared" si="0"/>
        <v>2042</v>
      </c>
      <c r="C167" s="135">
        <f>[31]С2.5!$AA$11</f>
        <v>0</v>
      </c>
    </row>
    <row r="168" spans="2:3" ht="13.5" hidden="1" thickBot="1" x14ac:dyDescent="0.25">
      <c r="B168" s="110">
        <f t="shared" si="0"/>
        <v>2043</v>
      </c>
      <c r="C168" s="135">
        <f>[31]С2.5!$AB$11</f>
        <v>0</v>
      </c>
    </row>
    <row r="169" spans="2:3" ht="13.5" hidden="1" thickBot="1" x14ac:dyDescent="0.25">
      <c r="B169" s="110">
        <f t="shared" si="0"/>
        <v>2044</v>
      </c>
      <c r="C169" s="135">
        <f>[31]С2.5!$AC$11</f>
        <v>0</v>
      </c>
    </row>
    <row r="170" spans="2:3" ht="13.5" hidden="1" thickBot="1" x14ac:dyDescent="0.25">
      <c r="B170" s="110">
        <f t="shared" si="0"/>
        <v>2045</v>
      </c>
      <c r="C170" s="135">
        <f>[31]С2.5!$AD$11</f>
        <v>0</v>
      </c>
    </row>
    <row r="171" spans="2:3" ht="13.5" hidden="1" thickBot="1" x14ac:dyDescent="0.25">
      <c r="B171" s="110">
        <f t="shared" si="0"/>
        <v>2046</v>
      </c>
      <c r="C171" s="135">
        <f>[31]С2.5!$AE$11</f>
        <v>0</v>
      </c>
    </row>
    <row r="172" spans="2:3" ht="13.5" hidden="1" thickBot="1" x14ac:dyDescent="0.25">
      <c r="B172" s="110">
        <f t="shared" si="0"/>
        <v>2047</v>
      </c>
      <c r="C172" s="135">
        <f>[31]С2.5!$AF$11</f>
        <v>0</v>
      </c>
    </row>
    <row r="173" spans="2:3" ht="13.5" hidden="1" thickBot="1" x14ac:dyDescent="0.25">
      <c r="B173" s="110">
        <f t="shared" si="0"/>
        <v>2048</v>
      </c>
      <c r="C173" s="135">
        <f>[31]С2.5!$AG$11</f>
        <v>0</v>
      </c>
    </row>
    <row r="174" spans="2:3" ht="13.5" hidden="1" thickBot="1" x14ac:dyDescent="0.25">
      <c r="B174" s="110">
        <f t="shared" si="0"/>
        <v>2049</v>
      </c>
      <c r="C174" s="135">
        <f>[31]С2.5!$AH$11</f>
        <v>0</v>
      </c>
    </row>
    <row r="175" spans="2:3" ht="13.5" hidden="1" thickBot="1" x14ac:dyDescent="0.25">
      <c r="B175" s="110">
        <f t="shared" si="0"/>
        <v>2050</v>
      </c>
      <c r="C175" s="135">
        <f>[31]С2.5!$AI$11</f>
        <v>0</v>
      </c>
    </row>
    <row r="176" spans="2:3" ht="13.5" hidden="1" thickBot="1" x14ac:dyDescent="0.25">
      <c r="B176" s="110">
        <f t="shared" si="0"/>
        <v>2051</v>
      </c>
      <c r="C176" s="135">
        <f>[31]С2.5!$AJ$11</f>
        <v>0</v>
      </c>
    </row>
    <row r="177" spans="2:3" ht="13.5" hidden="1" thickBot="1" x14ac:dyDescent="0.25">
      <c r="B177" s="110">
        <f t="shared" si="0"/>
        <v>2052</v>
      </c>
      <c r="C177" s="135">
        <f>[31]С2.5!$AK$11</f>
        <v>0</v>
      </c>
    </row>
    <row r="178" spans="2:3" ht="13.5" hidden="1" thickBot="1" x14ac:dyDescent="0.25">
      <c r="B178" s="110">
        <f t="shared" si="0"/>
        <v>2053</v>
      </c>
      <c r="C178" s="135">
        <f>[31]С2.5!$AL$11</f>
        <v>0</v>
      </c>
    </row>
    <row r="179" spans="2:3" ht="13.5" hidden="1" thickBot="1" x14ac:dyDescent="0.25">
      <c r="B179" s="110">
        <f t="shared" si="0"/>
        <v>2054</v>
      </c>
      <c r="C179" s="135">
        <f>[31]С2.5!$AM$11</f>
        <v>0</v>
      </c>
    </row>
    <row r="180" spans="2:3" ht="13.5" hidden="1" thickBot="1" x14ac:dyDescent="0.25">
      <c r="B180" s="110">
        <f t="shared" si="0"/>
        <v>2055</v>
      </c>
      <c r="C180" s="135">
        <f>[31]С2.5!$AN$11</f>
        <v>0</v>
      </c>
    </row>
    <row r="181" spans="2:3" ht="13.5" hidden="1" thickBot="1" x14ac:dyDescent="0.25">
      <c r="B181" s="110">
        <f t="shared" si="0"/>
        <v>2056</v>
      </c>
      <c r="C181" s="135">
        <f>[31]С2.5!$AO$11</f>
        <v>0</v>
      </c>
    </row>
    <row r="182" spans="2:3" ht="13.5" hidden="1" thickBot="1" x14ac:dyDescent="0.25">
      <c r="B182" s="110">
        <f t="shared" si="0"/>
        <v>2057</v>
      </c>
      <c r="C182" s="135">
        <f>[31]С2.5!$AP$11</f>
        <v>0</v>
      </c>
    </row>
    <row r="183" spans="2:3" ht="13.5" hidden="1" thickBot="1" x14ac:dyDescent="0.25">
      <c r="B183" s="110">
        <f t="shared" si="0"/>
        <v>2058</v>
      </c>
      <c r="C183" s="135">
        <f>[31]С2.5!$AQ$11</f>
        <v>0</v>
      </c>
    </row>
    <row r="184" spans="2:3" ht="13.5" hidden="1" thickBot="1" x14ac:dyDescent="0.25">
      <c r="B184" s="110">
        <f t="shared" si="0"/>
        <v>2059</v>
      </c>
      <c r="C184" s="135">
        <f>[31]С2.5!$AR$11</f>
        <v>0</v>
      </c>
    </row>
    <row r="185" spans="2:3" ht="13.5" hidden="1" thickBot="1" x14ac:dyDescent="0.25">
      <c r="B185" s="110">
        <f t="shared" si="0"/>
        <v>2060</v>
      </c>
      <c r="C185" s="135">
        <f>[31]С2.5!$AS$11</f>
        <v>0</v>
      </c>
    </row>
    <row r="186" spans="2:3" ht="13.5" hidden="1" thickBot="1" x14ac:dyDescent="0.25">
      <c r="B186" s="110">
        <f t="shared" si="0"/>
        <v>2061</v>
      </c>
      <c r="C186" s="135">
        <f>[31]С2.5!$AT$11</f>
        <v>0</v>
      </c>
    </row>
    <row r="187" spans="2:3" ht="13.5" hidden="1" thickBot="1" x14ac:dyDescent="0.25">
      <c r="B187" s="110">
        <f t="shared" si="0"/>
        <v>2062</v>
      </c>
      <c r="C187" s="135">
        <f>[31]С2.5!$AU$11</f>
        <v>0</v>
      </c>
    </row>
    <row r="188" spans="2:3" ht="13.5" hidden="1" thickBot="1" x14ac:dyDescent="0.25">
      <c r="B188" s="110">
        <f t="shared" si="0"/>
        <v>2063</v>
      </c>
      <c r="C188" s="135">
        <f>[31]С2.5!$AV$11</f>
        <v>0</v>
      </c>
    </row>
    <row r="189" spans="2:3" ht="13.5" hidden="1" thickBot="1" x14ac:dyDescent="0.25">
      <c r="B189" s="110">
        <f t="shared" si="0"/>
        <v>2064</v>
      </c>
      <c r="C189" s="135">
        <f>[31]С2.5!$AW$11</f>
        <v>0</v>
      </c>
    </row>
    <row r="190" spans="2:3" ht="13.5" hidden="1" thickBot="1" x14ac:dyDescent="0.25">
      <c r="B190" s="110">
        <f t="shared" si="0"/>
        <v>2065</v>
      </c>
      <c r="C190" s="135">
        <f>[31]С2.5!$AX$11</f>
        <v>0</v>
      </c>
    </row>
    <row r="191" spans="2:3" ht="13.5" hidden="1" thickBot="1" x14ac:dyDescent="0.25">
      <c r="B191" s="110">
        <f t="shared" si="0"/>
        <v>2066</v>
      </c>
      <c r="C191" s="135">
        <f>[31]С2.5!$AY$11</f>
        <v>0</v>
      </c>
    </row>
    <row r="192" spans="2:3" ht="13.5" hidden="1" thickBot="1" x14ac:dyDescent="0.25">
      <c r="B192" s="110">
        <f t="shared" si="0"/>
        <v>2067</v>
      </c>
      <c r="C192" s="135">
        <f>[31]С2.5!$AZ$11</f>
        <v>0</v>
      </c>
    </row>
    <row r="193" spans="2:3" ht="13.5" hidden="1" thickBot="1" x14ac:dyDescent="0.25">
      <c r="B193" s="110">
        <f t="shared" si="0"/>
        <v>2068</v>
      </c>
      <c r="C193" s="135">
        <f>[31]С2.5!$BA$11</f>
        <v>0</v>
      </c>
    </row>
    <row r="194" spans="2:3" ht="13.5" hidden="1" thickBot="1" x14ac:dyDescent="0.25">
      <c r="B194" s="110">
        <f t="shared" si="0"/>
        <v>2069</v>
      </c>
      <c r="C194" s="135">
        <f>[31]С2.5!$BB$11</f>
        <v>0</v>
      </c>
    </row>
    <row r="195" spans="2:3" ht="13.5" hidden="1" thickBot="1" x14ac:dyDescent="0.25">
      <c r="B195" s="110">
        <f t="shared" si="0"/>
        <v>2070</v>
      </c>
      <c r="C195" s="135">
        <f>[31]С2.5!$BC$11</f>
        <v>0</v>
      </c>
    </row>
    <row r="196" spans="2:3" ht="13.5" hidden="1" thickBot="1" x14ac:dyDescent="0.25">
      <c r="B196" s="110">
        <f t="shared" si="0"/>
        <v>2071</v>
      </c>
      <c r="C196" s="135">
        <f>[31]С2.5!$BD$11</f>
        <v>0</v>
      </c>
    </row>
    <row r="197" spans="2:3" ht="13.5" hidden="1" thickBot="1" x14ac:dyDescent="0.25">
      <c r="B197" s="110">
        <f t="shared" si="0"/>
        <v>2072</v>
      </c>
      <c r="C197" s="135">
        <f>[31]С2.5!$BE$11</f>
        <v>0</v>
      </c>
    </row>
    <row r="198" spans="2:3" ht="13.5" hidden="1" thickBot="1" x14ac:dyDescent="0.25">
      <c r="B198" s="110">
        <f t="shared" si="0"/>
        <v>2073</v>
      </c>
      <c r="C198" s="135">
        <f>[31]С2.5!$BF$11</f>
        <v>0</v>
      </c>
    </row>
    <row r="199" spans="2:3" ht="13.5" hidden="1" thickBot="1" x14ac:dyDescent="0.25">
      <c r="B199" s="110">
        <f t="shared" si="0"/>
        <v>2074</v>
      </c>
      <c r="C199" s="135">
        <f>[31]С2.5!$BG$11</f>
        <v>0</v>
      </c>
    </row>
    <row r="200" spans="2:3" ht="13.5" hidden="1" thickBot="1" x14ac:dyDescent="0.25">
      <c r="B200" s="110">
        <f t="shared" si="0"/>
        <v>2075</v>
      </c>
      <c r="C200" s="135">
        <f>[31]С2.5!$BH$11</f>
        <v>0</v>
      </c>
    </row>
    <row r="201" spans="2:3" ht="13.5" hidden="1" thickBot="1" x14ac:dyDescent="0.25">
      <c r="B201" s="110">
        <f t="shared" si="0"/>
        <v>2076</v>
      </c>
      <c r="C201" s="135">
        <f>[31]С2.5!$BI$11</f>
        <v>0</v>
      </c>
    </row>
    <row r="202" spans="2:3" ht="13.5" hidden="1" thickBot="1" x14ac:dyDescent="0.25">
      <c r="B202" s="110">
        <f t="shared" si="0"/>
        <v>2077</v>
      </c>
      <c r="C202" s="135">
        <f>[31]С2.5!$BJ$11</f>
        <v>0</v>
      </c>
    </row>
    <row r="203" spans="2:3" ht="13.5" hidden="1" thickBot="1" x14ac:dyDescent="0.25">
      <c r="B203" s="110">
        <f t="shared" si="0"/>
        <v>2078</v>
      </c>
      <c r="C203" s="135">
        <f>[31]С2.5!$BK$11</f>
        <v>0</v>
      </c>
    </row>
    <row r="204" spans="2:3" ht="13.5" hidden="1" thickBot="1" x14ac:dyDescent="0.25">
      <c r="B204" s="110">
        <f t="shared" si="0"/>
        <v>2079</v>
      </c>
      <c r="C204" s="135">
        <f>[31]С2.5!$BL$11</f>
        <v>0</v>
      </c>
    </row>
    <row r="205" spans="2:3" ht="13.5" hidden="1" thickBot="1" x14ac:dyDescent="0.25">
      <c r="B205" s="110">
        <f t="shared" si="0"/>
        <v>2080</v>
      </c>
      <c r="C205" s="135">
        <f>[31]С2.5!$BM$11</f>
        <v>0</v>
      </c>
    </row>
    <row r="206" spans="2:3" ht="13.5" hidden="1" thickBot="1" x14ac:dyDescent="0.25">
      <c r="B206" s="110">
        <f t="shared" si="0"/>
        <v>2081</v>
      </c>
      <c r="C206" s="135">
        <f>[31]С2.5!$BN$11</f>
        <v>0</v>
      </c>
    </row>
    <row r="207" spans="2:3" ht="13.5" hidden="1" thickBot="1" x14ac:dyDescent="0.25">
      <c r="B207" s="110">
        <f t="shared" si="0"/>
        <v>2082</v>
      </c>
      <c r="C207" s="135">
        <f>[31]С2.5!$BO$11</f>
        <v>0</v>
      </c>
    </row>
    <row r="208" spans="2:3" ht="13.5" hidden="1" thickBot="1" x14ac:dyDescent="0.25">
      <c r="B208" s="110">
        <f t="shared" si="0"/>
        <v>2083</v>
      </c>
      <c r="C208" s="135">
        <f>[31]С2.5!$BP$11</f>
        <v>0</v>
      </c>
    </row>
    <row r="209" spans="2:3" ht="13.5" hidden="1" thickBot="1" x14ac:dyDescent="0.25">
      <c r="B209" s="110">
        <f t="shared" si="0"/>
        <v>2084</v>
      </c>
      <c r="C209" s="135">
        <f>[31]С2.5!$BQ$11</f>
        <v>0</v>
      </c>
    </row>
    <row r="210" spans="2:3" ht="13.5" hidden="1" thickBot="1" x14ac:dyDescent="0.25">
      <c r="B210" s="110">
        <f t="shared" si="0"/>
        <v>2085</v>
      </c>
      <c r="C210" s="135">
        <f>[31]С2.5!$BR$11</f>
        <v>0</v>
      </c>
    </row>
    <row r="211" spans="2:3" ht="13.5" hidden="1" thickBot="1" x14ac:dyDescent="0.25">
      <c r="B211" s="110">
        <f t="shared" ref="B211:B224" si="1">B210+1</f>
        <v>2086</v>
      </c>
      <c r="C211" s="135">
        <f>[31]С2.5!$BS$11</f>
        <v>0</v>
      </c>
    </row>
    <row r="212" spans="2:3" ht="13.5" hidden="1" thickBot="1" x14ac:dyDescent="0.25">
      <c r="B212" s="110">
        <f t="shared" si="1"/>
        <v>2087</v>
      </c>
      <c r="C212" s="135">
        <f>[31]С2.5!$BT$11</f>
        <v>0</v>
      </c>
    </row>
    <row r="213" spans="2:3" ht="13.5" hidden="1" thickBot="1" x14ac:dyDescent="0.25">
      <c r="B213" s="110">
        <f t="shared" si="1"/>
        <v>2088</v>
      </c>
      <c r="C213" s="135">
        <f>[31]С2.5!$BU$11</f>
        <v>0</v>
      </c>
    </row>
    <row r="214" spans="2:3" ht="13.5" hidden="1" thickBot="1" x14ac:dyDescent="0.25">
      <c r="B214" s="110">
        <f t="shared" si="1"/>
        <v>2089</v>
      </c>
      <c r="C214" s="135">
        <f>[31]С2.5!$BV$11</f>
        <v>0</v>
      </c>
    </row>
    <row r="215" spans="2:3" ht="13.5" hidden="1" thickBot="1" x14ac:dyDescent="0.25">
      <c r="B215" s="110">
        <f t="shared" si="1"/>
        <v>2090</v>
      </c>
      <c r="C215" s="135">
        <f>[31]С2.5!$BW$11</f>
        <v>0</v>
      </c>
    </row>
    <row r="216" spans="2:3" ht="13.5" hidden="1" thickBot="1" x14ac:dyDescent="0.25">
      <c r="B216" s="110">
        <f t="shared" si="1"/>
        <v>2091</v>
      </c>
      <c r="C216" s="135">
        <f>[31]С2.5!$BX$11</f>
        <v>0</v>
      </c>
    </row>
    <row r="217" spans="2:3" ht="13.5" hidden="1" thickBot="1" x14ac:dyDescent="0.25">
      <c r="B217" s="110">
        <f t="shared" si="1"/>
        <v>2092</v>
      </c>
      <c r="C217" s="135">
        <f>[31]С2.5!$BY$11</f>
        <v>0</v>
      </c>
    </row>
    <row r="218" spans="2:3" ht="13.5" hidden="1" thickBot="1" x14ac:dyDescent="0.25">
      <c r="B218" s="110">
        <f t="shared" si="1"/>
        <v>2093</v>
      </c>
      <c r="C218" s="135">
        <f>[31]С2.5!$BZ$11</f>
        <v>0</v>
      </c>
    </row>
    <row r="219" spans="2:3" ht="13.5" hidden="1" thickBot="1" x14ac:dyDescent="0.25">
      <c r="B219" s="110">
        <f t="shared" si="1"/>
        <v>2094</v>
      </c>
      <c r="C219" s="135">
        <f>[31]С2.5!$CA$11</f>
        <v>0</v>
      </c>
    </row>
    <row r="220" spans="2:3" ht="13.5" hidden="1" thickBot="1" x14ac:dyDescent="0.25">
      <c r="B220" s="110">
        <f t="shared" si="1"/>
        <v>2095</v>
      </c>
      <c r="C220" s="135">
        <f>[31]С2.5!$CB$11</f>
        <v>0</v>
      </c>
    </row>
    <row r="221" spans="2:3" ht="13.5" hidden="1" thickBot="1" x14ac:dyDescent="0.25">
      <c r="B221" s="110">
        <f t="shared" si="1"/>
        <v>2096</v>
      </c>
      <c r="C221" s="135">
        <f>[31]С2.5!$CC$11</f>
        <v>0</v>
      </c>
    </row>
    <row r="222" spans="2:3" ht="13.5" hidden="1" thickBot="1" x14ac:dyDescent="0.25">
      <c r="B222" s="110">
        <f t="shared" si="1"/>
        <v>2097</v>
      </c>
      <c r="C222" s="135">
        <f>[31]С2.5!$CD$11</f>
        <v>0</v>
      </c>
    </row>
    <row r="223" spans="2:3" ht="13.5" hidden="1" thickBot="1" x14ac:dyDescent="0.25">
      <c r="B223" s="110">
        <f t="shared" si="1"/>
        <v>2098</v>
      </c>
      <c r="C223" s="135">
        <f>[31]С2.5!$CE$11</f>
        <v>0</v>
      </c>
    </row>
    <row r="224" spans="2:3" ht="13.5" hidden="1" thickBot="1" x14ac:dyDescent="0.25">
      <c r="B224" s="110">
        <f t="shared" si="1"/>
        <v>2099</v>
      </c>
      <c r="C224" s="135">
        <f>[31]С2.5!$CF$11</f>
        <v>0</v>
      </c>
    </row>
    <row r="225" spans="2:3" ht="13.5" hidden="1" thickBot="1" x14ac:dyDescent="0.25">
      <c r="B225" s="112">
        <f>B162+1</f>
        <v>2038</v>
      </c>
      <c r="C225" s="136" t="e">
        <f>[31]С2.5!#REF!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5" sqref="F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[33]И1!D13</f>
        <v>Субъект Российской Федерации</v>
      </c>
      <c r="C4" s="10" t="str">
        <f>[33]И1!E13</f>
        <v>Новосибирская область</v>
      </c>
    </row>
    <row r="5" spans="1:3" ht="46.9" customHeight="1" x14ac:dyDescent="0.2">
      <c r="A5" s="8"/>
      <c r="B5" s="9" t="str">
        <f>[33]И1!D14</f>
        <v>Тип муниципального образования (выберите из списка)</v>
      </c>
      <c r="C5" s="10" t="str">
        <f>[33]И1!E14</f>
        <v xml:space="preserve">село Быстровка, Искитимский муниципальный район </v>
      </c>
    </row>
    <row r="6" spans="1:3" x14ac:dyDescent="0.2">
      <c r="A6" s="8"/>
      <c r="B6" s="9" t="str">
        <f>IF([33]И1!E15="","",[33]И1!D15)</f>
        <v/>
      </c>
      <c r="C6" s="10" t="str">
        <f>IF([33]И1!E15="","",[33]И1!E15)</f>
        <v/>
      </c>
    </row>
    <row r="7" spans="1:3" x14ac:dyDescent="0.2">
      <c r="A7" s="8"/>
      <c r="B7" s="9" t="str">
        <f>[33]И1!D16</f>
        <v>Код ОКТМО</v>
      </c>
      <c r="C7" s="11" t="str">
        <f>[33]И1!E16</f>
        <v>(50615402101)</v>
      </c>
    </row>
    <row r="8" spans="1:3" x14ac:dyDescent="0.2">
      <c r="A8" s="8"/>
      <c r="B8" s="12" t="str">
        <f>[33]И1!D17</f>
        <v>Система теплоснабжения</v>
      </c>
      <c r="C8" s="13">
        <f>[33]И1!E17</f>
        <v>0</v>
      </c>
    </row>
    <row r="9" spans="1:3" x14ac:dyDescent="0.2">
      <c r="A9" s="8"/>
      <c r="B9" s="9" t="str">
        <f>[33]И1!D8</f>
        <v>Период регулирования (i)-й</v>
      </c>
      <c r="C9" s="14">
        <f>[33]И1!E8</f>
        <v>2025</v>
      </c>
    </row>
    <row r="10" spans="1:3" x14ac:dyDescent="0.2">
      <c r="A10" s="8"/>
      <c r="B10" s="9" t="str">
        <f>[33]И1!D9</f>
        <v>Период регулирования (i-1)-й</v>
      </c>
      <c r="C10" s="14">
        <f>[33]И1!E9</f>
        <v>2024</v>
      </c>
    </row>
    <row r="11" spans="1:3" x14ac:dyDescent="0.2">
      <c r="A11" s="8"/>
      <c r="B11" s="9" t="str">
        <f>[33]И1!D10</f>
        <v>Период регулирования (i-2)-й</v>
      </c>
      <c r="C11" s="14">
        <f>[33]И1!E10</f>
        <v>2023</v>
      </c>
    </row>
    <row r="12" spans="1:3" x14ac:dyDescent="0.2">
      <c r="A12" s="8"/>
      <c r="B12" s="9" t="str">
        <f>[33]И1!D11</f>
        <v>Базовый год (б)</v>
      </c>
      <c r="C12" s="14">
        <f>[33]И1!E11</f>
        <v>2019</v>
      </c>
    </row>
    <row r="13" spans="1:3" ht="38.25" x14ac:dyDescent="0.2">
      <c r="A13" s="8"/>
      <c r="B13" s="9" t="str">
        <f>[33]И1!D18</f>
        <v>Вид топлива, использование которого преобладает в системе теплоснабжения</v>
      </c>
      <c r="C13" s="15" t="str">
        <f>[33]С1.1!E13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5720.0356804007079</v>
      </c>
    </row>
    <row r="18" spans="1:3" ht="42.75" x14ac:dyDescent="0.2">
      <c r="A18" s="22" t="s">
        <v>8</v>
      </c>
      <c r="B18" s="25" t="s">
        <v>9</v>
      </c>
      <c r="C18" s="26">
        <f>[33]С1!F12</f>
        <v>1095.1596691261034</v>
      </c>
    </row>
    <row r="19" spans="1:3" ht="42.75" x14ac:dyDescent="0.2">
      <c r="A19" s="22" t="s">
        <v>10</v>
      </c>
      <c r="B19" s="25" t="s">
        <v>11</v>
      </c>
      <c r="C19" s="26">
        <f>[33]С2!F12</f>
        <v>3063.2235383547568</v>
      </c>
    </row>
    <row r="20" spans="1:3" ht="30" x14ac:dyDescent="0.2">
      <c r="A20" s="22" t="s">
        <v>12</v>
      </c>
      <c r="B20" s="25" t="s">
        <v>13</v>
      </c>
      <c r="C20" s="26">
        <f>[33]С3!F12</f>
        <v>917.89815316767874</v>
      </c>
    </row>
    <row r="21" spans="1:3" ht="42.75" x14ac:dyDescent="0.2">
      <c r="A21" s="22" t="s">
        <v>14</v>
      </c>
      <c r="B21" s="25" t="s">
        <v>15</v>
      </c>
      <c r="C21" s="26">
        <f>[33]С4!F12</f>
        <v>531.5967573913714</v>
      </c>
    </row>
    <row r="22" spans="1:3" ht="30" x14ac:dyDescent="0.2">
      <c r="A22" s="22" t="s">
        <v>16</v>
      </c>
      <c r="B22" s="25" t="s">
        <v>17</v>
      </c>
      <c r="C22" s="26">
        <f>[33]С5!F12</f>
        <v>112.15756236079821</v>
      </c>
    </row>
    <row r="23" spans="1:3" ht="43.5" thickBot="1" x14ac:dyDescent="0.25">
      <c r="A23" s="27" t="s">
        <v>18</v>
      </c>
      <c r="B23" s="140" t="s">
        <v>19</v>
      </c>
      <c r="C23" s="28" t="str">
        <f>[33]С6!F12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[33]С1.1!E16</f>
        <v>5100</v>
      </c>
    </row>
    <row r="29" spans="1:3" ht="42.75" x14ac:dyDescent="0.2">
      <c r="A29" s="22" t="s">
        <v>10</v>
      </c>
      <c r="B29" s="33" t="s">
        <v>22</v>
      </c>
      <c r="C29" s="34">
        <f>[33]С1.1!E27</f>
        <v>3950.52</v>
      </c>
    </row>
    <row r="30" spans="1:3" ht="17.25" x14ac:dyDescent="0.2">
      <c r="A30" s="22" t="s">
        <v>12</v>
      </c>
      <c r="B30" s="33" t="s">
        <v>23</v>
      </c>
      <c r="C30" s="35">
        <f>[33]С1.1!E19</f>
        <v>1.4E-2</v>
      </c>
    </row>
    <row r="31" spans="1:3" ht="17.25" x14ac:dyDescent="0.2">
      <c r="A31" s="22" t="s">
        <v>14</v>
      </c>
      <c r="B31" s="33" t="s">
        <v>24</v>
      </c>
      <c r="C31" s="35">
        <f>[33]С1.1!E20</f>
        <v>0.04</v>
      </c>
    </row>
    <row r="32" spans="1:3" ht="30" x14ac:dyDescent="0.2">
      <c r="A32" s="22" t="s">
        <v>16</v>
      </c>
      <c r="B32" s="36" t="s">
        <v>25</v>
      </c>
      <c r="C32" s="37">
        <f>[33]С1!F13</f>
        <v>176.4</v>
      </c>
    </row>
    <row r="33" spans="1:3" x14ac:dyDescent="0.2">
      <c r="A33" s="22" t="s">
        <v>18</v>
      </c>
      <c r="B33" s="36" t="s">
        <v>26</v>
      </c>
      <c r="C33" s="38">
        <f>[33]С1!F16</f>
        <v>7000</v>
      </c>
    </row>
    <row r="34" spans="1:3" ht="14.25" x14ac:dyDescent="0.2">
      <c r="A34" s="22" t="s">
        <v>27</v>
      </c>
      <c r="B34" s="39" t="s">
        <v>28</v>
      </c>
      <c r="C34" s="40">
        <f>[33]С1!F17</f>
        <v>0.72857142857142854</v>
      </c>
    </row>
    <row r="35" spans="1:3" ht="15.75" x14ac:dyDescent="0.2">
      <c r="A35" s="41" t="s">
        <v>29</v>
      </c>
      <c r="B35" s="42" t="s">
        <v>30</v>
      </c>
      <c r="C35" s="40">
        <f>[33]С1!F20</f>
        <v>21.588411179999994</v>
      </c>
    </row>
    <row r="36" spans="1:3" ht="15.75" x14ac:dyDescent="0.2">
      <c r="A36" s="41" t="s">
        <v>31</v>
      </c>
      <c r="B36" s="43" t="s">
        <v>32</v>
      </c>
      <c r="C36" s="40">
        <f>[33]С1!F21</f>
        <v>20.818139999999996</v>
      </c>
    </row>
    <row r="37" spans="1:3" ht="14.25" x14ac:dyDescent="0.2">
      <c r="A37" s="41" t="s">
        <v>33</v>
      </c>
      <c r="B37" s="44" t="s">
        <v>34</v>
      </c>
      <c r="C37" s="40">
        <f>[33]С1!F22</f>
        <v>1.0369999999999999</v>
      </c>
    </row>
    <row r="38" spans="1:3" ht="53.25" thickBot="1" x14ac:dyDescent="0.25">
      <c r="A38" s="27" t="s">
        <v>35</v>
      </c>
      <c r="B38" s="45" t="s">
        <v>36</v>
      </c>
      <c r="C38" s="46">
        <f>[33]С1!F23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[33]С2.1!E12</f>
        <v>V</v>
      </c>
    </row>
    <row r="42" spans="1:3" ht="25.5" x14ac:dyDescent="0.2">
      <c r="A42" s="22" t="s">
        <v>41</v>
      </c>
      <c r="B42" s="33" t="s">
        <v>42</v>
      </c>
      <c r="C42" s="51" t="str">
        <f>[33]С2.1!E13</f>
        <v>6 и менее баллов</v>
      </c>
    </row>
    <row r="43" spans="1:3" ht="25.5" x14ac:dyDescent="0.2">
      <c r="A43" s="22" t="s">
        <v>43</v>
      </c>
      <c r="B43" s="33" t="s">
        <v>44</v>
      </c>
      <c r="C43" s="51" t="str">
        <f>[33]С2.1!E14</f>
        <v>от 200 до 500</v>
      </c>
    </row>
    <row r="44" spans="1:3" ht="25.5" x14ac:dyDescent="0.2">
      <c r="A44" s="22" t="s">
        <v>45</v>
      </c>
      <c r="B44" s="33" t="s">
        <v>46</v>
      </c>
      <c r="C44" s="52" t="str">
        <f>[33]С2.1!E15</f>
        <v>нет</v>
      </c>
    </row>
    <row r="45" spans="1:3" ht="30" x14ac:dyDescent="0.2">
      <c r="A45" s="22" t="s">
        <v>47</v>
      </c>
      <c r="B45" s="33" t="s">
        <v>48</v>
      </c>
      <c r="C45" s="34">
        <f>[33]С2!F18</f>
        <v>38910.02669467502</v>
      </c>
    </row>
    <row r="46" spans="1:3" ht="30" x14ac:dyDescent="0.2">
      <c r="A46" s="22" t="s">
        <v>49</v>
      </c>
      <c r="B46" s="53" t="s">
        <v>50</v>
      </c>
      <c r="C46" s="34">
        <f>IF([33]С2!F19&gt;0,[33]С2!F19,[33]С2!F20)</f>
        <v>23441.524932855718</v>
      </c>
    </row>
    <row r="47" spans="1:3" ht="25.5" x14ac:dyDescent="0.2">
      <c r="A47" s="22" t="s">
        <v>51</v>
      </c>
      <c r="B47" s="54" t="s">
        <v>52</v>
      </c>
      <c r="C47" s="34">
        <f>[33]С2.1!E19</f>
        <v>-38</v>
      </c>
    </row>
    <row r="48" spans="1:3" ht="25.5" x14ac:dyDescent="0.2">
      <c r="A48" s="22" t="s">
        <v>53</v>
      </c>
      <c r="B48" s="54" t="s">
        <v>54</v>
      </c>
      <c r="C48" s="34" t="str">
        <f>[33]С2.1!E22</f>
        <v>нет</v>
      </c>
    </row>
    <row r="49" spans="1:3" ht="38.25" x14ac:dyDescent="0.2">
      <c r="A49" s="22" t="s">
        <v>55</v>
      </c>
      <c r="B49" s="55" t="s">
        <v>56</v>
      </c>
      <c r="C49" s="34">
        <f>[33]С2.2!E10</f>
        <v>1287</v>
      </c>
    </row>
    <row r="50" spans="1:3" ht="25.5" x14ac:dyDescent="0.2">
      <c r="A50" s="22" t="s">
        <v>57</v>
      </c>
      <c r="B50" s="56" t="s">
        <v>58</v>
      </c>
      <c r="C50" s="34">
        <f>[33]С2.2!E12</f>
        <v>5.97</v>
      </c>
    </row>
    <row r="51" spans="1:3" ht="52.5" x14ac:dyDescent="0.2">
      <c r="A51" s="22" t="s">
        <v>59</v>
      </c>
      <c r="B51" s="57" t="s">
        <v>60</v>
      </c>
      <c r="C51" s="34">
        <f>[33]С2.2!E13</f>
        <v>1</v>
      </c>
    </row>
    <row r="52" spans="1:3" ht="27.75" x14ac:dyDescent="0.2">
      <c r="A52" s="22" t="s">
        <v>61</v>
      </c>
      <c r="B52" s="56" t="s">
        <v>62</v>
      </c>
      <c r="C52" s="34">
        <f>[33]С2.2!E14</f>
        <v>12104</v>
      </c>
    </row>
    <row r="53" spans="1:3" ht="25.5" x14ac:dyDescent="0.2">
      <c r="A53" s="22" t="s">
        <v>63</v>
      </c>
      <c r="B53" s="57" t="s">
        <v>64</v>
      </c>
      <c r="C53" s="35">
        <f>[33]С2.2!E15</f>
        <v>4.8000000000000001E-2</v>
      </c>
    </row>
    <row r="54" spans="1:3" x14ac:dyDescent="0.2">
      <c r="A54" s="22" t="s">
        <v>65</v>
      </c>
      <c r="B54" s="57" t="s">
        <v>66</v>
      </c>
      <c r="C54" s="34">
        <f>[33]С2.2!E16</f>
        <v>1</v>
      </c>
    </row>
    <row r="55" spans="1:3" ht="15.75" x14ac:dyDescent="0.2">
      <c r="A55" s="22" t="s">
        <v>67</v>
      </c>
      <c r="B55" s="58" t="s">
        <v>68</v>
      </c>
      <c r="C55" s="34">
        <f>[33]С2!F21</f>
        <v>1</v>
      </c>
    </row>
    <row r="56" spans="1:3" ht="30" x14ac:dyDescent="0.2">
      <c r="A56" s="59" t="s">
        <v>69</v>
      </c>
      <c r="B56" s="33" t="s">
        <v>70</v>
      </c>
      <c r="C56" s="34">
        <f>[33]С2!F13</f>
        <v>203708.97017230222</v>
      </c>
    </row>
    <row r="57" spans="1:3" ht="30" x14ac:dyDescent="0.2">
      <c r="A57" s="59" t="s">
        <v>71</v>
      </c>
      <c r="B57" s="58" t="s">
        <v>72</v>
      </c>
      <c r="C57" s="34">
        <f>[33]С2!F14</f>
        <v>113455</v>
      </c>
    </row>
    <row r="58" spans="1:3" ht="15.75" x14ac:dyDescent="0.2">
      <c r="A58" s="59" t="s">
        <v>73</v>
      </c>
      <c r="B58" s="60" t="s">
        <v>74</v>
      </c>
      <c r="C58" s="40">
        <f>[33]С2!F15</f>
        <v>1.071</v>
      </c>
    </row>
    <row r="59" spans="1:3" ht="15.75" x14ac:dyDescent="0.2">
      <c r="A59" s="59" t="s">
        <v>75</v>
      </c>
      <c r="B59" s="60" t="s">
        <v>76</v>
      </c>
      <c r="C59" s="40">
        <f>[33]С2!F16</f>
        <v>1</v>
      </c>
    </row>
    <row r="60" spans="1:3" ht="17.25" x14ac:dyDescent="0.2">
      <c r="A60" s="59" t="s">
        <v>77</v>
      </c>
      <c r="B60" s="58" t="s">
        <v>78</v>
      </c>
      <c r="C60" s="34">
        <f>[33]С2!F17</f>
        <v>1.01</v>
      </c>
    </row>
    <row r="61" spans="1:3" s="63" customFormat="1" ht="14.25" x14ac:dyDescent="0.2">
      <c r="A61" s="59" t="s">
        <v>79</v>
      </c>
      <c r="B61" s="61" t="s">
        <v>80</v>
      </c>
      <c r="C61" s="62">
        <f>[33]С2!F33</f>
        <v>10</v>
      </c>
    </row>
    <row r="62" spans="1:3" ht="30" x14ac:dyDescent="0.2">
      <c r="A62" s="59" t="s">
        <v>81</v>
      </c>
      <c r="B62" s="64" t="s">
        <v>82</v>
      </c>
      <c r="C62" s="34">
        <f>[33]С2!F26</f>
        <v>3082.0508637929142</v>
      </c>
    </row>
    <row r="63" spans="1:3" ht="17.25" x14ac:dyDescent="0.2">
      <c r="A63" s="59" t="s">
        <v>83</v>
      </c>
      <c r="B63" s="53" t="s">
        <v>84</v>
      </c>
      <c r="C63" s="34">
        <f>[33]С2!F27</f>
        <v>0.44209422600000003</v>
      </c>
    </row>
    <row r="64" spans="1:3" ht="17.25" x14ac:dyDescent="0.2">
      <c r="A64" s="59" t="s">
        <v>85</v>
      </c>
      <c r="B64" s="58" t="s">
        <v>86</v>
      </c>
      <c r="C64" s="62">
        <f>[33]С2!F28</f>
        <v>4200</v>
      </c>
    </row>
    <row r="65" spans="1:3" ht="42.75" x14ac:dyDescent="0.2">
      <c r="A65" s="59" t="s">
        <v>87</v>
      </c>
      <c r="B65" s="33" t="s">
        <v>88</v>
      </c>
      <c r="C65" s="34">
        <f>[33]С2!F22</f>
        <v>42890.921752741691</v>
      </c>
    </row>
    <row r="66" spans="1:3" ht="30" x14ac:dyDescent="0.2">
      <c r="A66" s="59" t="s">
        <v>89</v>
      </c>
      <c r="B66" s="60" t="s">
        <v>90</v>
      </c>
      <c r="C66" s="34">
        <f>[33]С2!F23</f>
        <v>1990</v>
      </c>
    </row>
    <row r="67" spans="1:3" ht="30" x14ac:dyDescent="0.2">
      <c r="A67" s="59" t="s">
        <v>91</v>
      </c>
      <c r="B67" s="53" t="s">
        <v>92</v>
      </c>
      <c r="C67" s="34">
        <f>[33]С2.1!E27</f>
        <v>14307.876789999998</v>
      </c>
    </row>
    <row r="68" spans="1:3" ht="38.25" x14ac:dyDescent="0.2">
      <c r="A68" s="59" t="s">
        <v>93</v>
      </c>
      <c r="B68" s="65" t="s">
        <v>94</v>
      </c>
      <c r="C68" s="52">
        <f>[33]С2.3!E21</f>
        <v>0</v>
      </c>
    </row>
    <row r="69" spans="1:3" ht="25.5" x14ac:dyDescent="0.2">
      <c r="A69" s="59" t="s">
        <v>95</v>
      </c>
      <c r="B69" s="66" t="s">
        <v>96</v>
      </c>
      <c r="C69" s="67">
        <f>[33]С2.3!E11</f>
        <v>9.89</v>
      </c>
    </row>
    <row r="70" spans="1:3" ht="25.5" x14ac:dyDescent="0.2">
      <c r="A70" s="59" t="s">
        <v>97</v>
      </c>
      <c r="B70" s="66" t="s">
        <v>98</v>
      </c>
      <c r="C70" s="62">
        <f>[33]С2.3!E13</f>
        <v>300</v>
      </c>
    </row>
    <row r="71" spans="1:3" ht="25.5" x14ac:dyDescent="0.2">
      <c r="A71" s="59" t="s">
        <v>99</v>
      </c>
      <c r="B71" s="65" t="s">
        <v>100</v>
      </c>
      <c r="C71" s="68">
        <f>IF([33]С2.3!E22&gt;0,[33]С2.3!E22,[33]С2.3!E14)</f>
        <v>61211</v>
      </c>
    </row>
    <row r="72" spans="1:3" ht="38.25" x14ac:dyDescent="0.2">
      <c r="A72" s="59" t="s">
        <v>101</v>
      </c>
      <c r="B72" s="65" t="s">
        <v>102</v>
      </c>
      <c r="C72" s="68">
        <f>IF([33]С2.3!E23&gt;0,[33]С2.3!E23,[33]С2.3!E15)</f>
        <v>45675</v>
      </c>
    </row>
    <row r="73" spans="1:3" ht="30" x14ac:dyDescent="0.2">
      <c r="A73" s="59" t="s">
        <v>103</v>
      </c>
      <c r="B73" s="53" t="s">
        <v>104</v>
      </c>
      <c r="C73" s="34">
        <f>[33]С2.1!E28</f>
        <v>9541.9567200000001</v>
      </c>
    </row>
    <row r="74" spans="1:3" ht="38.25" x14ac:dyDescent="0.2">
      <c r="A74" s="59" t="s">
        <v>105</v>
      </c>
      <c r="B74" s="65" t="s">
        <v>106</v>
      </c>
      <c r="C74" s="52">
        <f>[33]С2.3!E25</f>
        <v>0</v>
      </c>
    </row>
    <row r="75" spans="1:3" ht="25.5" x14ac:dyDescent="0.2">
      <c r="A75" s="59" t="s">
        <v>107</v>
      </c>
      <c r="B75" s="66" t="s">
        <v>108</v>
      </c>
      <c r="C75" s="67">
        <f>[33]С2.3!E12</f>
        <v>0.56000000000000005</v>
      </c>
    </row>
    <row r="76" spans="1:3" ht="25.5" x14ac:dyDescent="0.2">
      <c r="A76" s="59" t="s">
        <v>109</v>
      </c>
      <c r="B76" s="66" t="s">
        <v>98</v>
      </c>
      <c r="C76" s="62">
        <f>[33]С2.3!E13</f>
        <v>300</v>
      </c>
    </row>
    <row r="77" spans="1:3" ht="25.5" x14ac:dyDescent="0.2">
      <c r="A77" s="59" t="s">
        <v>110</v>
      </c>
      <c r="B77" s="69" t="s">
        <v>111</v>
      </c>
      <c r="C77" s="68">
        <f>IF([33]С2.3!E26&gt;0,[33]С2.3!E26,[33]С2.3!E16)</f>
        <v>65637</v>
      </c>
    </row>
    <row r="78" spans="1:3" ht="38.25" x14ac:dyDescent="0.2">
      <c r="A78" s="59" t="s">
        <v>112</v>
      </c>
      <c r="B78" s="69" t="s">
        <v>113</v>
      </c>
      <c r="C78" s="68">
        <f>IF([33]С2.3!E27&gt;0,[33]С2.3!E27,[33]С2.3!E17)</f>
        <v>31684</v>
      </c>
    </row>
    <row r="79" spans="1:3" ht="17.25" x14ac:dyDescent="0.2">
      <c r="A79" s="59" t="s">
        <v>114</v>
      </c>
      <c r="B79" s="33" t="s">
        <v>115</v>
      </c>
      <c r="C79" s="35">
        <f>[33]С2!F29</f>
        <v>0.17804631770487722</v>
      </c>
    </row>
    <row r="80" spans="1:3" ht="30" x14ac:dyDescent="0.2">
      <c r="A80" s="59" t="s">
        <v>116</v>
      </c>
      <c r="B80" s="53" t="s">
        <v>117</v>
      </c>
      <c r="C80" s="70">
        <f>[33]С2!F30</f>
        <v>0.1652189781021898</v>
      </c>
    </row>
    <row r="81" spans="1:3" ht="17.25" x14ac:dyDescent="0.2">
      <c r="A81" s="59" t="s">
        <v>118</v>
      </c>
      <c r="B81" s="71" t="s">
        <v>119</v>
      </c>
      <c r="C81" s="35">
        <f>[33]С2!F31</f>
        <v>0.13880000000000001</v>
      </c>
    </row>
    <row r="82" spans="1:3" s="63" customFormat="1" ht="18" thickBot="1" x14ac:dyDescent="0.25">
      <c r="A82" s="72" t="s">
        <v>120</v>
      </c>
      <c r="B82" s="73" t="s">
        <v>121</v>
      </c>
      <c r="C82" s="74">
        <f>[33]С2!F32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[33]С3!F14</f>
        <v>14912.207299372252</v>
      </c>
    </row>
    <row r="86" spans="1:3" s="63" customFormat="1" ht="42.75" x14ac:dyDescent="0.2">
      <c r="A86" s="77" t="s">
        <v>126</v>
      </c>
      <c r="B86" s="53" t="s">
        <v>127</v>
      </c>
      <c r="C86" s="78">
        <f>[33]С3!F15</f>
        <v>0.25</v>
      </c>
    </row>
    <row r="87" spans="1:3" s="63" customFormat="1" ht="14.25" x14ac:dyDescent="0.2">
      <c r="A87" s="77" t="s">
        <v>128</v>
      </c>
      <c r="B87" s="79" t="s">
        <v>129</v>
      </c>
      <c r="C87" s="62">
        <f>[33]С3!F18</f>
        <v>15</v>
      </c>
    </row>
    <row r="88" spans="1:3" s="63" customFormat="1" ht="17.25" x14ac:dyDescent="0.2">
      <c r="A88" s="77" t="s">
        <v>130</v>
      </c>
      <c r="B88" s="33" t="s">
        <v>131</v>
      </c>
      <c r="C88" s="34">
        <f>[33]С3!F19</f>
        <v>4187.478806422544</v>
      </c>
    </row>
    <row r="89" spans="1:3" s="63" customFormat="1" ht="55.5" x14ac:dyDescent="0.2">
      <c r="A89" s="77" t="s">
        <v>132</v>
      </c>
      <c r="B89" s="53" t="s">
        <v>133</v>
      </c>
      <c r="C89" s="80">
        <f>[33]С3!F20</f>
        <v>2.1999999999999999E-2</v>
      </c>
    </row>
    <row r="90" spans="1:3" s="63" customFormat="1" ht="14.25" x14ac:dyDescent="0.2">
      <c r="A90" s="77" t="s">
        <v>134</v>
      </c>
      <c r="B90" s="58" t="s">
        <v>80</v>
      </c>
      <c r="C90" s="62">
        <f>[33]С3!F21</f>
        <v>10</v>
      </c>
    </row>
    <row r="91" spans="1:3" s="63" customFormat="1" ht="17.25" x14ac:dyDescent="0.2">
      <c r="A91" s="77" t="s">
        <v>135</v>
      </c>
      <c r="B91" s="33" t="s">
        <v>136</v>
      </c>
      <c r="C91" s="34">
        <f>[33]С3!F22</f>
        <v>9.2461525913787437</v>
      </c>
    </row>
    <row r="92" spans="1:3" s="63" customFormat="1" ht="55.5" x14ac:dyDescent="0.2">
      <c r="A92" s="77" t="s">
        <v>137</v>
      </c>
      <c r="B92" s="53" t="s">
        <v>138</v>
      </c>
      <c r="C92" s="80">
        <f>[33]С3!F23</f>
        <v>3.0000000000000001E-3</v>
      </c>
    </row>
    <row r="93" spans="1:3" s="63" customFormat="1" ht="27.75" thickBot="1" x14ac:dyDescent="0.25">
      <c r="A93" s="81" t="s">
        <v>139</v>
      </c>
      <c r="B93" s="82" t="s">
        <v>140</v>
      </c>
      <c r="C93" s="83">
        <f>[33]С3!F24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[33]С4!F16</f>
        <v>1652.5</v>
      </c>
    </row>
    <row r="97" spans="1:3" ht="30" x14ac:dyDescent="0.2">
      <c r="A97" s="59" t="s">
        <v>145</v>
      </c>
      <c r="B97" s="58" t="s">
        <v>146</v>
      </c>
      <c r="C97" s="34">
        <f>[33]С4!F17</f>
        <v>73547</v>
      </c>
    </row>
    <row r="98" spans="1:3" ht="17.25" x14ac:dyDescent="0.2">
      <c r="A98" s="59" t="s">
        <v>147</v>
      </c>
      <c r="B98" s="58" t="s">
        <v>148</v>
      </c>
      <c r="C98" s="40">
        <f>[33]С4!F18</f>
        <v>0.02</v>
      </c>
    </row>
    <row r="99" spans="1:3" ht="30" x14ac:dyDescent="0.2">
      <c r="A99" s="59" t="s">
        <v>149</v>
      </c>
      <c r="B99" s="58" t="s">
        <v>150</v>
      </c>
      <c r="C99" s="34">
        <f>[33]С4!F19</f>
        <v>12104</v>
      </c>
    </row>
    <row r="100" spans="1:3" ht="31.5" x14ac:dyDescent="0.2">
      <c r="A100" s="59" t="s">
        <v>151</v>
      </c>
      <c r="B100" s="58" t="s">
        <v>152</v>
      </c>
      <c r="C100" s="40">
        <f>[33]С4!F20</f>
        <v>1.4999999999999999E-2</v>
      </c>
    </row>
    <row r="101" spans="1:3" ht="30" x14ac:dyDescent="0.2">
      <c r="A101" s="59" t="s">
        <v>153</v>
      </c>
      <c r="B101" s="33" t="s">
        <v>154</v>
      </c>
      <c r="C101" s="34">
        <f>[33]С4!F21</f>
        <v>1933.1949342509995</v>
      </c>
    </row>
    <row r="102" spans="1:3" ht="24" customHeight="1" x14ac:dyDescent="0.2">
      <c r="A102" s="59" t="s">
        <v>155</v>
      </c>
      <c r="B102" s="53" t="s">
        <v>156</v>
      </c>
      <c r="C102" s="85">
        <f>IF([33]С4.2!F8="да",[33]С4.2!D21,[33]С4.2!D15)</f>
        <v>0</v>
      </c>
    </row>
    <row r="103" spans="1:3" ht="68.25" x14ac:dyDescent="0.2">
      <c r="A103" s="59" t="s">
        <v>157</v>
      </c>
      <c r="B103" s="53" t="s">
        <v>158</v>
      </c>
      <c r="C103" s="34">
        <f>[33]С4!F22</f>
        <v>3.6112641666666665</v>
      </c>
    </row>
    <row r="104" spans="1:3" ht="30" x14ac:dyDescent="0.2">
      <c r="A104" s="59" t="s">
        <v>159</v>
      </c>
      <c r="B104" s="58" t="s">
        <v>160</v>
      </c>
      <c r="C104" s="34">
        <f>[33]С4!F23</f>
        <v>180</v>
      </c>
    </row>
    <row r="105" spans="1:3" ht="14.25" x14ac:dyDescent="0.2">
      <c r="A105" s="59" t="s">
        <v>161</v>
      </c>
      <c r="B105" s="53" t="s">
        <v>162</v>
      </c>
      <c r="C105" s="34">
        <f>[33]С4!F24</f>
        <v>8497.1999999999989</v>
      </c>
    </row>
    <row r="106" spans="1:3" ht="14.25" x14ac:dyDescent="0.2">
      <c r="A106" s="59" t="s">
        <v>163</v>
      </c>
      <c r="B106" s="58" t="s">
        <v>164</v>
      </c>
      <c r="C106" s="40">
        <f>[33]С4!F25</f>
        <v>0.35</v>
      </c>
    </row>
    <row r="107" spans="1:3" ht="17.25" x14ac:dyDescent="0.2">
      <c r="A107" s="59" t="s">
        <v>165</v>
      </c>
      <c r="B107" s="33" t="s">
        <v>166</v>
      </c>
      <c r="C107" s="34">
        <f>[33]С4!F26</f>
        <v>91.185569999999998</v>
      </c>
    </row>
    <row r="108" spans="1:3" ht="25.5" x14ac:dyDescent="0.2">
      <c r="A108" s="59" t="s">
        <v>167</v>
      </c>
      <c r="B108" s="53" t="s">
        <v>94</v>
      </c>
      <c r="C108" s="85">
        <f>[33]С4.3!E16</f>
        <v>0</v>
      </c>
    </row>
    <row r="109" spans="1:3" ht="25.5" x14ac:dyDescent="0.2">
      <c r="A109" s="59" t="s">
        <v>168</v>
      </c>
      <c r="B109" s="53" t="s">
        <v>169</v>
      </c>
      <c r="C109" s="34">
        <f>[33]С4.3!E17</f>
        <v>25.15</v>
      </c>
    </row>
    <row r="110" spans="1:3" ht="38.25" x14ac:dyDescent="0.2">
      <c r="A110" s="59" t="s">
        <v>170</v>
      </c>
      <c r="B110" s="53" t="s">
        <v>106</v>
      </c>
      <c r="C110" s="85">
        <f>[33]С4.3!E18</f>
        <v>0</v>
      </c>
    </row>
    <row r="111" spans="1:3" x14ac:dyDescent="0.2">
      <c r="A111" s="59" t="s">
        <v>171</v>
      </c>
      <c r="B111" s="53" t="s">
        <v>172</v>
      </c>
      <c r="C111" s="34">
        <f>[33]С4.3!E19</f>
        <v>14.63</v>
      </c>
    </row>
    <row r="112" spans="1:3" x14ac:dyDescent="0.2">
      <c r="A112" s="59" t="s">
        <v>173</v>
      </c>
      <c r="B112" s="58" t="s">
        <v>174</v>
      </c>
      <c r="C112" s="34">
        <f>[33]С4.3!E11</f>
        <v>1871</v>
      </c>
    </row>
    <row r="113" spans="1:3" x14ac:dyDescent="0.2">
      <c r="A113" s="59" t="s">
        <v>175</v>
      </c>
      <c r="B113" s="58" t="s">
        <v>176</v>
      </c>
      <c r="C113" s="52">
        <f>[33]С4.3!E12</f>
        <v>1636</v>
      </c>
    </row>
    <row r="114" spans="1:3" x14ac:dyDescent="0.2">
      <c r="A114" s="59" t="s">
        <v>177</v>
      </c>
      <c r="B114" s="58" t="s">
        <v>178</v>
      </c>
      <c r="C114" s="52">
        <f>[33]С4.3!E13</f>
        <v>204</v>
      </c>
    </row>
    <row r="115" spans="1:3" ht="30" x14ac:dyDescent="0.2">
      <c r="A115" s="59" t="s">
        <v>179</v>
      </c>
      <c r="B115" s="33" t="s">
        <v>180</v>
      </c>
      <c r="C115" s="34">
        <f>[33]С4!F27</f>
        <v>1291.2863994686898</v>
      </c>
    </row>
    <row r="116" spans="1:3" ht="25.5" x14ac:dyDescent="0.2">
      <c r="A116" s="59" t="s">
        <v>181</v>
      </c>
      <c r="B116" s="53" t="s">
        <v>182</v>
      </c>
      <c r="C116" s="34">
        <f>[33]С4!F28</f>
        <v>991.77142816335618</v>
      </c>
    </row>
    <row r="117" spans="1:3" ht="42.75" x14ac:dyDescent="0.2">
      <c r="A117" s="59" t="s">
        <v>183</v>
      </c>
      <c r="B117" s="53" t="s">
        <v>184</v>
      </c>
      <c r="C117" s="34">
        <f>[33]С4!F29</f>
        <v>299.51497130533357</v>
      </c>
    </row>
    <row r="118" spans="1:3" ht="30" x14ac:dyDescent="0.2">
      <c r="A118" s="59" t="s">
        <v>185</v>
      </c>
      <c r="B118" s="39" t="s">
        <v>186</v>
      </c>
      <c r="C118" s="34">
        <f>[33]С4!F30</f>
        <v>2820.3142758589588</v>
      </c>
    </row>
    <row r="119" spans="1:3" ht="42.75" x14ac:dyDescent="0.2">
      <c r="A119" s="59" t="s">
        <v>187</v>
      </c>
      <c r="B119" s="86" t="s">
        <v>188</v>
      </c>
      <c r="C119" s="34">
        <f>[33]С4!F33</f>
        <v>1612.9837929954626</v>
      </c>
    </row>
    <row r="120" spans="1:3" ht="30" x14ac:dyDescent="0.2">
      <c r="A120" s="59" t="s">
        <v>189</v>
      </c>
      <c r="B120" s="87" t="s">
        <v>190</v>
      </c>
      <c r="C120" s="34">
        <f>[33]С4!F35</f>
        <v>17.040680999999999</v>
      </c>
    </row>
    <row r="121" spans="1:3" ht="14.25" x14ac:dyDescent="0.2">
      <c r="A121" s="59" t="s">
        <v>191</v>
      </c>
      <c r="B121" s="56" t="s">
        <v>192</v>
      </c>
      <c r="C121" s="34">
        <f>[33]С4!F36</f>
        <v>14319.9</v>
      </c>
    </row>
    <row r="122" spans="1:3" ht="28.5" thickBot="1" x14ac:dyDescent="0.25">
      <c r="A122" s="72" t="s">
        <v>193</v>
      </c>
      <c r="B122" s="88" t="s">
        <v>194</v>
      </c>
      <c r="C122" s="83">
        <f>[33]С4!F37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[33]С5!F17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[33]С2!F37</f>
        <v>20.818139999999996</v>
      </c>
    </row>
    <row r="136" spans="1:3" ht="14.25" x14ac:dyDescent="0.2">
      <c r="A136" s="59" t="s">
        <v>216</v>
      </c>
      <c r="B136" s="101" t="s">
        <v>217</v>
      </c>
      <c r="C136" s="34">
        <f>[33]С2!F38</f>
        <v>7</v>
      </c>
    </row>
    <row r="137" spans="1:3" ht="17.25" x14ac:dyDescent="0.2">
      <c r="A137" s="59" t="s">
        <v>218</v>
      </c>
      <c r="B137" s="101" t="s">
        <v>219</v>
      </c>
      <c r="C137" s="34">
        <f>[33]С2!F40</f>
        <v>0.97</v>
      </c>
    </row>
    <row r="138" spans="1:3" ht="15" thickBot="1" x14ac:dyDescent="0.25">
      <c r="A138" s="72" t="s">
        <v>220</v>
      </c>
      <c r="B138" s="102" t="s">
        <v>221</v>
      </c>
      <c r="C138" s="46">
        <f>[33]С2!F42</f>
        <v>0.35</v>
      </c>
    </row>
    <row r="139" spans="1:3" s="89" customFormat="1" ht="13.5" thickBot="1" x14ac:dyDescent="0.25">
      <c r="A139" s="47"/>
      <c r="B139" s="75"/>
      <c r="C139" s="15"/>
    </row>
    <row r="140" spans="1:3" ht="30" x14ac:dyDescent="0.2">
      <c r="A140" s="84" t="s">
        <v>222</v>
      </c>
      <c r="B140" s="103" t="s">
        <v>223</v>
      </c>
      <c r="C140" s="104">
        <f>[33]С2!F35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[33]С2.5!$E$11</f>
        <v>-2.9000000000000026E-2</v>
      </c>
    </row>
    <row r="144" spans="1:3" x14ac:dyDescent="0.2">
      <c r="A144" s="105"/>
      <c r="B144" s="110">
        <f>B143+1</f>
        <v>2021</v>
      </c>
      <c r="C144" s="111">
        <f>[33]С2.5!$F$11</f>
        <v>0.245</v>
      </c>
    </row>
    <row r="145" spans="1:3" x14ac:dyDescent="0.2">
      <c r="A145" s="105"/>
      <c r="B145" s="110">
        <f t="shared" ref="B145:B208" si="0">B144+1</f>
        <v>2022</v>
      </c>
      <c r="C145" s="111">
        <f>[33]С2.5!$G$11</f>
        <v>0.114</v>
      </c>
    </row>
    <row r="146" spans="1:3" ht="13.5" thickBot="1" x14ac:dyDescent="0.25">
      <c r="A146" s="105"/>
      <c r="B146" s="112">
        <f t="shared" si="0"/>
        <v>2023</v>
      </c>
      <c r="C146" s="113">
        <f>[33]С2.5!$H$11</f>
        <v>0.04</v>
      </c>
    </row>
    <row r="147" spans="1:3" x14ac:dyDescent="0.2">
      <c r="A147" s="105"/>
      <c r="B147" s="114">
        <f t="shared" si="0"/>
        <v>2024</v>
      </c>
      <c r="C147" s="115">
        <f>[33]С2.5!$I$11</f>
        <v>0.11700000000000001</v>
      </c>
    </row>
    <row r="148" spans="1:3" x14ac:dyDescent="0.2">
      <c r="A148" s="105"/>
      <c r="B148" s="110">
        <f t="shared" si="0"/>
        <v>2025</v>
      </c>
      <c r="C148" s="111">
        <f>[33]С2.5!$J$11</f>
        <v>6.0999999999999999E-2</v>
      </c>
    </row>
    <row r="149" spans="1:3" hidden="1" x14ac:dyDescent="0.2">
      <c r="A149" s="105"/>
      <c r="B149" s="110">
        <f t="shared" si="0"/>
        <v>2026</v>
      </c>
      <c r="C149" s="111">
        <f>[33]С2.5!$K$11</f>
        <v>3.5813361771260002E-2</v>
      </c>
    </row>
    <row r="150" spans="1:3" hidden="1" x14ac:dyDescent="0.2">
      <c r="A150" s="105"/>
      <c r="B150" s="110">
        <f t="shared" si="0"/>
        <v>2027</v>
      </c>
      <c r="C150" s="111">
        <f>[33]С2.5!$L$11</f>
        <v>3.2682303599220003E-2</v>
      </c>
    </row>
    <row r="151" spans="1:3" hidden="1" x14ac:dyDescent="0.2">
      <c r="A151" s="105"/>
      <c r="B151" s="110">
        <f t="shared" si="0"/>
        <v>2028</v>
      </c>
      <c r="C151" s="111">
        <f>[33]С2.5!$M$11</f>
        <v>0</v>
      </c>
    </row>
    <row r="152" spans="1:3" hidden="1" x14ac:dyDescent="0.2">
      <c r="A152" s="105"/>
      <c r="B152" s="110">
        <f t="shared" si="0"/>
        <v>2029</v>
      </c>
      <c r="C152" s="111">
        <f>[33]С2.5!$N$11</f>
        <v>0</v>
      </c>
    </row>
    <row r="153" spans="1:3" hidden="1" x14ac:dyDescent="0.2">
      <c r="A153" s="105"/>
      <c r="B153" s="110">
        <f t="shared" si="0"/>
        <v>2030</v>
      </c>
      <c r="C153" s="111">
        <f>[33]С2.5!$O$11</f>
        <v>0</v>
      </c>
    </row>
    <row r="154" spans="1:3" hidden="1" x14ac:dyDescent="0.2">
      <c r="A154" s="105"/>
      <c r="B154" s="110">
        <f t="shared" si="0"/>
        <v>2031</v>
      </c>
      <c r="C154" s="111">
        <f>[33]С2.5!$P$11</f>
        <v>0</v>
      </c>
    </row>
    <row r="155" spans="1:3" hidden="1" x14ac:dyDescent="0.2">
      <c r="A155" s="89"/>
      <c r="B155" s="110">
        <f t="shared" si="0"/>
        <v>2032</v>
      </c>
      <c r="C155" s="111">
        <f>[33]С2.5!$Q$11</f>
        <v>0</v>
      </c>
    </row>
    <row r="156" spans="1:3" hidden="1" x14ac:dyDescent="0.2">
      <c r="A156" s="89"/>
      <c r="B156" s="110">
        <f t="shared" si="0"/>
        <v>2033</v>
      </c>
      <c r="C156" s="111">
        <f>[33]С2.5!$R$11</f>
        <v>0</v>
      </c>
    </row>
    <row r="157" spans="1:3" hidden="1" x14ac:dyDescent="0.2">
      <c r="B157" s="110">
        <f t="shared" si="0"/>
        <v>2034</v>
      </c>
      <c r="C157" s="111">
        <f>[33]С2.5!$S$11</f>
        <v>0</v>
      </c>
    </row>
    <row r="158" spans="1:3" hidden="1" x14ac:dyDescent="0.2">
      <c r="B158" s="110">
        <f t="shared" si="0"/>
        <v>2035</v>
      </c>
      <c r="C158" s="111">
        <f>[33]С2.5!$T$11</f>
        <v>0</v>
      </c>
    </row>
    <row r="159" spans="1:3" hidden="1" x14ac:dyDescent="0.2">
      <c r="B159" s="110">
        <f t="shared" si="0"/>
        <v>2036</v>
      </c>
      <c r="C159" s="111">
        <f>[33]С2.5!$U$11</f>
        <v>0</v>
      </c>
    </row>
    <row r="160" spans="1:3" hidden="1" x14ac:dyDescent="0.2">
      <c r="B160" s="110">
        <f t="shared" si="0"/>
        <v>2037</v>
      </c>
      <c r="C160" s="111">
        <f>[33]С2.5!$V$11</f>
        <v>0</v>
      </c>
    </row>
    <row r="161" spans="2:3" hidden="1" x14ac:dyDescent="0.2">
      <c r="B161" s="110">
        <f t="shared" si="0"/>
        <v>2038</v>
      </c>
      <c r="C161" s="111">
        <f>[33]С2.5!$W$11</f>
        <v>0</v>
      </c>
    </row>
    <row r="162" spans="2:3" hidden="1" x14ac:dyDescent="0.2">
      <c r="B162" s="110">
        <f t="shared" si="0"/>
        <v>2039</v>
      </c>
      <c r="C162" s="111">
        <f>[33]С2.5!$X$11</f>
        <v>0</v>
      </c>
    </row>
    <row r="163" spans="2:3" hidden="1" x14ac:dyDescent="0.2">
      <c r="B163" s="110">
        <f t="shared" si="0"/>
        <v>2040</v>
      </c>
      <c r="C163" s="111">
        <f>[33]С2.5!$Y$11</f>
        <v>0</v>
      </c>
    </row>
    <row r="164" spans="2:3" hidden="1" x14ac:dyDescent="0.2">
      <c r="B164" s="110">
        <f t="shared" si="0"/>
        <v>2041</v>
      </c>
      <c r="C164" s="111">
        <f>[33]С2.5!$Z$11</f>
        <v>0</v>
      </c>
    </row>
    <row r="165" spans="2:3" hidden="1" x14ac:dyDescent="0.2">
      <c r="B165" s="110">
        <f t="shared" si="0"/>
        <v>2042</v>
      </c>
      <c r="C165" s="111">
        <f>[33]С2.5!$AA$11</f>
        <v>0</v>
      </c>
    </row>
    <row r="166" spans="2:3" hidden="1" x14ac:dyDescent="0.2">
      <c r="B166" s="110">
        <f t="shared" si="0"/>
        <v>2043</v>
      </c>
      <c r="C166" s="111">
        <f>[33]С2.5!$AB$11</f>
        <v>0</v>
      </c>
    </row>
    <row r="167" spans="2:3" hidden="1" x14ac:dyDescent="0.2">
      <c r="B167" s="110">
        <f t="shared" si="0"/>
        <v>2044</v>
      </c>
      <c r="C167" s="111">
        <f>[33]С2.5!$AC$11</f>
        <v>0</v>
      </c>
    </row>
    <row r="168" spans="2:3" hidden="1" x14ac:dyDescent="0.2">
      <c r="B168" s="110">
        <f t="shared" si="0"/>
        <v>2045</v>
      </c>
      <c r="C168" s="111">
        <f>[33]С2.5!$AD$11</f>
        <v>0</v>
      </c>
    </row>
    <row r="169" spans="2:3" hidden="1" x14ac:dyDescent="0.2">
      <c r="B169" s="110">
        <f t="shared" si="0"/>
        <v>2046</v>
      </c>
      <c r="C169" s="111">
        <f>[33]С2.5!$AE$11</f>
        <v>0</v>
      </c>
    </row>
    <row r="170" spans="2:3" hidden="1" x14ac:dyDescent="0.2">
      <c r="B170" s="110">
        <f t="shared" si="0"/>
        <v>2047</v>
      </c>
      <c r="C170" s="111">
        <f>[33]С2.5!$AF$11</f>
        <v>0</v>
      </c>
    </row>
    <row r="171" spans="2:3" hidden="1" x14ac:dyDescent="0.2">
      <c r="B171" s="110">
        <f t="shared" si="0"/>
        <v>2048</v>
      </c>
      <c r="C171" s="111">
        <f>[33]С2.5!$AG$11</f>
        <v>0</v>
      </c>
    </row>
    <row r="172" spans="2:3" hidden="1" x14ac:dyDescent="0.2">
      <c r="B172" s="110">
        <f t="shared" si="0"/>
        <v>2049</v>
      </c>
      <c r="C172" s="111">
        <f>[33]С2.5!$AH$11</f>
        <v>0</v>
      </c>
    </row>
    <row r="173" spans="2:3" hidden="1" x14ac:dyDescent="0.2">
      <c r="B173" s="110">
        <f t="shared" si="0"/>
        <v>2050</v>
      </c>
      <c r="C173" s="111">
        <f>[33]С2.5!$AI$11</f>
        <v>0</v>
      </c>
    </row>
    <row r="174" spans="2:3" hidden="1" x14ac:dyDescent="0.2">
      <c r="B174" s="110">
        <f t="shared" si="0"/>
        <v>2051</v>
      </c>
      <c r="C174" s="111">
        <f>[33]С2.5!$AJ$11</f>
        <v>0</v>
      </c>
    </row>
    <row r="175" spans="2:3" hidden="1" x14ac:dyDescent="0.2">
      <c r="B175" s="110">
        <f t="shared" si="0"/>
        <v>2052</v>
      </c>
      <c r="C175" s="111">
        <f>[33]С2.5!$AK$11</f>
        <v>0</v>
      </c>
    </row>
    <row r="176" spans="2:3" hidden="1" x14ac:dyDescent="0.2">
      <c r="B176" s="110">
        <f t="shared" si="0"/>
        <v>2053</v>
      </c>
      <c r="C176" s="111">
        <f>[33]С2.5!$AL$11</f>
        <v>0</v>
      </c>
    </row>
    <row r="177" spans="2:3" hidden="1" x14ac:dyDescent="0.2">
      <c r="B177" s="110">
        <f t="shared" si="0"/>
        <v>2054</v>
      </c>
      <c r="C177" s="111">
        <f>[33]С2.5!$AM$11</f>
        <v>0</v>
      </c>
    </row>
    <row r="178" spans="2:3" hidden="1" x14ac:dyDescent="0.2">
      <c r="B178" s="110">
        <f t="shared" si="0"/>
        <v>2055</v>
      </c>
      <c r="C178" s="111">
        <f>[33]С2.5!$AN$11</f>
        <v>0</v>
      </c>
    </row>
    <row r="179" spans="2:3" hidden="1" x14ac:dyDescent="0.2">
      <c r="B179" s="110">
        <f t="shared" si="0"/>
        <v>2056</v>
      </c>
      <c r="C179" s="111">
        <f>[33]С2.5!$AO$11</f>
        <v>0</v>
      </c>
    </row>
    <row r="180" spans="2:3" hidden="1" x14ac:dyDescent="0.2">
      <c r="B180" s="110">
        <f t="shared" si="0"/>
        <v>2057</v>
      </c>
      <c r="C180" s="111">
        <f>[33]С2.5!$AP$11</f>
        <v>0</v>
      </c>
    </row>
    <row r="181" spans="2:3" hidden="1" x14ac:dyDescent="0.2">
      <c r="B181" s="110">
        <f t="shared" si="0"/>
        <v>2058</v>
      </c>
      <c r="C181" s="111">
        <f>[33]С2.5!$AQ$11</f>
        <v>0</v>
      </c>
    </row>
    <row r="182" spans="2:3" hidden="1" x14ac:dyDescent="0.2">
      <c r="B182" s="110">
        <f t="shared" si="0"/>
        <v>2059</v>
      </c>
      <c r="C182" s="111">
        <f>[33]С2.5!$AR$11</f>
        <v>0</v>
      </c>
    </row>
    <row r="183" spans="2:3" hidden="1" x14ac:dyDescent="0.2">
      <c r="B183" s="110">
        <f t="shared" si="0"/>
        <v>2060</v>
      </c>
      <c r="C183" s="111">
        <f>[33]С2.5!$AS$11</f>
        <v>0</v>
      </c>
    </row>
    <row r="184" spans="2:3" hidden="1" x14ac:dyDescent="0.2">
      <c r="B184" s="110">
        <f t="shared" si="0"/>
        <v>2061</v>
      </c>
      <c r="C184" s="111">
        <f>[33]С2.5!$AT$11</f>
        <v>0</v>
      </c>
    </row>
    <row r="185" spans="2:3" hidden="1" x14ac:dyDescent="0.2">
      <c r="B185" s="110">
        <f t="shared" si="0"/>
        <v>2062</v>
      </c>
      <c r="C185" s="111">
        <f>[33]С2.5!$AU$11</f>
        <v>0</v>
      </c>
    </row>
    <row r="186" spans="2:3" hidden="1" x14ac:dyDescent="0.2">
      <c r="B186" s="110">
        <f t="shared" si="0"/>
        <v>2063</v>
      </c>
      <c r="C186" s="111">
        <f>[33]С2.5!$AV$11</f>
        <v>0</v>
      </c>
    </row>
    <row r="187" spans="2:3" hidden="1" x14ac:dyDescent="0.2">
      <c r="B187" s="110">
        <f t="shared" si="0"/>
        <v>2064</v>
      </c>
      <c r="C187" s="111">
        <f>[33]С2.5!$AW$11</f>
        <v>0</v>
      </c>
    </row>
    <row r="188" spans="2:3" hidden="1" x14ac:dyDescent="0.2">
      <c r="B188" s="110">
        <f t="shared" si="0"/>
        <v>2065</v>
      </c>
      <c r="C188" s="111">
        <f>[33]С2.5!$AX$11</f>
        <v>0</v>
      </c>
    </row>
    <row r="189" spans="2:3" hidden="1" x14ac:dyDescent="0.2">
      <c r="B189" s="110">
        <f t="shared" si="0"/>
        <v>2066</v>
      </c>
      <c r="C189" s="111">
        <f>[33]С2.5!$AY$11</f>
        <v>0</v>
      </c>
    </row>
    <row r="190" spans="2:3" hidden="1" x14ac:dyDescent="0.2">
      <c r="B190" s="110">
        <f t="shared" si="0"/>
        <v>2067</v>
      </c>
      <c r="C190" s="111">
        <f>[33]С2.5!$AZ$11</f>
        <v>0</v>
      </c>
    </row>
    <row r="191" spans="2:3" hidden="1" x14ac:dyDescent="0.2">
      <c r="B191" s="110">
        <f t="shared" si="0"/>
        <v>2068</v>
      </c>
      <c r="C191" s="111">
        <f>[33]С2.5!$BA$11</f>
        <v>0</v>
      </c>
    </row>
    <row r="192" spans="2:3" hidden="1" x14ac:dyDescent="0.2">
      <c r="B192" s="110">
        <f t="shared" si="0"/>
        <v>2069</v>
      </c>
      <c r="C192" s="111">
        <f>[33]С2.5!$BB$11</f>
        <v>0</v>
      </c>
    </row>
    <row r="193" spans="2:3" hidden="1" x14ac:dyDescent="0.2">
      <c r="B193" s="110">
        <f t="shared" si="0"/>
        <v>2070</v>
      </c>
      <c r="C193" s="111">
        <f>[33]С2.5!$BC$11</f>
        <v>0</v>
      </c>
    </row>
    <row r="194" spans="2:3" hidden="1" x14ac:dyDescent="0.2">
      <c r="B194" s="110">
        <f t="shared" si="0"/>
        <v>2071</v>
      </c>
      <c r="C194" s="111">
        <f>[33]С2.5!$BD$11</f>
        <v>0</v>
      </c>
    </row>
    <row r="195" spans="2:3" hidden="1" x14ac:dyDescent="0.2">
      <c r="B195" s="110">
        <f t="shared" si="0"/>
        <v>2072</v>
      </c>
      <c r="C195" s="111">
        <f>[33]С2.5!$BE$11</f>
        <v>0</v>
      </c>
    </row>
    <row r="196" spans="2:3" hidden="1" x14ac:dyDescent="0.2">
      <c r="B196" s="110">
        <f t="shared" si="0"/>
        <v>2073</v>
      </c>
      <c r="C196" s="111">
        <f>[33]С2.5!$BF$11</f>
        <v>0</v>
      </c>
    </row>
    <row r="197" spans="2:3" hidden="1" x14ac:dyDescent="0.2">
      <c r="B197" s="110">
        <f t="shared" si="0"/>
        <v>2074</v>
      </c>
      <c r="C197" s="111">
        <f>[33]С2.5!$BG$11</f>
        <v>0</v>
      </c>
    </row>
    <row r="198" spans="2:3" hidden="1" x14ac:dyDescent="0.2">
      <c r="B198" s="110">
        <f t="shared" si="0"/>
        <v>2075</v>
      </c>
      <c r="C198" s="111">
        <f>[33]С2.5!$BH$11</f>
        <v>0</v>
      </c>
    </row>
    <row r="199" spans="2:3" hidden="1" x14ac:dyDescent="0.2">
      <c r="B199" s="110">
        <f t="shared" si="0"/>
        <v>2076</v>
      </c>
      <c r="C199" s="111">
        <f>[33]С2.5!$BI$11</f>
        <v>0</v>
      </c>
    </row>
    <row r="200" spans="2:3" hidden="1" x14ac:dyDescent="0.2">
      <c r="B200" s="110">
        <f t="shared" si="0"/>
        <v>2077</v>
      </c>
      <c r="C200" s="111">
        <f>[33]С2.5!$BJ$11</f>
        <v>0</v>
      </c>
    </row>
    <row r="201" spans="2:3" hidden="1" x14ac:dyDescent="0.2">
      <c r="B201" s="110">
        <f t="shared" si="0"/>
        <v>2078</v>
      </c>
      <c r="C201" s="111">
        <f>[33]С2.5!$BK$11</f>
        <v>0</v>
      </c>
    </row>
    <row r="202" spans="2:3" hidden="1" x14ac:dyDescent="0.2">
      <c r="B202" s="110">
        <f t="shared" si="0"/>
        <v>2079</v>
      </c>
      <c r="C202" s="111">
        <f>[33]С2.5!$BL$11</f>
        <v>0</v>
      </c>
    </row>
    <row r="203" spans="2:3" hidden="1" x14ac:dyDescent="0.2">
      <c r="B203" s="110">
        <f t="shared" si="0"/>
        <v>2080</v>
      </c>
      <c r="C203" s="111">
        <f>[33]С2.5!$BM$11</f>
        <v>0</v>
      </c>
    </row>
    <row r="204" spans="2:3" hidden="1" x14ac:dyDescent="0.2">
      <c r="B204" s="110">
        <f t="shared" si="0"/>
        <v>2081</v>
      </c>
      <c r="C204" s="111">
        <f>[33]С2.5!$BN$11</f>
        <v>0</v>
      </c>
    </row>
    <row r="205" spans="2:3" hidden="1" x14ac:dyDescent="0.2">
      <c r="B205" s="110">
        <f t="shared" si="0"/>
        <v>2082</v>
      </c>
      <c r="C205" s="111">
        <f>[33]С2.5!$BO$11</f>
        <v>0</v>
      </c>
    </row>
    <row r="206" spans="2:3" hidden="1" x14ac:dyDescent="0.2">
      <c r="B206" s="110">
        <f t="shared" si="0"/>
        <v>2083</v>
      </c>
      <c r="C206" s="111">
        <f>[33]С2.5!$BP$11</f>
        <v>0</v>
      </c>
    </row>
    <row r="207" spans="2:3" hidden="1" x14ac:dyDescent="0.2">
      <c r="B207" s="110">
        <f t="shared" si="0"/>
        <v>2084</v>
      </c>
      <c r="C207" s="111">
        <f>[33]С2.5!$BQ$11</f>
        <v>0</v>
      </c>
    </row>
    <row r="208" spans="2:3" hidden="1" x14ac:dyDescent="0.2">
      <c r="B208" s="110">
        <f t="shared" si="0"/>
        <v>2085</v>
      </c>
      <c r="C208" s="111">
        <f>[33]С2.5!$BR$11</f>
        <v>0</v>
      </c>
    </row>
    <row r="209" spans="2:3" hidden="1" x14ac:dyDescent="0.2">
      <c r="B209" s="110">
        <f t="shared" ref="B209:B223" si="1">B208+1</f>
        <v>2086</v>
      </c>
      <c r="C209" s="111">
        <f>[33]С2.5!$BS$11</f>
        <v>0</v>
      </c>
    </row>
    <row r="210" spans="2:3" hidden="1" x14ac:dyDescent="0.2">
      <c r="B210" s="110">
        <f t="shared" si="1"/>
        <v>2087</v>
      </c>
      <c r="C210" s="111">
        <f>[33]С2.5!$BT$11</f>
        <v>0</v>
      </c>
    </row>
    <row r="211" spans="2:3" hidden="1" x14ac:dyDescent="0.2">
      <c r="B211" s="110">
        <f t="shared" si="1"/>
        <v>2088</v>
      </c>
      <c r="C211" s="111">
        <f>[33]С2.5!$BU$11</f>
        <v>0</v>
      </c>
    </row>
    <row r="212" spans="2:3" hidden="1" x14ac:dyDescent="0.2">
      <c r="B212" s="110">
        <f t="shared" si="1"/>
        <v>2089</v>
      </c>
      <c r="C212" s="111">
        <f>[33]С2.5!$BV$11</f>
        <v>0</v>
      </c>
    </row>
    <row r="213" spans="2:3" hidden="1" x14ac:dyDescent="0.2">
      <c r="B213" s="110">
        <f t="shared" si="1"/>
        <v>2090</v>
      </c>
      <c r="C213" s="111">
        <f>[33]С2.5!$BW$11</f>
        <v>0</v>
      </c>
    </row>
    <row r="214" spans="2:3" hidden="1" x14ac:dyDescent="0.2">
      <c r="B214" s="110">
        <f t="shared" si="1"/>
        <v>2091</v>
      </c>
      <c r="C214" s="111">
        <f>[33]С2.5!$BX$11</f>
        <v>0</v>
      </c>
    </row>
    <row r="215" spans="2:3" hidden="1" x14ac:dyDescent="0.2">
      <c r="B215" s="110">
        <f t="shared" si="1"/>
        <v>2092</v>
      </c>
      <c r="C215" s="111">
        <f>[33]С2.5!$BY$11</f>
        <v>0</v>
      </c>
    </row>
    <row r="216" spans="2:3" hidden="1" x14ac:dyDescent="0.2">
      <c r="B216" s="110">
        <f t="shared" si="1"/>
        <v>2093</v>
      </c>
      <c r="C216" s="111">
        <f>[33]С2.5!$BZ$11</f>
        <v>0</v>
      </c>
    </row>
    <row r="217" spans="2:3" hidden="1" x14ac:dyDescent="0.2">
      <c r="B217" s="110">
        <f t="shared" si="1"/>
        <v>2094</v>
      </c>
      <c r="C217" s="111">
        <f>[33]С2.5!$CA$11</f>
        <v>0</v>
      </c>
    </row>
    <row r="218" spans="2:3" hidden="1" x14ac:dyDescent="0.2">
      <c r="B218" s="110">
        <f t="shared" si="1"/>
        <v>2095</v>
      </c>
      <c r="C218" s="111">
        <f>[33]С2.5!$CB$11</f>
        <v>0</v>
      </c>
    </row>
    <row r="219" spans="2:3" hidden="1" x14ac:dyDescent="0.2">
      <c r="B219" s="110">
        <f t="shared" si="1"/>
        <v>2096</v>
      </c>
      <c r="C219" s="111">
        <f>[33]С2.5!$CC$11</f>
        <v>0</v>
      </c>
    </row>
    <row r="220" spans="2:3" hidden="1" x14ac:dyDescent="0.2">
      <c r="B220" s="110">
        <f t="shared" si="1"/>
        <v>2097</v>
      </c>
      <c r="C220" s="111">
        <f>[33]С2.5!$CD$11</f>
        <v>0</v>
      </c>
    </row>
    <row r="221" spans="2:3" hidden="1" x14ac:dyDescent="0.2">
      <c r="B221" s="110">
        <f t="shared" si="1"/>
        <v>2098</v>
      </c>
      <c r="C221" s="111">
        <f>[33]С2.5!$CE$11</f>
        <v>0</v>
      </c>
    </row>
    <row r="222" spans="2:3" hidden="1" x14ac:dyDescent="0.2">
      <c r="B222" s="110">
        <f t="shared" si="1"/>
        <v>2099</v>
      </c>
      <c r="C222" s="111">
        <f>[33]С2.5!$CF$11</f>
        <v>0</v>
      </c>
    </row>
    <row r="223" spans="2:3" ht="13.5" hidden="1" thickBot="1" x14ac:dyDescent="0.25">
      <c r="B223" s="112">
        <f t="shared" si="1"/>
        <v>2100</v>
      </c>
      <c r="C223" s="113">
        <f>[33]С2.5!$CG$11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6" sqref="B6"/>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[43]И1!D13</f>
        <v>Субъект Российской Федерации</v>
      </c>
      <c r="C4" s="10" t="str">
        <f>[43]И1!E13</f>
        <v>Новосибирская область</v>
      </c>
    </row>
    <row r="5" spans="1:3" ht="46.9" customHeight="1" x14ac:dyDescent="0.2">
      <c r="A5" s="8"/>
      <c r="B5" s="9" t="str">
        <f>[43]И1!D14</f>
        <v>Тип муниципального образования (выберите из списка)</v>
      </c>
      <c r="C5" s="10" t="str">
        <f>[43]И1!E14</f>
        <v>поселок Чернореченский, Искитимский муниципальный район</v>
      </c>
    </row>
    <row r="6" spans="1:3" ht="38.25" x14ac:dyDescent="0.2">
      <c r="A6" s="8"/>
      <c r="B6" s="9" t="str">
        <f>IF([43]И1!E15="","",[43]И1!D15)</f>
        <v/>
      </c>
      <c r="C6" s="10" t="str">
        <f>IF([43]И1!E15="","",[43]И1!E15)</f>
        <v>деревня Гилево, Искитимский муниципальный район</v>
      </c>
    </row>
    <row r="7" spans="1:3" x14ac:dyDescent="0.2">
      <c r="A7" s="8"/>
      <c r="B7" s="9" t="str">
        <f>[43]И1!D16</f>
        <v>Код ОКТМО</v>
      </c>
      <c r="C7" s="11" t="str">
        <f>[43]И1!E16</f>
        <v xml:space="preserve"> (50615437101)</v>
      </c>
    </row>
    <row r="8" spans="1:3" x14ac:dyDescent="0.2">
      <c r="A8" s="8"/>
      <c r="B8" s="12" t="str">
        <f>[43]И1!D17</f>
        <v>Система теплоснабжения</v>
      </c>
      <c r="C8" s="13">
        <f>[43]И1!E17</f>
        <v>0</v>
      </c>
    </row>
    <row r="9" spans="1:3" x14ac:dyDescent="0.2">
      <c r="A9" s="8"/>
      <c r="B9" s="9" t="str">
        <f>[43]И1!D8</f>
        <v>Период регулирования (i)-й</v>
      </c>
      <c r="C9" s="14">
        <f>[43]И1!E8</f>
        <v>2025</v>
      </c>
    </row>
    <row r="10" spans="1:3" x14ac:dyDescent="0.2">
      <c r="A10" s="8"/>
      <c r="B10" s="9" t="str">
        <f>[43]И1!D9</f>
        <v>Период регулирования (i-1)-й</v>
      </c>
      <c r="C10" s="14">
        <f>[43]И1!E9</f>
        <v>2024</v>
      </c>
    </row>
    <row r="11" spans="1:3" x14ac:dyDescent="0.2">
      <c r="A11" s="8"/>
      <c r="B11" s="9" t="str">
        <f>[43]И1!D10</f>
        <v>Период регулирования (i-2)-й</v>
      </c>
      <c r="C11" s="14">
        <f>[43]И1!E10</f>
        <v>2023</v>
      </c>
    </row>
    <row r="12" spans="1:3" x14ac:dyDescent="0.2">
      <c r="A12" s="8"/>
      <c r="B12" s="9" t="str">
        <f>[43]И1!D11</f>
        <v>Базовый год (б)</v>
      </c>
      <c r="C12" s="14">
        <f>[43]И1!E11</f>
        <v>2019</v>
      </c>
    </row>
    <row r="13" spans="1:3" ht="38.25" x14ac:dyDescent="0.2">
      <c r="A13" s="8"/>
      <c r="B13" s="9" t="str">
        <f>[43]И1!D18</f>
        <v>Вид топлива, использование которого преобладает в системе теплоснабжения</v>
      </c>
      <c r="C13" s="15" t="str">
        <f>[43]С1.1!E13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5671.2392845955656</v>
      </c>
    </row>
    <row r="18" spans="1:3" ht="42.75" x14ac:dyDescent="0.2">
      <c r="A18" s="22" t="s">
        <v>8</v>
      </c>
      <c r="B18" s="25" t="s">
        <v>9</v>
      </c>
      <c r="C18" s="26">
        <f>[43]С1!F12</f>
        <v>1050.7242167390195</v>
      </c>
    </row>
    <row r="19" spans="1:3" ht="42.75" x14ac:dyDescent="0.2">
      <c r="A19" s="22" t="s">
        <v>10</v>
      </c>
      <c r="B19" s="25" t="s">
        <v>11</v>
      </c>
      <c r="C19" s="26">
        <f>[43]С2!F12</f>
        <v>3063.2235383547568</v>
      </c>
    </row>
    <row r="20" spans="1:3" ht="30" x14ac:dyDescent="0.2">
      <c r="A20" s="22" t="s">
        <v>12</v>
      </c>
      <c r="B20" s="25" t="s">
        <v>13</v>
      </c>
      <c r="C20" s="26">
        <f>[43]С3!F12</f>
        <v>917.89815316767874</v>
      </c>
    </row>
    <row r="21" spans="1:3" ht="42.75" x14ac:dyDescent="0.2">
      <c r="A21" s="22" t="s">
        <v>14</v>
      </c>
      <c r="B21" s="25" t="s">
        <v>15</v>
      </c>
      <c r="C21" s="26">
        <f>[43]С4!F12</f>
        <v>528.19260604792305</v>
      </c>
    </row>
    <row r="22" spans="1:3" ht="30" x14ac:dyDescent="0.2">
      <c r="A22" s="22" t="s">
        <v>16</v>
      </c>
      <c r="B22" s="25" t="s">
        <v>17</v>
      </c>
      <c r="C22" s="26">
        <f>[43]С5!F12</f>
        <v>111.20077028618756</v>
      </c>
    </row>
    <row r="23" spans="1:3" ht="43.5" thickBot="1" x14ac:dyDescent="0.25">
      <c r="A23" s="27" t="s">
        <v>18</v>
      </c>
      <c r="B23" s="140" t="s">
        <v>19</v>
      </c>
      <c r="C23" s="28" t="str">
        <f>[43]С6!F12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[43]С1.1!E16</f>
        <v>5100</v>
      </c>
    </row>
    <row r="29" spans="1:3" ht="42.75" x14ac:dyDescent="0.2">
      <c r="A29" s="22" t="s">
        <v>10</v>
      </c>
      <c r="B29" s="33" t="s">
        <v>22</v>
      </c>
      <c r="C29" s="34">
        <f>[43]С1.1!E27</f>
        <v>3790.23</v>
      </c>
    </row>
    <row r="30" spans="1:3" ht="17.25" x14ac:dyDescent="0.2">
      <c r="A30" s="22" t="s">
        <v>12</v>
      </c>
      <c r="B30" s="33" t="s">
        <v>23</v>
      </c>
      <c r="C30" s="35">
        <f>[43]С1.1!E19</f>
        <v>1.4E-2</v>
      </c>
    </row>
    <row r="31" spans="1:3" ht="17.25" x14ac:dyDescent="0.2">
      <c r="A31" s="22" t="s">
        <v>14</v>
      </c>
      <c r="B31" s="33" t="s">
        <v>24</v>
      </c>
      <c r="C31" s="35">
        <f>[43]С1.1!E20</f>
        <v>0.04</v>
      </c>
    </row>
    <row r="32" spans="1:3" ht="30" x14ac:dyDescent="0.2">
      <c r="A32" s="22" t="s">
        <v>16</v>
      </c>
      <c r="B32" s="36" t="s">
        <v>25</v>
      </c>
      <c r="C32" s="37">
        <f>[43]С1!F13</f>
        <v>176.4</v>
      </c>
    </row>
    <row r="33" spans="1:3" x14ac:dyDescent="0.2">
      <c r="A33" s="22" t="s">
        <v>18</v>
      </c>
      <c r="B33" s="36" t="s">
        <v>26</v>
      </c>
      <c r="C33" s="38">
        <f>[43]С1!F16</f>
        <v>7000</v>
      </c>
    </row>
    <row r="34" spans="1:3" ht="14.25" x14ac:dyDescent="0.2">
      <c r="A34" s="22" t="s">
        <v>27</v>
      </c>
      <c r="B34" s="39" t="s">
        <v>28</v>
      </c>
      <c r="C34" s="40">
        <f>[43]С1!F17</f>
        <v>0.72857142857142854</v>
      </c>
    </row>
    <row r="35" spans="1:3" ht="15.75" x14ac:dyDescent="0.2">
      <c r="A35" s="41" t="s">
        <v>29</v>
      </c>
      <c r="B35" s="42" t="s">
        <v>30</v>
      </c>
      <c r="C35" s="40">
        <f>[43]С1!F20</f>
        <v>21.588411179999994</v>
      </c>
    </row>
    <row r="36" spans="1:3" ht="15.75" x14ac:dyDescent="0.2">
      <c r="A36" s="41" t="s">
        <v>31</v>
      </c>
      <c r="B36" s="43" t="s">
        <v>32</v>
      </c>
      <c r="C36" s="40">
        <f>[43]С1!F21</f>
        <v>20.818139999999996</v>
      </c>
    </row>
    <row r="37" spans="1:3" ht="14.25" x14ac:dyDescent="0.2">
      <c r="A37" s="41" t="s">
        <v>33</v>
      </c>
      <c r="B37" s="44" t="s">
        <v>34</v>
      </c>
      <c r="C37" s="40">
        <f>[43]С1!F22</f>
        <v>1.0369999999999999</v>
      </c>
    </row>
    <row r="38" spans="1:3" ht="53.25" thickBot="1" x14ac:dyDescent="0.25">
      <c r="A38" s="27" t="s">
        <v>35</v>
      </c>
      <c r="B38" s="45" t="s">
        <v>36</v>
      </c>
      <c r="C38" s="46">
        <f>[43]С1!F23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[43]С2.1!E12</f>
        <v>V</v>
      </c>
    </row>
    <row r="42" spans="1:3" ht="25.5" x14ac:dyDescent="0.2">
      <c r="A42" s="22" t="s">
        <v>41</v>
      </c>
      <c r="B42" s="33" t="s">
        <v>42</v>
      </c>
      <c r="C42" s="51" t="str">
        <f>[43]С2.1!E13</f>
        <v>6 и менее баллов</v>
      </c>
    </row>
    <row r="43" spans="1:3" ht="25.5" x14ac:dyDescent="0.2">
      <c r="A43" s="22" t="s">
        <v>43</v>
      </c>
      <c r="B43" s="33" t="s">
        <v>44</v>
      </c>
      <c r="C43" s="51" t="str">
        <f>[43]С2.1!E14</f>
        <v>от 200 до 500</v>
      </c>
    </row>
    <row r="44" spans="1:3" ht="25.5" x14ac:dyDescent="0.2">
      <c r="A44" s="22" t="s">
        <v>45</v>
      </c>
      <c r="B44" s="33" t="s">
        <v>46</v>
      </c>
      <c r="C44" s="52" t="str">
        <f>[43]С2.1!E15</f>
        <v>нет</v>
      </c>
    </row>
    <row r="45" spans="1:3" ht="30" x14ac:dyDescent="0.2">
      <c r="A45" s="22" t="s">
        <v>47</v>
      </c>
      <c r="B45" s="33" t="s">
        <v>48</v>
      </c>
      <c r="C45" s="34">
        <f>[43]С2!F18</f>
        <v>38910.02669467502</v>
      </c>
    </row>
    <row r="46" spans="1:3" ht="30" x14ac:dyDescent="0.2">
      <c r="A46" s="22" t="s">
        <v>49</v>
      </c>
      <c r="B46" s="53" t="s">
        <v>50</v>
      </c>
      <c r="C46" s="34">
        <f>IF([43]С2!F19&gt;0,[43]С2!F19,[43]С2!F20)</f>
        <v>23441.524932855718</v>
      </c>
    </row>
    <row r="47" spans="1:3" ht="25.5" x14ac:dyDescent="0.2">
      <c r="A47" s="22" t="s">
        <v>51</v>
      </c>
      <c r="B47" s="54" t="s">
        <v>52</v>
      </c>
      <c r="C47" s="34">
        <f>[43]С2.1!E19</f>
        <v>-38</v>
      </c>
    </row>
    <row r="48" spans="1:3" ht="25.5" x14ac:dyDescent="0.2">
      <c r="A48" s="22" t="s">
        <v>53</v>
      </c>
      <c r="B48" s="54" t="s">
        <v>54</v>
      </c>
      <c r="C48" s="34" t="str">
        <f>[43]С2.1!E22</f>
        <v>нет</v>
      </c>
    </row>
    <row r="49" spans="1:3" ht="38.25" x14ac:dyDescent="0.2">
      <c r="A49" s="22" t="s">
        <v>55</v>
      </c>
      <c r="B49" s="55" t="s">
        <v>56</v>
      </c>
      <c r="C49" s="34">
        <f>[43]С2.2!E10</f>
        <v>1287</v>
      </c>
    </row>
    <row r="50" spans="1:3" ht="25.5" x14ac:dyDescent="0.2">
      <c r="A50" s="22" t="s">
        <v>57</v>
      </c>
      <c r="B50" s="56" t="s">
        <v>58</v>
      </c>
      <c r="C50" s="34">
        <f>[43]С2.2!E12</f>
        <v>5.97</v>
      </c>
    </row>
    <row r="51" spans="1:3" ht="52.5" x14ac:dyDescent="0.2">
      <c r="A51" s="22" t="s">
        <v>59</v>
      </c>
      <c r="B51" s="57" t="s">
        <v>60</v>
      </c>
      <c r="C51" s="34">
        <f>[43]С2.2!E13</f>
        <v>1</v>
      </c>
    </row>
    <row r="52" spans="1:3" ht="27.75" x14ac:dyDescent="0.2">
      <c r="A52" s="22" t="s">
        <v>61</v>
      </c>
      <c r="B52" s="56" t="s">
        <v>62</v>
      </c>
      <c r="C52" s="34">
        <f>[43]С2.2!E14</f>
        <v>12104</v>
      </c>
    </row>
    <row r="53" spans="1:3" ht="25.5" x14ac:dyDescent="0.2">
      <c r="A53" s="22" t="s">
        <v>63</v>
      </c>
      <c r="B53" s="57" t="s">
        <v>64</v>
      </c>
      <c r="C53" s="35">
        <f>[43]С2.2!E15</f>
        <v>4.8000000000000001E-2</v>
      </c>
    </row>
    <row r="54" spans="1:3" x14ac:dyDescent="0.2">
      <c r="A54" s="22" t="s">
        <v>65</v>
      </c>
      <c r="B54" s="57" t="s">
        <v>66</v>
      </c>
      <c r="C54" s="34">
        <f>[43]С2.2!E16</f>
        <v>1</v>
      </c>
    </row>
    <row r="55" spans="1:3" ht="15.75" x14ac:dyDescent="0.2">
      <c r="A55" s="22" t="s">
        <v>67</v>
      </c>
      <c r="B55" s="58" t="s">
        <v>68</v>
      </c>
      <c r="C55" s="34">
        <f>[43]С2!F21</f>
        <v>1</v>
      </c>
    </row>
    <row r="56" spans="1:3" ht="30" x14ac:dyDescent="0.2">
      <c r="A56" s="59" t="s">
        <v>69</v>
      </c>
      <c r="B56" s="33" t="s">
        <v>70</v>
      </c>
      <c r="C56" s="34">
        <f>[43]С2!F13</f>
        <v>203708.97017230222</v>
      </c>
    </row>
    <row r="57" spans="1:3" ht="30" x14ac:dyDescent="0.2">
      <c r="A57" s="59" t="s">
        <v>71</v>
      </c>
      <c r="B57" s="58" t="s">
        <v>72</v>
      </c>
      <c r="C57" s="34">
        <f>[43]С2!F14</f>
        <v>113455</v>
      </c>
    </row>
    <row r="58" spans="1:3" ht="15.75" x14ac:dyDescent="0.2">
      <c r="A58" s="59" t="s">
        <v>73</v>
      </c>
      <c r="B58" s="60" t="s">
        <v>74</v>
      </c>
      <c r="C58" s="40">
        <f>[43]С2!F15</f>
        <v>1.071</v>
      </c>
    </row>
    <row r="59" spans="1:3" ht="15.75" x14ac:dyDescent="0.2">
      <c r="A59" s="59" t="s">
        <v>75</v>
      </c>
      <c r="B59" s="60" t="s">
        <v>76</v>
      </c>
      <c r="C59" s="40">
        <f>[43]С2!F16</f>
        <v>1</v>
      </c>
    </row>
    <row r="60" spans="1:3" ht="17.25" x14ac:dyDescent="0.2">
      <c r="A60" s="59" t="s">
        <v>77</v>
      </c>
      <c r="B60" s="58" t="s">
        <v>78</v>
      </c>
      <c r="C60" s="34">
        <f>[43]С2!F17</f>
        <v>1.01</v>
      </c>
    </row>
    <row r="61" spans="1:3" s="63" customFormat="1" ht="14.25" x14ac:dyDescent="0.2">
      <c r="A61" s="59" t="s">
        <v>79</v>
      </c>
      <c r="B61" s="61" t="s">
        <v>80</v>
      </c>
      <c r="C61" s="62">
        <f>[43]С2!F33</f>
        <v>10</v>
      </c>
    </row>
    <row r="62" spans="1:3" ht="30" x14ac:dyDescent="0.2">
      <c r="A62" s="59" t="s">
        <v>81</v>
      </c>
      <c r="B62" s="64" t="s">
        <v>82</v>
      </c>
      <c r="C62" s="34">
        <f>[43]С2!F26</f>
        <v>3082.0508637929142</v>
      </c>
    </row>
    <row r="63" spans="1:3" ht="17.25" x14ac:dyDescent="0.2">
      <c r="A63" s="59" t="s">
        <v>83</v>
      </c>
      <c r="B63" s="53" t="s">
        <v>84</v>
      </c>
      <c r="C63" s="34">
        <f>[43]С2!F27</f>
        <v>0.44209422600000003</v>
      </c>
    </row>
    <row r="64" spans="1:3" ht="17.25" x14ac:dyDescent="0.2">
      <c r="A64" s="59" t="s">
        <v>85</v>
      </c>
      <c r="B64" s="58" t="s">
        <v>86</v>
      </c>
      <c r="C64" s="62">
        <f>[43]С2!F28</f>
        <v>4200</v>
      </c>
    </row>
    <row r="65" spans="1:3" ht="42.75" x14ac:dyDescent="0.2">
      <c r="A65" s="59" t="s">
        <v>87</v>
      </c>
      <c r="B65" s="33" t="s">
        <v>88</v>
      </c>
      <c r="C65" s="34">
        <f>[43]С2!F22</f>
        <v>42890.921752741691</v>
      </c>
    </row>
    <row r="66" spans="1:3" ht="30" x14ac:dyDescent="0.2">
      <c r="A66" s="59" t="s">
        <v>89</v>
      </c>
      <c r="B66" s="60" t="s">
        <v>90</v>
      </c>
      <c r="C66" s="34">
        <f>[43]С2!F23</f>
        <v>1990</v>
      </c>
    </row>
    <row r="67" spans="1:3" ht="30" x14ac:dyDescent="0.2">
      <c r="A67" s="59" t="s">
        <v>91</v>
      </c>
      <c r="B67" s="53" t="s">
        <v>92</v>
      </c>
      <c r="C67" s="34">
        <f>[43]С2.1!E27</f>
        <v>14307.876789999998</v>
      </c>
    </row>
    <row r="68" spans="1:3" ht="38.25" x14ac:dyDescent="0.2">
      <c r="A68" s="59" t="s">
        <v>93</v>
      </c>
      <c r="B68" s="65" t="s">
        <v>94</v>
      </c>
      <c r="C68" s="52">
        <f>[43]С2.3!E21</f>
        <v>0</v>
      </c>
    </row>
    <row r="69" spans="1:3" ht="25.5" x14ac:dyDescent="0.2">
      <c r="A69" s="59" t="s">
        <v>95</v>
      </c>
      <c r="B69" s="66" t="s">
        <v>96</v>
      </c>
      <c r="C69" s="67">
        <f>[43]С2.3!E11</f>
        <v>9.89</v>
      </c>
    </row>
    <row r="70" spans="1:3" ht="25.5" x14ac:dyDescent="0.2">
      <c r="A70" s="59" t="s">
        <v>97</v>
      </c>
      <c r="B70" s="66" t="s">
        <v>98</v>
      </c>
      <c r="C70" s="62">
        <f>[43]С2.3!E13</f>
        <v>300</v>
      </c>
    </row>
    <row r="71" spans="1:3" ht="25.5" x14ac:dyDescent="0.2">
      <c r="A71" s="59" t="s">
        <v>99</v>
      </c>
      <c r="B71" s="65" t="s">
        <v>100</v>
      </c>
      <c r="C71" s="68">
        <f>IF([43]С2.3!E22&gt;0,[43]С2.3!E22,[43]С2.3!E14)</f>
        <v>61211</v>
      </c>
    </row>
    <row r="72" spans="1:3" ht="38.25" x14ac:dyDescent="0.2">
      <c r="A72" s="59" t="s">
        <v>101</v>
      </c>
      <c r="B72" s="65" t="s">
        <v>102</v>
      </c>
      <c r="C72" s="68">
        <f>IF([43]С2.3!E23&gt;0,[43]С2.3!E23,[43]С2.3!E15)</f>
        <v>45675</v>
      </c>
    </row>
    <row r="73" spans="1:3" ht="30" x14ac:dyDescent="0.2">
      <c r="A73" s="59" t="s">
        <v>103</v>
      </c>
      <c r="B73" s="53" t="s">
        <v>104</v>
      </c>
      <c r="C73" s="34">
        <f>[43]С2.1!E28</f>
        <v>9541.9567200000001</v>
      </c>
    </row>
    <row r="74" spans="1:3" ht="38.25" x14ac:dyDescent="0.2">
      <c r="A74" s="59" t="s">
        <v>105</v>
      </c>
      <c r="B74" s="65" t="s">
        <v>106</v>
      </c>
      <c r="C74" s="52">
        <f>[43]С2.3!E25</f>
        <v>0</v>
      </c>
    </row>
    <row r="75" spans="1:3" ht="25.5" x14ac:dyDescent="0.2">
      <c r="A75" s="59" t="s">
        <v>107</v>
      </c>
      <c r="B75" s="66" t="s">
        <v>108</v>
      </c>
      <c r="C75" s="67">
        <f>[43]С2.3!E12</f>
        <v>0.56000000000000005</v>
      </c>
    </row>
    <row r="76" spans="1:3" ht="25.5" x14ac:dyDescent="0.2">
      <c r="A76" s="59" t="s">
        <v>109</v>
      </c>
      <c r="B76" s="66" t="s">
        <v>98</v>
      </c>
      <c r="C76" s="62">
        <f>[43]С2.3!E13</f>
        <v>300</v>
      </c>
    </row>
    <row r="77" spans="1:3" ht="25.5" x14ac:dyDescent="0.2">
      <c r="A77" s="59" t="s">
        <v>110</v>
      </c>
      <c r="B77" s="69" t="s">
        <v>111</v>
      </c>
      <c r="C77" s="68">
        <f>IF([43]С2.3!E26&gt;0,[43]С2.3!E26,[43]С2.3!E16)</f>
        <v>65637</v>
      </c>
    </row>
    <row r="78" spans="1:3" ht="38.25" x14ac:dyDescent="0.2">
      <c r="A78" s="59" t="s">
        <v>112</v>
      </c>
      <c r="B78" s="69" t="s">
        <v>113</v>
      </c>
      <c r="C78" s="68">
        <f>IF([43]С2.3!E27&gt;0,[43]С2.3!E27,[43]С2.3!E17)</f>
        <v>31684</v>
      </c>
    </row>
    <row r="79" spans="1:3" ht="17.25" x14ac:dyDescent="0.2">
      <c r="A79" s="59" t="s">
        <v>114</v>
      </c>
      <c r="B79" s="33" t="s">
        <v>115</v>
      </c>
      <c r="C79" s="35">
        <f>[43]С2!F29</f>
        <v>0.17804631770487722</v>
      </c>
    </row>
    <row r="80" spans="1:3" ht="30" x14ac:dyDescent="0.2">
      <c r="A80" s="59" t="s">
        <v>116</v>
      </c>
      <c r="B80" s="53" t="s">
        <v>117</v>
      </c>
      <c r="C80" s="70">
        <f>[43]С2!F30</f>
        <v>0.1652189781021898</v>
      </c>
    </row>
    <row r="81" spans="1:3" ht="17.25" x14ac:dyDescent="0.2">
      <c r="A81" s="59" t="s">
        <v>118</v>
      </c>
      <c r="B81" s="71" t="s">
        <v>119</v>
      </c>
      <c r="C81" s="35">
        <f>[43]С2!F31</f>
        <v>0.13880000000000001</v>
      </c>
    </row>
    <row r="82" spans="1:3" s="63" customFormat="1" ht="18" thickBot="1" x14ac:dyDescent="0.25">
      <c r="A82" s="72" t="s">
        <v>120</v>
      </c>
      <c r="B82" s="73" t="s">
        <v>121</v>
      </c>
      <c r="C82" s="74">
        <f>[43]С2!F32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[43]С3!F14</f>
        <v>14912.207299372252</v>
      </c>
    </row>
    <row r="86" spans="1:3" s="63" customFormat="1" ht="42.75" x14ac:dyDescent="0.2">
      <c r="A86" s="77" t="s">
        <v>126</v>
      </c>
      <c r="B86" s="53" t="s">
        <v>127</v>
      </c>
      <c r="C86" s="78">
        <f>[43]С3!F15</f>
        <v>0.25</v>
      </c>
    </row>
    <row r="87" spans="1:3" s="63" customFormat="1" ht="14.25" x14ac:dyDescent="0.2">
      <c r="A87" s="77" t="s">
        <v>128</v>
      </c>
      <c r="B87" s="79" t="s">
        <v>129</v>
      </c>
      <c r="C87" s="62">
        <f>[43]С3!F18</f>
        <v>15</v>
      </c>
    </row>
    <row r="88" spans="1:3" s="63" customFormat="1" ht="17.25" x14ac:dyDescent="0.2">
      <c r="A88" s="77" t="s">
        <v>130</v>
      </c>
      <c r="B88" s="33" t="s">
        <v>131</v>
      </c>
      <c r="C88" s="34">
        <f>[43]С3!F19</f>
        <v>4187.478806422544</v>
      </c>
    </row>
    <row r="89" spans="1:3" s="63" customFormat="1" ht="55.5" x14ac:dyDescent="0.2">
      <c r="A89" s="77" t="s">
        <v>132</v>
      </c>
      <c r="B89" s="53" t="s">
        <v>133</v>
      </c>
      <c r="C89" s="80">
        <f>[43]С3!F20</f>
        <v>2.1999999999999999E-2</v>
      </c>
    </row>
    <row r="90" spans="1:3" s="63" customFormat="1" ht="14.25" x14ac:dyDescent="0.2">
      <c r="A90" s="77" t="s">
        <v>134</v>
      </c>
      <c r="B90" s="58" t="s">
        <v>80</v>
      </c>
      <c r="C90" s="62">
        <f>[43]С3!F21</f>
        <v>10</v>
      </c>
    </row>
    <row r="91" spans="1:3" s="63" customFormat="1" ht="17.25" x14ac:dyDescent="0.2">
      <c r="A91" s="77" t="s">
        <v>135</v>
      </c>
      <c r="B91" s="33" t="s">
        <v>136</v>
      </c>
      <c r="C91" s="34">
        <f>[43]С3!F22</f>
        <v>9.2461525913787437</v>
      </c>
    </row>
    <row r="92" spans="1:3" s="63" customFormat="1" ht="55.5" x14ac:dyDescent="0.2">
      <c r="A92" s="77" t="s">
        <v>137</v>
      </c>
      <c r="B92" s="53" t="s">
        <v>138</v>
      </c>
      <c r="C92" s="80">
        <f>[43]С3!F23</f>
        <v>3.0000000000000001E-3</v>
      </c>
    </row>
    <row r="93" spans="1:3" s="63" customFormat="1" ht="27.75" thickBot="1" x14ac:dyDescent="0.25">
      <c r="A93" s="81" t="s">
        <v>139</v>
      </c>
      <c r="B93" s="82" t="s">
        <v>140</v>
      </c>
      <c r="C93" s="83">
        <f>[43]С3!F24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[43]С4!F16</f>
        <v>1652.5</v>
      </c>
    </row>
    <row r="97" spans="1:3" ht="30" x14ac:dyDescent="0.2">
      <c r="A97" s="59" t="s">
        <v>145</v>
      </c>
      <c r="B97" s="58" t="s">
        <v>146</v>
      </c>
      <c r="C97" s="34">
        <f>[43]С4!F17</f>
        <v>73547</v>
      </c>
    </row>
    <row r="98" spans="1:3" ht="17.25" x14ac:dyDescent="0.2">
      <c r="A98" s="59" t="s">
        <v>147</v>
      </c>
      <c r="B98" s="58" t="s">
        <v>148</v>
      </c>
      <c r="C98" s="40">
        <f>[43]С4!F18</f>
        <v>0.02</v>
      </c>
    </row>
    <row r="99" spans="1:3" ht="30" x14ac:dyDescent="0.2">
      <c r="A99" s="59" t="s">
        <v>149</v>
      </c>
      <c r="B99" s="58" t="s">
        <v>150</v>
      </c>
      <c r="C99" s="34">
        <f>[43]С4!F19</f>
        <v>12104</v>
      </c>
    </row>
    <row r="100" spans="1:3" ht="31.5" x14ac:dyDescent="0.2">
      <c r="A100" s="59" t="s">
        <v>151</v>
      </c>
      <c r="B100" s="58" t="s">
        <v>152</v>
      </c>
      <c r="C100" s="40">
        <f>[43]С4!F20</f>
        <v>1.4999999999999999E-2</v>
      </c>
    </row>
    <row r="101" spans="1:3" ht="30" x14ac:dyDescent="0.2">
      <c r="A101" s="59" t="s">
        <v>153</v>
      </c>
      <c r="B101" s="33" t="s">
        <v>154</v>
      </c>
      <c r="C101" s="34">
        <f>[43]С4!F21</f>
        <v>1933.1949342509995</v>
      </c>
    </row>
    <row r="102" spans="1:3" ht="24" customHeight="1" x14ac:dyDescent="0.2">
      <c r="A102" s="59" t="s">
        <v>155</v>
      </c>
      <c r="B102" s="53" t="s">
        <v>156</v>
      </c>
      <c r="C102" s="85">
        <f>IF([43]С4.2!F8="да",[43]С4.2!D21,[43]С4.2!D15)</f>
        <v>0</v>
      </c>
    </row>
    <row r="103" spans="1:3" ht="68.25" x14ac:dyDescent="0.2">
      <c r="A103" s="59" t="s">
        <v>157</v>
      </c>
      <c r="B103" s="53" t="s">
        <v>158</v>
      </c>
      <c r="C103" s="34">
        <f>[43]С4!F22</f>
        <v>3.6112641666666665</v>
      </c>
    </row>
    <row r="104" spans="1:3" ht="30" x14ac:dyDescent="0.2">
      <c r="A104" s="59" t="s">
        <v>159</v>
      </c>
      <c r="B104" s="58" t="s">
        <v>160</v>
      </c>
      <c r="C104" s="34">
        <f>[43]С4!F23</f>
        <v>180</v>
      </c>
    </row>
    <row r="105" spans="1:3" ht="14.25" x14ac:dyDescent="0.2">
      <c r="A105" s="59" t="s">
        <v>161</v>
      </c>
      <c r="B105" s="53" t="s">
        <v>162</v>
      </c>
      <c r="C105" s="34">
        <f>[43]С4!F24</f>
        <v>8497.1999999999989</v>
      </c>
    </row>
    <row r="106" spans="1:3" ht="14.25" x14ac:dyDescent="0.2">
      <c r="A106" s="59" t="s">
        <v>163</v>
      </c>
      <c r="B106" s="58" t="s">
        <v>164</v>
      </c>
      <c r="C106" s="40">
        <f>[43]С4!F25</f>
        <v>0.35</v>
      </c>
    </row>
    <row r="107" spans="1:3" ht="17.25" x14ac:dyDescent="0.2">
      <c r="A107" s="59" t="s">
        <v>165</v>
      </c>
      <c r="B107" s="33" t="s">
        <v>166</v>
      </c>
      <c r="C107" s="34">
        <f>[43]С4!F26</f>
        <v>87.677760000000006</v>
      </c>
    </row>
    <row r="108" spans="1:3" ht="25.5" x14ac:dyDescent="0.2">
      <c r="A108" s="59" t="s">
        <v>167</v>
      </c>
      <c r="B108" s="53" t="s">
        <v>94</v>
      </c>
      <c r="C108" s="85">
        <f>[43]С4.3!E16</f>
        <v>0</v>
      </c>
    </row>
    <row r="109" spans="1:3" ht="25.5" x14ac:dyDescent="0.2">
      <c r="A109" s="59" t="s">
        <v>168</v>
      </c>
      <c r="B109" s="53" t="s">
        <v>169</v>
      </c>
      <c r="C109" s="34">
        <f>[43]С4.3!E17</f>
        <v>23.92</v>
      </c>
    </row>
    <row r="110" spans="1:3" ht="38.25" x14ac:dyDescent="0.2">
      <c r="A110" s="59" t="s">
        <v>170</v>
      </c>
      <c r="B110" s="53" t="s">
        <v>106</v>
      </c>
      <c r="C110" s="85">
        <f>[43]С4.3!E18</f>
        <v>0</v>
      </c>
    </row>
    <row r="111" spans="1:3" x14ac:dyDescent="0.2">
      <c r="A111" s="59" t="s">
        <v>171</v>
      </c>
      <c r="B111" s="53" t="s">
        <v>172</v>
      </c>
      <c r="C111" s="34">
        <f>[43]С4.3!E19</f>
        <v>18.579999999999998</v>
      </c>
    </row>
    <row r="112" spans="1:3" x14ac:dyDescent="0.2">
      <c r="A112" s="59" t="s">
        <v>173</v>
      </c>
      <c r="B112" s="58" t="s">
        <v>174</v>
      </c>
      <c r="C112" s="34">
        <f>[43]С4.3!E11</f>
        <v>1871</v>
      </c>
    </row>
    <row r="113" spans="1:3" x14ac:dyDescent="0.2">
      <c r="A113" s="59" t="s">
        <v>175</v>
      </c>
      <c r="B113" s="58" t="s">
        <v>176</v>
      </c>
      <c r="C113" s="52">
        <f>[43]С4.3!E12</f>
        <v>1636</v>
      </c>
    </row>
    <row r="114" spans="1:3" x14ac:dyDescent="0.2">
      <c r="A114" s="59" t="s">
        <v>177</v>
      </c>
      <c r="B114" s="58" t="s">
        <v>178</v>
      </c>
      <c r="C114" s="52">
        <f>[43]С4.3!E13</f>
        <v>204</v>
      </c>
    </row>
    <row r="115" spans="1:3" ht="30" x14ac:dyDescent="0.2">
      <c r="A115" s="59" t="s">
        <v>179</v>
      </c>
      <c r="B115" s="33" t="s">
        <v>180</v>
      </c>
      <c r="C115" s="34">
        <f>[43]С4!F27</f>
        <v>1291.2863994686898</v>
      </c>
    </row>
    <row r="116" spans="1:3" ht="25.5" x14ac:dyDescent="0.2">
      <c r="A116" s="59" t="s">
        <v>181</v>
      </c>
      <c r="B116" s="53" t="s">
        <v>182</v>
      </c>
      <c r="C116" s="34">
        <f>[43]С4!F28</f>
        <v>991.77142816335618</v>
      </c>
    </row>
    <row r="117" spans="1:3" ht="42.75" x14ac:dyDescent="0.2">
      <c r="A117" s="59" t="s">
        <v>183</v>
      </c>
      <c r="B117" s="53" t="s">
        <v>184</v>
      </c>
      <c r="C117" s="34">
        <f>[43]С4!F29</f>
        <v>299.51497130533357</v>
      </c>
    </row>
    <row r="118" spans="1:3" ht="30" x14ac:dyDescent="0.2">
      <c r="A118" s="59" t="s">
        <v>185</v>
      </c>
      <c r="B118" s="39" t="s">
        <v>186</v>
      </c>
      <c r="C118" s="34">
        <f>[43]С4!F30</f>
        <v>2755.2687065489681</v>
      </c>
    </row>
    <row r="119" spans="1:3" ht="42.75" x14ac:dyDescent="0.2">
      <c r="A119" s="59" t="s">
        <v>187</v>
      </c>
      <c r="B119" s="86" t="s">
        <v>188</v>
      </c>
      <c r="C119" s="34">
        <f>[43]С4!F33</f>
        <v>1548.2293501824274</v>
      </c>
    </row>
    <row r="120" spans="1:3" ht="30" x14ac:dyDescent="0.2">
      <c r="A120" s="59" t="s">
        <v>189</v>
      </c>
      <c r="B120" s="87" t="s">
        <v>190</v>
      </c>
      <c r="C120" s="34">
        <f>[43]С4!F35</f>
        <v>17.040680999999999</v>
      </c>
    </row>
    <row r="121" spans="1:3" ht="14.25" x14ac:dyDescent="0.2">
      <c r="A121" s="59" t="s">
        <v>191</v>
      </c>
      <c r="B121" s="56" t="s">
        <v>192</v>
      </c>
      <c r="C121" s="34">
        <f>[43]С4!F36</f>
        <v>14319.9</v>
      </c>
    </row>
    <row r="122" spans="1:3" ht="28.5" thickBot="1" x14ac:dyDescent="0.25">
      <c r="A122" s="72" t="s">
        <v>193</v>
      </c>
      <c r="B122" s="88" t="s">
        <v>194</v>
      </c>
      <c r="C122" s="83">
        <f>[43]С4!F37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[43]С5!F17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[43]С2!F37</f>
        <v>20.818139999999996</v>
      </c>
    </row>
    <row r="136" spans="1:3" ht="14.25" x14ac:dyDescent="0.2">
      <c r="A136" s="59" t="s">
        <v>216</v>
      </c>
      <c r="B136" s="101" t="s">
        <v>217</v>
      </c>
      <c r="C136" s="34">
        <f>[43]С2!F38</f>
        <v>7</v>
      </c>
    </row>
    <row r="137" spans="1:3" ht="17.25" x14ac:dyDescent="0.2">
      <c r="A137" s="59" t="s">
        <v>218</v>
      </c>
      <c r="B137" s="101" t="s">
        <v>219</v>
      </c>
      <c r="C137" s="34">
        <f>[43]С2!F40</f>
        <v>0.97</v>
      </c>
    </row>
    <row r="138" spans="1:3" ht="15" thickBot="1" x14ac:dyDescent="0.25">
      <c r="A138" s="72" t="s">
        <v>220</v>
      </c>
      <c r="B138" s="102" t="s">
        <v>221</v>
      </c>
      <c r="C138" s="46">
        <f>[43]С2!F42</f>
        <v>0.35</v>
      </c>
    </row>
    <row r="139" spans="1:3" s="89" customFormat="1" ht="13.5" thickBot="1" x14ac:dyDescent="0.25">
      <c r="A139" s="47"/>
      <c r="B139" s="75"/>
      <c r="C139" s="15"/>
    </row>
    <row r="140" spans="1:3" ht="30" x14ac:dyDescent="0.2">
      <c r="A140" s="84" t="s">
        <v>222</v>
      </c>
      <c r="B140" s="103" t="s">
        <v>223</v>
      </c>
      <c r="C140" s="104">
        <f>[43]С2!F35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[43]С2.5!$E$11</f>
        <v>-2.9000000000000026E-2</v>
      </c>
    </row>
    <row r="144" spans="1:3" x14ac:dyDescent="0.2">
      <c r="A144" s="105"/>
      <c r="B144" s="110">
        <f>B143+1</f>
        <v>2021</v>
      </c>
      <c r="C144" s="111">
        <f>[43]С2.5!$F$11</f>
        <v>0.245</v>
      </c>
    </row>
    <row r="145" spans="1:3" x14ac:dyDescent="0.2">
      <c r="A145" s="105"/>
      <c r="B145" s="110">
        <f t="shared" ref="B145:B208" si="0">B144+1</f>
        <v>2022</v>
      </c>
      <c r="C145" s="111">
        <f>[43]С2.5!$G$11</f>
        <v>0.114</v>
      </c>
    </row>
    <row r="146" spans="1:3" ht="13.5" thickBot="1" x14ac:dyDescent="0.25">
      <c r="A146" s="105"/>
      <c r="B146" s="112">
        <f t="shared" si="0"/>
        <v>2023</v>
      </c>
      <c r="C146" s="113">
        <f>[43]С2.5!$H$11</f>
        <v>0.04</v>
      </c>
    </row>
    <row r="147" spans="1:3" x14ac:dyDescent="0.2">
      <c r="A147" s="105"/>
      <c r="B147" s="114">
        <f t="shared" si="0"/>
        <v>2024</v>
      </c>
      <c r="C147" s="115">
        <f>[43]С2.5!$I$11</f>
        <v>0.11700000000000001</v>
      </c>
    </row>
    <row r="148" spans="1:3" x14ac:dyDescent="0.2">
      <c r="A148" s="105"/>
      <c r="B148" s="110">
        <f t="shared" si="0"/>
        <v>2025</v>
      </c>
      <c r="C148" s="111">
        <f>[43]С2.5!$J$11</f>
        <v>6.0999999999999999E-2</v>
      </c>
    </row>
    <row r="149" spans="1:3" hidden="1" x14ac:dyDescent="0.2">
      <c r="A149" s="105"/>
      <c r="B149" s="110">
        <f t="shared" si="0"/>
        <v>2026</v>
      </c>
      <c r="C149" s="111">
        <f>[43]С2.5!$K$11</f>
        <v>3.5813361771260002E-2</v>
      </c>
    </row>
    <row r="150" spans="1:3" hidden="1" x14ac:dyDescent="0.2">
      <c r="A150" s="105"/>
      <c r="B150" s="110">
        <f t="shared" si="0"/>
        <v>2027</v>
      </c>
      <c r="C150" s="111">
        <f>[43]С2.5!$L$11</f>
        <v>3.2682303599220003E-2</v>
      </c>
    </row>
    <row r="151" spans="1:3" hidden="1" x14ac:dyDescent="0.2">
      <c r="A151" s="105"/>
      <c r="B151" s="110">
        <f t="shared" si="0"/>
        <v>2028</v>
      </c>
      <c r="C151" s="111">
        <f>[43]С2.5!$M$11</f>
        <v>0</v>
      </c>
    </row>
    <row r="152" spans="1:3" hidden="1" x14ac:dyDescent="0.2">
      <c r="A152" s="105"/>
      <c r="B152" s="110">
        <f t="shared" si="0"/>
        <v>2029</v>
      </c>
      <c r="C152" s="111">
        <f>[43]С2.5!$N$11</f>
        <v>0</v>
      </c>
    </row>
    <row r="153" spans="1:3" hidden="1" x14ac:dyDescent="0.2">
      <c r="A153" s="105"/>
      <c r="B153" s="110">
        <f t="shared" si="0"/>
        <v>2030</v>
      </c>
      <c r="C153" s="111">
        <f>[43]С2.5!$O$11</f>
        <v>0</v>
      </c>
    </row>
    <row r="154" spans="1:3" hidden="1" x14ac:dyDescent="0.2">
      <c r="A154" s="105"/>
      <c r="B154" s="110">
        <f t="shared" si="0"/>
        <v>2031</v>
      </c>
      <c r="C154" s="111">
        <f>[43]С2.5!$P$11</f>
        <v>0</v>
      </c>
    </row>
    <row r="155" spans="1:3" hidden="1" x14ac:dyDescent="0.2">
      <c r="A155" s="89"/>
      <c r="B155" s="110">
        <f t="shared" si="0"/>
        <v>2032</v>
      </c>
      <c r="C155" s="111">
        <f>[43]С2.5!$Q$11</f>
        <v>0</v>
      </c>
    </row>
    <row r="156" spans="1:3" hidden="1" x14ac:dyDescent="0.2">
      <c r="A156" s="89"/>
      <c r="B156" s="110">
        <f t="shared" si="0"/>
        <v>2033</v>
      </c>
      <c r="C156" s="111">
        <f>[43]С2.5!$R$11</f>
        <v>0</v>
      </c>
    </row>
    <row r="157" spans="1:3" hidden="1" x14ac:dyDescent="0.2">
      <c r="B157" s="110">
        <f t="shared" si="0"/>
        <v>2034</v>
      </c>
      <c r="C157" s="111">
        <f>[43]С2.5!$S$11</f>
        <v>0</v>
      </c>
    </row>
    <row r="158" spans="1:3" hidden="1" x14ac:dyDescent="0.2">
      <c r="B158" s="110">
        <f t="shared" si="0"/>
        <v>2035</v>
      </c>
      <c r="C158" s="111">
        <f>[43]С2.5!$T$11</f>
        <v>0</v>
      </c>
    </row>
    <row r="159" spans="1:3" hidden="1" x14ac:dyDescent="0.2">
      <c r="B159" s="110">
        <f t="shared" si="0"/>
        <v>2036</v>
      </c>
      <c r="C159" s="111">
        <f>[43]С2.5!$U$11</f>
        <v>0</v>
      </c>
    </row>
    <row r="160" spans="1:3" hidden="1" x14ac:dyDescent="0.2">
      <c r="B160" s="110">
        <f t="shared" si="0"/>
        <v>2037</v>
      </c>
      <c r="C160" s="111">
        <f>[43]С2.5!$V$11</f>
        <v>0</v>
      </c>
    </row>
    <row r="161" spans="2:3" hidden="1" x14ac:dyDescent="0.2">
      <c r="B161" s="110">
        <f t="shared" si="0"/>
        <v>2038</v>
      </c>
      <c r="C161" s="111">
        <f>[43]С2.5!$W$11</f>
        <v>0</v>
      </c>
    </row>
    <row r="162" spans="2:3" hidden="1" x14ac:dyDescent="0.2">
      <c r="B162" s="110">
        <f t="shared" si="0"/>
        <v>2039</v>
      </c>
      <c r="C162" s="111">
        <f>[43]С2.5!$X$11</f>
        <v>0</v>
      </c>
    </row>
    <row r="163" spans="2:3" hidden="1" x14ac:dyDescent="0.2">
      <c r="B163" s="110">
        <f t="shared" si="0"/>
        <v>2040</v>
      </c>
      <c r="C163" s="111">
        <f>[43]С2.5!$Y$11</f>
        <v>0</v>
      </c>
    </row>
    <row r="164" spans="2:3" hidden="1" x14ac:dyDescent="0.2">
      <c r="B164" s="110">
        <f t="shared" si="0"/>
        <v>2041</v>
      </c>
      <c r="C164" s="111">
        <f>[43]С2.5!$Z$11</f>
        <v>0</v>
      </c>
    </row>
    <row r="165" spans="2:3" hidden="1" x14ac:dyDescent="0.2">
      <c r="B165" s="110">
        <f t="shared" si="0"/>
        <v>2042</v>
      </c>
      <c r="C165" s="111">
        <f>[43]С2.5!$AA$11</f>
        <v>0</v>
      </c>
    </row>
    <row r="166" spans="2:3" hidden="1" x14ac:dyDescent="0.2">
      <c r="B166" s="110">
        <f t="shared" si="0"/>
        <v>2043</v>
      </c>
      <c r="C166" s="111">
        <f>[43]С2.5!$AB$11</f>
        <v>0</v>
      </c>
    </row>
    <row r="167" spans="2:3" hidden="1" x14ac:dyDescent="0.2">
      <c r="B167" s="110">
        <f t="shared" si="0"/>
        <v>2044</v>
      </c>
      <c r="C167" s="111">
        <f>[43]С2.5!$AC$11</f>
        <v>0</v>
      </c>
    </row>
    <row r="168" spans="2:3" hidden="1" x14ac:dyDescent="0.2">
      <c r="B168" s="110">
        <f t="shared" si="0"/>
        <v>2045</v>
      </c>
      <c r="C168" s="111">
        <f>[43]С2.5!$AD$11</f>
        <v>0</v>
      </c>
    </row>
    <row r="169" spans="2:3" hidden="1" x14ac:dyDescent="0.2">
      <c r="B169" s="110">
        <f t="shared" si="0"/>
        <v>2046</v>
      </c>
      <c r="C169" s="111">
        <f>[43]С2.5!$AE$11</f>
        <v>0</v>
      </c>
    </row>
    <row r="170" spans="2:3" hidden="1" x14ac:dyDescent="0.2">
      <c r="B170" s="110">
        <f t="shared" si="0"/>
        <v>2047</v>
      </c>
      <c r="C170" s="111">
        <f>[43]С2.5!$AF$11</f>
        <v>0</v>
      </c>
    </row>
    <row r="171" spans="2:3" hidden="1" x14ac:dyDescent="0.2">
      <c r="B171" s="110">
        <f t="shared" si="0"/>
        <v>2048</v>
      </c>
      <c r="C171" s="111">
        <f>[43]С2.5!$AG$11</f>
        <v>0</v>
      </c>
    </row>
    <row r="172" spans="2:3" hidden="1" x14ac:dyDescent="0.2">
      <c r="B172" s="110">
        <f t="shared" si="0"/>
        <v>2049</v>
      </c>
      <c r="C172" s="111">
        <f>[43]С2.5!$AH$11</f>
        <v>0</v>
      </c>
    </row>
    <row r="173" spans="2:3" hidden="1" x14ac:dyDescent="0.2">
      <c r="B173" s="110">
        <f t="shared" si="0"/>
        <v>2050</v>
      </c>
      <c r="C173" s="111">
        <f>[43]С2.5!$AI$11</f>
        <v>0</v>
      </c>
    </row>
    <row r="174" spans="2:3" hidden="1" x14ac:dyDescent="0.2">
      <c r="B174" s="110">
        <f t="shared" si="0"/>
        <v>2051</v>
      </c>
      <c r="C174" s="111">
        <f>[43]С2.5!$AJ$11</f>
        <v>0</v>
      </c>
    </row>
    <row r="175" spans="2:3" hidden="1" x14ac:dyDescent="0.2">
      <c r="B175" s="110">
        <f t="shared" si="0"/>
        <v>2052</v>
      </c>
      <c r="C175" s="111">
        <f>[43]С2.5!$AK$11</f>
        <v>0</v>
      </c>
    </row>
    <row r="176" spans="2:3" hidden="1" x14ac:dyDescent="0.2">
      <c r="B176" s="110">
        <f t="shared" si="0"/>
        <v>2053</v>
      </c>
      <c r="C176" s="111">
        <f>[43]С2.5!$AL$11</f>
        <v>0</v>
      </c>
    </row>
    <row r="177" spans="2:3" hidden="1" x14ac:dyDescent="0.2">
      <c r="B177" s="110">
        <f t="shared" si="0"/>
        <v>2054</v>
      </c>
      <c r="C177" s="111">
        <f>[43]С2.5!$AM$11</f>
        <v>0</v>
      </c>
    </row>
    <row r="178" spans="2:3" hidden="1" x14ac:dyDescent="0.2">
      <c r="B178" s="110">
        <f t="shared" si="0"/>
        <v>2055</v>
      </c>
      <c r="C178" s="111">
        <f>[43]С2.5!$AN$11</f>
        <v>0</v>
      </c>
    </row>
    <row r="179" spans="2:3" hidden="1" x14ac:dyDescent="0.2">
      <c r="B179" s="110">
        <f t="shared" si="0"/>
        <v>2056</v>
      </c>
      <c r="C179" s="111">
        <f>[43]С2.5!$AO$11</f>
        <v>0</v>
      </c>
    </row>
    <row r="180" spans="2:3" hidden="1" x14ac:dyDescent="0.2">
      <c r="B180" s="110">
        <f t="shared" si="0"/>
        <v>2057</v>
      </c>
      <c r="C180" s="111">
        <f>[43]С2.5!$AP$11</f>
        <v>0</v>
      </c>
    </row>
    <row r="181" spans="2:3" hidden="1" x14ac:dyDescent="0.2">
      <c r="B181" s="110">
        <f t="shared" si="0"/>
        <v>2058</v>
      </c>
      <c r="C181" s="111">
        <f>[43]С2.5!$AQ$11</f>
        <v>0</v>
      </c>
    </row>
    <row r="182" spans="2:3" hidden="1" x14ac:dyDescent="0.2">
      <c r="B182" s="110">
        <f t="shared" si="0"/>
        <v>2059</v>
      </c>
      <c r="C182" s="111">
        <f>[43]С2.5!$AR$11</f>
        <v>0</v>
      </c>
    </row>
    <row r="183" spans="2:3" hidden="1" x14ac:dyDescent="0.2">
      <c r="B183" s="110">
        <f t="shared" si="0"/>
        <v>2060</v>
      </c>
      <c r="C183" s="111">
        <f>[43]С2.5!$AS$11</f>
        <v>0</v>
      </c>
    </row>
    <row r="184" spans="2:3" hidden="1" x14ac:dyDescent="0.2">
      <c r="B184" s="110">
        <f t="shared" si="0"/>
        <v>2061</v>
      </c>
      <c r="C184" s="111">
        <f>[43]С2.5!$AT$11</f>
        <v>0</v>
      </c>
    </row>
    <row r="185" spans="2:3" hidden="1" x14ac:dyDescent="0.2">
      <c r="B185" s="110">
        <f t="shared" si="0"/>
        <v>2062</v>
      </c>
      <c r="C185" s="111">
        <f>[43]С2.5!$AU$11</f>
        <v>0</v>
      </c>
    </row>
    <row r="186" spans="2:3" hidden="1" x14ac:dyDescent="0.2">
      <c r="B186" s="110">
        <f t="shared" si="0"/>
        <v>2063</v>
      </c>
      <c r="C186" s="111">
        <f>[43]С2.5!$AV$11</f>
        <v>0</v>
      </c>
    </row>
    <row r="187" spans="2:3" hidden="1" x14ac:dyDescent="0.2">
      <c r="B187" s="110">
        <f t="shared" si="0"/>
        <v>2064</v>
      </c>
      <c r="C187" s="111">
        <f>[43]С2.5!$AW$11</f>
        <v>0</v>
      </c>
    </row>
    <row r="188" spans="2:3" hidden="1" x14ac:dyDescent="0.2">
      <c r="B188" s="110">
        <f t="shared" si="0"/>
        <v>2065</v>
      </c>
      <c r="C188" s="111">
        <f>[43]С2.5!$AX$11</f>
        <v>0</v>
      </c>
    </row>
    <row r="189" spans="2:3" hidden="1" x14ac:dyDescent="0.2">
      <c r="B189" s="110">
        <f t="shared" si="0"/>
        <v>2066</v>
      </c>
      <c r="C189" s="111">
        <f>[43]С2.5!$AY$11</f>
        <v>0</v>
      </c>
    </row>
    <row r="190" spans="2:3" hidden="1" x14ac:dyDescent="0.2">
      <c r="B190" s="110">
        <f t="shared" si="0"/>
        <v>2067</v>
      </c>
      <c r="C190" s="111">
        <f>[43]С2.5!$AZ$11</f>
        <v>0</v>
      </c>
    </row>
    <row r="191" spans="2:3" hidden="1" x14ac:dyDescent="0.2">
      <c r="B191" s="110">
        <f t="shared" si="0"/>
        <v>2068</v>
      </c>
      <c r="C191" s="111">
        <f>[43]С2.5!$BA$11</f>
        <v>0</v>
      </c>
    </row>
    <row r="192" spans="2:3" hidden="1" x14ac:dyDescent="0.2">
      <c r="B192" s="110">
        <f t="shared" si="0"/>
        <v>2069</v>
      </c>
      <c r="C192" s="111">
        <f>[43]С2.5!$BB$11</f>
        <v>0</v>
      </c>
    </row>
    <row r="193" spans="2:3" hidden="1" x14ac:dyDescent="0.2">
      <c r="B193" s="110">
        <f t="shared" si="0"/>
        <v>2070</v>
      </c>
      <c r="C193" s="111">
        <f>[43]С2.5!$BC$11</f>
        <v>0</v>
      </c>
    </row>
    <row r="194" spans="2:3" hidden="1" x14ac:dyDescent="0.2">
      <c r="B194" s="110">
        <f t="shared" si="0"/>
        <v>2071</v>
      </c>
      <c r="C194" s="111">
        <f>[43]С2.5!$BD$11</f>
        <v>0</v>
      </c>
    </row>
    <row r="195" spans="2:3" hidden="1" x14ac:dyDescent="0.2">
      <c r="B195" s="110">
        <f t="shared" si="0"/>
        <v>2072</v>
      </c>
      <c r="C195" s="111">
        <f>[43]С2.5!$BE$11</f>
        <v>0</v>
      </c>
    </row>
    <row r="196" spans="2:3" hidden="1" x14ac:dyDescent="0.2">
      <c r="B196" s="110">
        <f t="shared" si="0"/>
        <v>2073</v>
      </c>
      <c r="C196" s="111">
        <f>[43]С2.5!$BF$11</f>
        <v>0</v>
      </c>
    </row>
    <row r="197" spans="2:3" hidden="1" x14ac:dyDescent="0.2">
      <c r="B197" s="110">
        <f t="shared" si="0"/>
        <v>2074</v>
      </c>
      <c r="C197" s="111">
        <f>[43]С2.5!$BG$11</f>
        <v>0</v>
      </c>
    </row>
    <row r="198" spans="2:3" hidden="1" x14ac:dyDescent="0.2">
      <c r="B198" s="110">
        <f t="shared" si="0"/>
        <v>2075</v>
      </c>
      <c r="C198" s="111">
        <f>[43]С2.5!$BH$11</f>
        <v>0</v>
      </c>
    </row>
    <row r="199" spans="2:3" hidden="1" x14ac:dyDescent="0.2">
      <c r="B199" s="110">
        <f t="shared" si="0"/>
        <v>2076</v>
      </c>
      <c r="C199" s="111">
        <f>[43]С2.5!$BI$11</f>
        <v>0</v>
      </c>
    </row>
    <row r="200" spans="2:3" hidden="1" x14ac:dyDescent="0.2">
      <c r="B200" s="110">
        <f t="shared" si="0"/>
        <v>2077</v>
      </c>
      <c r="C200" s="111">
        <f>[43]С2.5!$BJ$11</f>
        <v>0</v>
      </c>
    </row>
    <row r="201" spans="2:3" hidden="1" x14ac:dyDescent="0.2">
      <c r="B201" s="110">
        <f t="shared" si="0"/>
        <v>2078</v>
      </c>
      <c r="C201" s="111">
        <f>[43]С2.5!$BK$11</f>
        <v>0</v>
      </c>
    </row>
    <row r="202" spans="2:3" hidden="1" x14ac:dyDescent="0.2">
      <c r="B202" s="110">
        <f t="shared" si="0"/>
        <v>2079</v>
      </c>
      <c r="C202" s="111">
        <f>[43]С2.5!$BL$11</f>
        <v>0</v>
      </c>
    </row>
    <row r="203" spans="2:3" hidden="1" x14ac:dyDescent="0.2">
      <c r="B203" s="110">
        <f t="shared" si="0"/>
        <v>2080</v>
      </c>
      <c r="C203" s="111">
        <f>[43]С2.5!$BM$11</f>
        <v>0</v>
      </c>
    </row>
    <row r="204" spans="2:3" hidden="1" x14ac:dyDescent="0.2">
      <c r="B204" s="110">
        <f t="shared" si="0"/>
        <v>2081</v>
      </c>
      <c r="C204" s="111">
        <f>[43]С2.5!$BN$11</f>
        <v>0</v>
      </c>
    </row>
    <row r="205" spans="2:3" hidden="1" x14ac:dyDescent="0.2">
      <c r="B205" s="110">
        <f t="shared" si="0"/>
        <v>2082</v>
      </c>
      <c r="C205" s="111">
        <f>[43]С2.5!$BO$11</f>
        <v>0</v>
      </c>
    </row>
    <row r="206" spans="2:3" hidden="1" x14ac:dyDescent="0.2">
      <c r="B206" s="110">
        <f t="shared" si="0"/>
        <v>2083</v>
      </c>
      <c r="C206" s="111">
        <f>[43]С2.5!$BP$11</f>
        <v>0</v>
      </c>
    </row>
    <row r="207" spans="2:3" hidden="1" x14ac:dyDescent="0.2">
      <c r="B207" s="110">
        <f t="shared" si="0"/>
        <v>2084</v>
      </c>
      <c r="C207" s="111">
        <f>[43]С2.5!$BQ$11</f>
        <v>0</v>
      </c>
    </row>
    <row r="208" spans="2:3" hidden="1" x14ac:dyDescent="0.2">
      <c r="B208" s="110">
        <f t="shared" si="0"/>
        <v>2085</v>
      </c>
      <c r="C208" s="111">
        <f>[43]С2.5!$BR$11</f>
        <v>0</v>
      </c>
    </row>
    <row r="209" spans="2:3" hidden="1" x14ac:dyDescent="0.2">
      <c r="B209" s="110">
        <f t="shared" ref="B209:B223" si="1">B208+1</f>
        <v>2086</v>
      </c>
      <c r="C209" s="111">
        <f>[43]С2.5!$BS$11</f>
        <v>0</v>
      </c>
    </row>
    <row r="210" spans="2:3" hidden="1" x14ac:dyDescent="0.2">
      <c r="B210" s="110">
        <f t="shared" si="1"/>
        <v>2087</v>
      </c>
      <c r="C210" s="111">
        <f>[43]С2.5!$BT$11</f>
        <v>0</v>
      </c>
    </row>
    <row r="211" spans="2:3" hidden="1" x14ac:dyDescent="0.2">
      <c r="B211" s="110">
        <f t="shared" si="1"/>
        <v>2088</v>
      </c>
      <c r="C211" s="111">
        <f>[43]С2.5!$BU$11</f>
        <v>0</v>
      </c>
    </row>
    <row r="212" spans="2:3" hidden="1" x14ac:dyDescent="0.2">
      <c r="B212" s="110">
        <f t="shared" si="1"/>
        <v>2089</v>
      </c>
      <c r="C212" s="111">
        <f>[43]С2.5!$BV$11</f>
        <v>0</v>
      </c>
    </row>
    <row r="213" spans="2:3" hidden="1" x14ac:dyDescent="0.2">
      <c r="B213" s="110">
        <f t="shared" si="1"/>
        <v>2090</v>
      </c>
      <c r="C213" s="111">
        <f>[43]С2.5!$BW$11</f>
        <v>0</v>
      </c>
    </row>
    <row r="214" spans="2:3" hidden="1" x14ac:dyDescent="0.2">
      <c r="B214" s="110">
        <f t="shared" si="1"/>
        <v>2091</v>
      </c>
      <c r="C214" s="111">
        <f>[43]С2.5!$BX$11</f>
        <v>0</v>
      </c>
    </row>
    <row r="215" spans="2:3" hidden="1" x14ac:dyDescent="0.2">
      <c r="B215" s="110">
        <f t="shared" si="1"/>
        <v>2092</v>
      </c>
      <c r="C215" s="111">
        <f>[43]С2.5!$BY$11</f>
        <v>0</v>
      </c>
    </row>
    <row r="216" spans="2:3" hidden="1" x14ac:dyDescent="0.2">
      <c r="B216" s="110">
        <f t="shared" si="1"/>
        <v>2093</v>
      </c>
      <c r="C216" s="111">
        <f>[43]С2.5!$BZ$11</f>
        <v>0</v>
      </c>
    </row>
    <row r="217" spans="2:3" hidden="1" x14ac:dyDescent="0.2">
      <c r="B217" s="110">
        <f t="shared" si="1"/>
        <v>2094</v>
      </c>
      <c r="C217" s="111">
        <f>[43]С2.5!$CA$11</f>
        <v>0</v>
      </c>
    </row>
    <row r="218" spans="2:3" hidden="1" x14ac:dyDescent="0.2">
      <c r="B218" s="110">
        <f t="shared" si="1"/>
        <v>2095</v>
      </c>
      <c r="C218" s="111">
        <f>[43]С2.5!$CB$11</f>
        <v>0</v>
      </c>
    </row>
    <row r="219" spans="2:3" hidden="1" x14ac:dyDescent="0.2">
      <c r="B219" s="110">
        <f t="shared" si="1"/>
        <v>2096</v>
      </c>
      <c r="C219" s="111">
        <f>[43]С2.5!$CC$11</f>
        <v>0</v>
      </c>
    </row>
    <row r="220" spans="2:3" hidden="1" x14ac:dyDescent="0.2">
      <c r="B220" s="110">
        <f t="shared" si="1"/>
        <v>2097</v>
      </c>
      <c r="C220" s="111">
        <f>[43]С2.5!$CD$11</f>
        <v>0</v>
      </c>
    </row>
    <row r="221" spans="2:3" hidden="1" x14ac:dyDescent="0.2">
      <c r="B221" s="110">
        <f t="shared" si="1"/>
        <v>2098</v>
      </c>
      <c r="C221" s="111">
        <f>[43]С2.5!$CE$11</f>
        <v>0</v>
      </c>
    </row>
    <row r="222" spans="2:3" hidden="1" x14ac:dyDescent="0.2">
      <c r="B222" s="110">
        <f t="shared" si="1"/>
        <v>2099</v>
      </c>
      <c r="C222" s="111">
        <f>[43]С2.5!$CF$11</f>
        <v>0</v>
      </c>
    </row>
    <row r="223" spans="2:3" ht="13.5" hidden="1" thickBot="1" x14ac:dyDescent="0.25">
      <c r="B223" s="112">
        <f t="shared" si="1"/>
        <v>2100</v>
      </c>
      <c r="C223" s="113">
        <f>[43]С2.5!$CG$11</f>
        <v>0</v>
      </c>
    </row>
    <row r="224" spans="2:3" hidden="1" x14ac:dyDescent="0.2">
      <c r="C224" s="116"/>
    </row>
    <row r="225" spans="3:3" hidden="1" x14ac:dyDescent="0.2">
      <c r="C225" s="116"/>
    </row>
    <row r="226" spans="3:3" x14ac:dyDescent="0.2">
      <c r="C226" s="116"/>
    </row>
  </sheetData>
  <mergeCells count="9">
    <mergeCell ref="B141:C141"/>
    <mergeCell ref="B1:C1"/>
    <mergeCell ref="B27:C27"/>
    <mergeCell ref="B40:C40"/>
    <mergeCell ref="B84:C84"/>
    <mergeCell ref="B95:C95"/>
    <mergeCell ref="B124:C124"/>
    <mergeCell ref="B127:C127"/>
    <mergeCell ref="A14:C1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zoomScaleNormal="100" workbookViewId="0">
      <selection activeCell="B5" sqref="B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[44]И1!D13</f>
        <v>Субъект Российской Федерации</v>
      </c>
      <c r="C4" s="10" t="str">
        <f>[44]И1!E13</f>
        <v>Новосибирская область</v>
      </c>
    </row>
    <row r="5" spans="1:3" ht="46.9" customHeight="1" x14ac:dyDescent="0.2">
      <c r="A5" s="8"/>
      <c r="B5" s="9" t="str">
        <f>[44]И1!D14</f>
        <v>Тип муниципального образования (выберите из списка)</v>
      </c>
      <c r="C5" s="10" t="str">
        <f>[44]И1!E14</f>
        <v xml:space="preserve">деревня Шибково, Искитимский муниципальный район </v>
      </c>
    </row>
    <row r="6" spans="1:3" x14ac:dyDescent="0.2">
      <c r="A6" s="8"/>
      <c r="B6" s="9" t="str">
        <f>IF([44]И1!E15="","",[44]И1!D15)</f>
        <v/>
      </c>
      <c r="C6" s="10" t="str">
        <f>IF([44]И1!E15="","",[44]И1!E15)</f>
        <v/>
      </c>
    </row>
    <row r="7" spans="1:3" x14ac:dyDescent="0.2">
      <c r="A7" s="8"/>
      <c r="B7" s="9" t="str">
        <f>[44]И1!D16</f>
        <v>Код ОКТМО</v>
      </c>
      <c r="C7" s="11" t="str">
        <f>[44]И1!E16</f>
        <v>(50615440101)</v>
      </c>
    </row>
    <row r="8" spans="1:3" x14ac:dyDescent="0.2">
      <c r="A8" s="8"/>
      <c r="B8" s="12" t="str">
        <f>[44]И1!D17</f>
        <v>Система теплоснабжения</v>
      </c>
      <c r="C8" s="13">
        <f>[44]И1!E17</f>
        <v>0</v>
      </c>
    </row>
    <row r="9" spans="1:3" x14ac:dyDescent="0.2">
      <c r="A9" s="8"/>
      <c r="B9" s="9" t="str">
        <f>[44]И1!D8</f>
        <v>Период регулирования (i)-й</v>
      </c>
      <c r="C9" s="14">
        <f>[44]И1!E8</f>
        <v>2025</v>
      </c>
    </row>
    <row r="10" spans="1:3" x14ac:dyDescent="0.2">
      <c r="A10" s="8"/>
      <c r="B10" s="9" t="str">
        <f>[44]И1!D9</f>
        <v>Период регулирования (i-1)-й</v>
      </c>
      <c r="C10" s="14">
        <f>[44]И1!E9</f>
        <v>2024</v>
      </c>
    </row>
    <row r="11" spans="1:3" x14ac:dyDescent="0.2">
      <c r="A11" s="8"/>
      <c r="B11" s="9" t="str">
        <f>[44]И1!D10</f>
        <v>Период регулирования (i-2)-й</v>
      </c>
      <c r="C11" s="14">
        <f>[44]И1!E10</f>
        <v>2023</v>
      </c>
    </row>
    <row r="12" spans="1:3" x14ac:dyDescent="0.2">
      <c r="A12" s="8"/>
      <c r="B12" s="9" t="str">
        <f>[44]И1!D11</f>
        <v>Базовый год (б)</v>
      </c>
      <c r="C12" s="14">
        <f>[44]И1!E11</f>
        <v>2019</v>
      </c>
    </row>
    <row r="13" spans="1:3" ht="38.25" x14ac:dyDescent="0.2">
      <c r="A13" s="8"/>
      <c r="B13" s="9" t="str">
        <f>[44]И1!D18</f>
        <v>Вид топлива, использование которого преобладает в системе теплоснабжения</v>
      </c>
      <c r="C13" s="15" t="str">
        <f>[44]С1.1!E13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5569.7418794437717</v>
      </c>
    </row>
    <row r="18" spans="1:3" ht="42.75" x14ac:dyDescent="0.2">
      <c r="A18" s="22" t="s">
        <v>8</v>
      </c>
      <c r="B18" s="25" t="s">
        <v>9</v>
      </c>
      <c r="C18" s="26">
        <f>[44]С1!F12</f>
        <v>960.0458433170021</v>
      </c>
    </row>
    <row r="19" spans="1:3" ht="42.75" x14ac:dyDescent="0.2">
      <c r="A19" s="22" t="s">
        <v>10</v>
      </c>
      <c r="B19" s="25" t="s">
        <v>11</v>
      </c>
      <c r="C19" s="26">
        <f>[44]С2!F12</f>
        <v>3063.2235383547568</v>
      </c>
    </row>
    <row r="20" spans="1:3" ht="30" x14ac:dyDescent="0.2">
      <c r="A20" s="22" t="s">
        <v>12</v>
      </c>
      <c r="B20" s="25" t="s">
        <v>13</v>
      </c>
      <c r="C20" s="26">
        <f>[44]С3!F12</f>
        <v>917.89815316767874</v>
      </c>
    </row>
    <row r="21" spans="1:3" ht="42.75" x14ac:dyDescent="0.2">
      <c r="A21" s="22" t="s">
        <v>14</v>
      </c>
      <c r="B21" s="25" t="s">
        <v>15</v>
      </c>
      <c r="C21" s="26">
        <f>[44]С4!F12</f>
        <v>519.36371951720173</v>
      </c>
    </row>
    <row r="22" spans="1:3" ht="30" x14ac:dyDescent="0.2">
      <c r="A22" s="22" t="s">
        <v>16</v>
      </c>
      <c r="B22" s="25" t="s">
        <v>17</v>
      </c>
      <c r="C22" s="26">
        <f>[44]С5!F12</f>
        <v>109.21062508713278</v>
      </c>
    </row>
    <row r="23" spans="1:3" ht="43.5" thickBot="1" x14ac:dyDescent="0.25">
      <c r="A23" s="27" t="s">
        <v>18</v>
      </c>
      <c r="B23" s="140" t="s">
        <v>19</v>
      </c>
      <c r="C23" s="28" t="str">
        <f>[44]С6!F12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[44]С1.1!E16</f>
        <v>5100</v>
      </c>
    </row>
    <row r="29" spans="1:3" ht="42.75" x14ac:dyDescent="0.2">
      <c r="A29" s="22" t="s">
        <v>10</v>
      </c>
      <c r="B29" s="33" t="s">
        <v>22</v>
      </c>
      <c r="C29" s="34">
        <f>[44]С1.1!E27</f>
        <v>3463.13</v>
      </c>
    </row>
    <row r="30" spans="1:3" ht="17.25" x14ac:dyDescent="0.2">
      <c r="A30" s="22" t="s">
        <v>12</v>
      </c>
      <c r="B30" s="33" t="s">
        <v>23</v>
      </c>
      <c r="C30" s="35">
        <f>[44]С1.1!E19</f>
        <v>1.4E-2</v>
      </c>
    </row>
    <row r="31" spans="1:3" ht="17.25" x14ac:dyDescent="0.2">
      <c r="A31" s="22" t="s">
        <v>14</v>
      </c>
      <c r="B31" s="33" t="s">
        <v>24</v>
      </c>
      <c r="C31" s="35">
        <f>[44]С1.1!E20</f>
        <v>0.04</v>
      </c>
    </row>
    <row r="32" spans="1:3" ht="30" x14ac:dyDescent="0.2">
      <c r="A32" s="22" t="s">
        <v>16</v>
      </c>
      <c r="B32" s="36" t="s">
        <v>25</v>
      </c>
      <c r="C32" s="37">
        <f>[44]С1!F13</f>
        <v>176.4</v>
      </c>
    </row>
    <row r="33" spans="1:3" x14ac:dyDescent="0.2">
      <c r="A33" s="22" t="s">
        <v>18</v>
      </c>
      <c r="B33" s="36" t="s">
        <v>26</v>
      </c>
      <c r="C33" s="38">
        <f>[44]С1!F16</f>
        <v>7000</v>
      </c>
    </row>
    <row r="34" spans="1:3" ht="14.25" x14ac:dyDescent="0.2">
      <c r="A34" s="22" t="s">
        <v>27</v>
      </c>
      <c r="B34" s="39" t="s">
        <v>28</v>
      </c>
      <c r="C34" s="40">
        <f>[44]С1!F17</f>
        <v>0.72857142857142854</v>
      </c>
    </row>
    <row r="35" spans="1:3" ht="15.75" x14ac:dyDescent="0.2">
      <c r="A35" s="41" t="s">
        <v>29</v>
      </c>
      <c r="B35" s="42" t="s">
        <v>30</v>
      </c>
      <c r="C35" s="40">
        <f>[44]С1!F20</f>
        <v>21.588411179999994</v>
      </c>
    </row>
    <row r="36" spans="1:3" ht="15.75" x14ac:dyDescent="0.2">
      <c r="A36" s="41" t="s">
        <v>31</v>
      </c>
      <c r="B36" s="43" t="s">
        <v>32</v>
      </c>
      <c r="C36" s="40">
        <f>[44]С1!F21</f>
        <v>20.818139999999996</v>
      </c>
    </row>
    <row r="37" spans="1:3" ht="14.25" x14ac:dyDescent="0.2">
      <c r="A37" s="41" t="s">
        <v>33</v>
      </c>
      <c r="B37" s="44" t="s">
        <v>34</v>
      </c>
      <c r="C37" s="40">
        <f>[44]С1!F22</f>
        <v>1.0369999999999999</v>
      </c>
    </row>
    <row r="38" spans="1:3" ht="53.25" thickBot="1" x14ac:dyDescent="0.25">
      <c r="A38" s="27" t="s">
        <v>35</v>
      </c>
      <c r="B38" s="45" t="s">
        <v>36</v>
      </c>
      <c r="C38" s="46">
        <f>[44]С1!F23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[44]С2.1!E12</f>
        <v>V</v>
      </c>
    </row>
    <row r="42" spans="1:3" ht="25.5" x14ac:dyDescent="0.2">
      <c r="A42" s="22" t="s">
        <v>41</v>
      </c>
      <c r="B42" s="33" t="s">
        <v>42</v>
      </c>
      <c r="C42" s="51" t="str">
        <f>[44]С2.1!E13</f>
        <v>6 и менее баллов</v>
      </c>
    </row>
    <row r="43" spans="1:3" ht="25.5" x14ac:dyDescent="0.2">
      <c r="A43" s="22" t="s">
        <v>43</v>
      </c>
      <c r="B43" s="33" t="s">
        <v>44</v>
      </c>
      <c r="C43" s="51" t="str">
        <f>[44]С2.1!E14</f>
        <v>от 200 до 500</v>
      </c>
    </row>
    <row r="44" spans="1:3" ht="25.5" x14ac:dyDescent="0.2">
      <c r="A44" s="22" t="s">
        <v>45</v>
      </c>
      <c r="B44" s="33" t="s">
        <v>46</v>
      </c>
      <c r="C44" s="52" t="str">
        <f>[44]С2.1!E15</f>
        <v>нет</v>
      </c>
    </row>
    <row r="45" spans="1:3" ht="30" x14ac:dyDescent="0.2">
      <c r="A45" s="22" t="s">
        <v>47</v>
      </c>
      <c r="B45" s="33" t="s">
        <v>48</v>
      </c>
      <c r="C45" s="34">
        <f>[44]С2!F18</f>
        <v>38910.02669467502</v>
      </c>
    </row>
    <row r="46" spans="1:3" ht="30" x14ac:dyDescent="0.2">
      <c r="A46" s="22" t="s">
        <v>49</v>
      </c>
      <c r="B46" s="53" t="s">
        <v>50</v>
      </c>
      <c r="C46" s="34">
        <f>IF([44]С2!F19&gt;0,[44]С2!F19,[44]С2!F20)</f>
        <v>23441.524932855718</v>
      </c>
    </row>
    <row r="47" spans="1:3" ht="25.5" x14ac:dyDescent="0.2">
      <c r="A47" s="22" t="s">
        <v>51</v>
      </c>
      <c r="B47" s="54" t="s">
        <v>52</v>
      </c>
      <c r="C47" s="34">
        <f>[44]С2.1!E19</f>
        <v>-38</v>
      </c>
    </row>
    <row r="48" spans="1:3" ht="25.5" x14ac:dyDescent="0.2">
      <c r="A48" s="22" t="s">
        <v>53</v>
      </c>
      <c r="B48" s="54" t="s">
        <v>54</v>
      </c>
      <c r="C48" s="34" t="str">
        <f>[44]С2.1!E22</f>
        <v>нет</v>
      </c>
    </row>
    <row r="49" spans="1:3" ht="38.25" x14ac:dyDescent="0.2">
      <c r="A49" s="22" t="s">
        <v>55</v>
      </c>
      <c r="B49" s="55" t="s">
        <v>56</v>
      </c>
      <c r="C49" s="34">
        <f>[44]С2.2!E10</f>
        <v>1287</v>
      </c>
    </row>
    <row r="50" spans="1:3" ht="25.5" x14ac:dyDescent="0.2">
      <c r="A50" s="22" t="s">
        <v>57</v>
      </c>
      <c r="B50" s="56" t="s">
        <v>58</v>
      </c>
      <c r="C50" s="34">
        <f>[44]С2.2!E12</f>
        <v>5.97</v>
      </c>
    </row>
    <row r="51" spans="1:3" ht="52.5" x14ac:dyDescent="0.2">
      <c r="A51" s="22" t="s">
        <v>59</v>
      </c>
      <c r="B51" s="57" t="s">
        <v>60</v>
      </c>
      <c r="C51" s="34">
        <f>[44]С2.2!E13</f>
        <v>1</v>
      </c>
    </row>
    <row r="52" spans="1:3" ht="27.75" x14ac:dyDescent="0.2">
      <c r="A52" s="22" t="s">
        <v>61</v>
      </c>
      <c r="B52" s="56" t="s">
        <v>62</v>
      </c>
      <c r="C52" s="34">
        <f>[44]С2.2!E14</f>
        <v>12104</v>
      </c>
    </row>
    <row r="53" spans="1:3" ht="25.5" x14ac:dyDescent="0.2">
      <c r="A53" s="22" t="s">
        <v>63</v>
      </c>
      <c r="B53" s="57" t="s">
        <v>64</v>
      </c>
      <c r="C53" s="35">
        <f>[44]С2.2!E15</f>
        <v>4.8000000000000001E-2</v>
      </c>
    </row>
    <row r="54" spans="1:3" x14ac:dyDescent="0.2">
      <c r="A54" s="22" t="s">
        <v>65</v>
      </c>
      <c r="B54" s="57" t="s">
        <v>66</v>
      </c>
      <c r="C54" s="34">
        <f>[44]С2.2!E16</f>
        <v>1</v>
      </c>
    </row>
    <row r="55" spans="1:3" ht="15.75" x14ac:dyDescent="0.2">
      <c r="A55" s="22" t="s">
        <v>67</v>
      </c>
      <c r="B55" s="58" t="s">
        <v>68</v>
      </c>
      <c r="C55" s="34">
        <f>[44]С2!F21</f>
        <v>1</v>
      </c>
    </row>
    <row r="56" spans="1:3" ht="30" x14ac:dyDescent="0.2">
      <c r="A56" s="59" t="s">
        <v>69</v>
      </c>
      <c r="B56" s="33" t="s">
        <v>70</v>
      </c>
      <c r="C56" s="34">
        <f>[44]С2!F13</f>
        <v>203708.97017230222</v>
      </c>
    </row>
    <row r="57" spans="1:3" ht="30" x14ac:dyDescent="0.2">
      <c r="A57" s="59" t="s">
        <v>71</v>
      </c>
      <c r="B57" s="58" t="s">
        <v>72</v>
      </c>
      <c r="C57" s="34">
        <f>[44]С2!F14</f>
        <v>113455</v>
      </c>
    </row>
    <row r="58" spans="1:3" ht="15.75" x14ac:dyDescent="0.2">
      <c r="A58" s="59" t="s">
        <v>73</v>
      </c>
      <c r="B58" s="60" t="s">
        <v>74</v>
      </c>
      <c r="C58" s="40">
        <f>[44]С2!F15</f>
        <v>1.071</v>
      </c>
    </row>
    <row r="59" spans="1:3" ht="15.75" x14ac:dyDescent="0.2">
      <c r="A59" s="59" t="s">
        <v>75</v>
      </c>
      <c r="B59" s="60" t="s">
        <v>76</v>
      </c>
      <c r="C59" s="40">
        <f>[44]С2!F16</f>
        <v>1</v>
      </c>
    </row>
    <row r="60" spans="1:3" ht="17.25" x14ac:dyDescent="0.2">
      <c r="A60" s="59" t="s">
        <v>77</v>
      </c>
      <c r="B60" s="58" t="s">
        <v>78</v>
      </c>
      <c r="C60" s="34">
        <f>[44]С2!F17</f>
        <v>1.01</v>
      </c>
    </row>
    <row r="61" spans="1:3" s="63" customFormat="1" ht="14.25" x14ac:dyDescent="0.2">
      <c r="A61" s="59" t="s">
        <v>79</v>
      </c>
      <c r="B61" s="61" t="s">
        <v>80</v>
      </c>
      <c r="C61" s="62">
        <f>[44]С2!F33</f>
        <v>10</v>
      </c>
    </row>
    <row r="62" spans="1:3" ht="30" x14ac:dyDescent="0.2">
      <c r="A62" s="59" t="s">
        <v>81</v>
      </c>
      <c r="B62" s="64" t="s">
        <v>82</v>
      </c>
      <c r="C62" s="34">
        <f>[44]С2!F26</f>
        <v>3082.0508637929142</v>
      </c>
    </row>
    <row r="63" spans="1:3" ht="17.25" x14ac:dyDescent="0.2">
      <c r="A63" s="59" t="s">
        <v>83</v>
      </c>
      <c r="B63" s="53" t="s">
        <v>84</v>
      </c>
      <c r="C63" s="34">
        <f>[44]С2!F27</f>
        <v>0.44209422600000003</v>
      </c>
    </row>
    <row r="64" spans="1:3" ht="17.25" x14ac:dyDescent="0.2">
      <c r="A64" s="59" t="s">
        <v>85</v>
      </c>
      <c r="B64" s="58" t="s">
        <v>86</v>
      </c>
      <c r="C64" s="62">
        <f>[44]С2!F28</f>
        <v>4200</v>
      </c>
    </row>
    <row r="65" spans="1:3" ht="42.75" x14ac:dyDescent="0.2">
      <c r="A65" s="59" t="s">
        <v>87</v>
      </c>
      <c r="B65" s="33" t="s">
        <v>88</v>
      </c>
      <c r="C65" s="34">
        <f>[44]С2!F22</f>
        <v>42890.921752741691</v>
      </c>
    </row>
    <row r="66" spans="1:3" ht="30" x14ac:dyDescent="0.2">
      <c r="A66" s="59" t="s">
        <v>89</v>
      </c>
      <c r="B66" s="60" t="s">
        <v>90</v>
      </c>
      <c r="C66" s="34">
        <f>[44]С2!F23</f>
        <v>1990</v>
      </c>
    </row>
    <row r="67" spans="1:3" ht="30" x14ac:dyDescent="0.2">
      <c r="A67" s="59" t="s">
        <v>91</v>
      </c>
      <c r="B67" s="53" t="s">
        <v>92</v>
      </c>
      <c r="C67" s="34">
        <f>[44]С2.1!E27</f>
        <v>14307.876789999998</v>
      </c>
    </row>
    <row r="68" spans="1:3" ht="38.25" x14ac:dyDescent="0.2">
      <c r="A68" s="59" t="s">
        <v>93</v>
      </c>
      <c r="B68" s="65" t="s">
        <v>94</v>
      </c>
      <c r="C68" s="52">
        <f>[44]С2.3!E21</f>
        <v>0</v>
      </c>
    </row>
    <row r="69" spans="1:3" ht="25.5" x14ac:dyDescent="0.2">
      <c r="A69" s="59" t="s">
        <v>95</v>
      </c>
      <c r="B69" s="66" t="s">
        <v>96</v>
      </c>
      <c r="C69" s="67">
        <f>[44]С2.3!E11</f>
        <v>9.89</v>
      </c>
    </row>
    <row r="70" spans="1:3" ht="25.5" x14ac:dyDescent="0.2">
      <c r="A70" s="59" t="s">
        <v>97</v>
      </c>
      <c r="B70" s="66" t="s">
        <v>98</v>
      </c>
      <c r="C70" s="62">
        <f>[44]С2.3!E13</f>
        <v>300</v>
      </c>
    </row>
    <row r="71" spans="1:3" ht="25.5" x14ac:dyDescent="0.2">
      <c r="A71" s="59" t="s">
        <v>99</v>
      </c>
      <c r="B71" s="65" t="s">
        <v>100</v>
      </c>
      <c r="C71" s="68">
        <f>IF([44]С2.3!E22&gt;0,[44]С2.3!E22,[44]С2.3!E14)</f>
        <v>61211</v>
      </c>
    </row>
    <row r="72" spans="1:3" ht="38.25" x14ac:dyDescent="0.2">
      <c r="A72" s="59" t="s">
        <v>101</v>
      </c>
      <c r="B72" s="65" t="s">
        <v>102</v>
      </c>
      <c r="C72" s="68">
        <f>IF([44]С2.3!E23&gt;0,[44]С2.3!E23,[44]С2.3!E15)</f>
        <v>45675</v>
      </c>
    </row>
    <row r="73" spans="1:3" ht="30" x14ac:dyDescent="0.2">
      <c r="A73" s="59" t="s">
        <v>103</v>
      </c>
      <c r="B73" s="53" t="s">
        <v>104</v>
      </c>
      <c r="C73" s="34">
        <f>[44]С2.1!E28</f>
        <v>9541.9567200000001</v>
      </c>
    </row>
    <row r="74" spans="1:3" ht="38.25" x14ac:dyDescent="0.2">
      <c r="A74" s="59" t="s">
        <v>105</v>
      </c>
      <c r="B74" s="65" t="s">
        <v>106</v>
      </c>
      <c r="C74" s="52">
        <f>[44]С2.3!E25</f>
        <v>0</v>
      </c>
    </row>
    <row r="75" spans="1:3" ht="25.5" x14ac:dyDescent="0.2">
      <c r="A75" s="59" t="s">
        <v>107</v>
      </c>
      <c r="B75" s="66" t="s">
        <v>108</v>
      </c>
      <c r="C75" s="67">
        <f>[44]С2.3!E12</f>
        <v>0.56000000000000005</v>
      </c>
    </row>
    <row r="76" spans="1:3" ht="25.5" x14ac:dyDescent="0.2">
      <c r="A76" s="59" t="s">
        <v>109</v>
      </c>
      <c r="B76" s="66" t="s">
        <v>98</v>
      </c>
      <c r="C76" s="62">
        <f>[44]С2.3!E13</f>
        <v>300</v>
      </c>
    </row>
    <row r="77" spans="1:3" ht="25.5" x14ac:dyDescent="0.2">
      <c r="A77" s="59" t="s">
        <v>110</v>
      </c>
      <c r="B77" s="69" t="s">
        <v>111</v>
      </c>
      <c r="C77" s="68">
        <f>IF([44]С2.3!E26&gt;0,[44]С2.3!E26,[44]С2.3!E16)</f>
        <v>65637</v>
      </c>
    </row>
    <row r="78" spans="1:3" ht="38.25" x14ac:dyDescent="0.2">
      <c r="A78" s="59" t="s">
        <v>112</v>
      </c>
      <c r="B78" s="69" t="s">
        <v>113</v>
      </c>
      <c r="C78" s="68">
        <f>IF([44]С2.3!E27&gt;0,[44]С2.3!E27,[44]С2.3!E17)</f>
        <v>31684</v>
      </c>
    </row>
    <row r="79" spans="1:3" ht="17.25" x14ac:dyDescent="0.2">
      <c r="A79" s="59" t="s">
        <v>114</v>
      </c>
      <c r="B79" s="33" t="s">
        <v>115</v>
      </c>
      <c r="C79" s="35">
        <f>[44]С2!F29</f>
        <v>0.17804631770487722</v>
      </c>
    </row>
    <row r="80" spans="1:3" ht="30" x14ac:dyDescent="0.2">
      <c r="A80" s="59" t="s">
        <v>116</v>
      </c>
      <c r="B80" s="53" t="s">
        <v>117</v>
      </c>
      <c r="C80" s="70">
        <f>[44]С2!F30</f>
        <v>0.1652189781021898</v>
      </c>
    </row>
    <row r="81" spans="1:3" ht="17.25" x14ac:dyDescent="0.2">
      <c r="A81" s="59" t="s">
        <v>118</v>
      </c>
      <c r="B81" s="71" t="s">
        <v>119</v>
      </c>
      <c r="C81" s="35">
        <f>[44]С2!F31</f>
        <v>0.13880000000000001</v>
      </c>
    </row>
    <row r="82" spans="1:3" s="63" customFormat="1" ht="18" thickBot="1" x14ac:dyDescent="0.25">
      <c r="A82" s="72" t="s">
        <v>120</v>
      </c>
      <c r="B82" s="73" t="s">
        <v>121</v>
      </c>
      <c r="C82" s="74">
        <f>[44]С2!F32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[44]С3!F14</f>
        <v>14912.207299372252</v>
      </c>
    </row>
    <row r="86" spans="1:3" s="63" customFormat="1" ht="42.75" x14ac:dyDescent="0.2">
      <c r="A86" s="77" t="s">
        <v>126</v>
      </c>
      <c r="B86" s="53" t="s">
        <v>127</v>
      </c>
      <c r="C86" s="78">
        <f>[44]С3!F15</f>
        <v>0.25</v>
      </c>
    </row>
    <row r="87" spans="1:3" s="63" customFormat="1" ht="14.25" x14ac:dyDescent="0.2">
      <c r="A87" s="77" t="s">
        <v>128</v>
      </c>
      <c r="B87" s="79" t="s">
        <v>129</v>
      </c>
      <c r="C87" s="62">
        <f>[44]С3!F18</f>
        <v>15</v>
      </c>
    </row>
    <row r="88" spans="1:3" s="63" customFormat="1" ht="17.25" x14ac:dyDescent="0.2">
      <c r="A88" s="77" t="s">
        <v>130</v>
      </c>
      <c r="B88" s="33" t="s">
        <v>131</v>
      </c>
      <c r="C88" s="34">
        <f>[44]С3!F19</f>
        <v>4187.478806422544</v>
      </c>
    </row>
    <row r="89" spans="1:3" s="63" customFormat="1" ht="55.5" x14ac:dyDescent="0.2">
      <c r="A89" s="77" t="s">
        <v>132</v>
      </c>
      <c r="B89" s="53" t="s">
        <v>133</v>
      </c>
      <c r="C89" s="80">
        <f>[44]С3!F20</f>
        <v>2.1999999999999999E-2</v>
      </c>
    </row>
    <row r="90" spans="1:3" s="63" customFormat="1" ht="14.25" x14ac:dyDescent="0.2">
      <c r="A90" s="77" t="s">
        <v>134</v>
      </c>
      <c r="B90" s="58" t="s">
        <v>80</v>
      </c>
      <c r="C90" s="62">
        <f>[44]С3!F21</f>
        <v>10</v>
      </c>
    </row>
    <row r="91" spans="1:3" s="63" customFormat="1" ht="17.25" x14ac:dyDescent="0.2">
      <c r="A91" s="77" t="s">
        <v>135</v>
      </c>
      <c r="B91" s="33" t="s">
        <v>136</v>
      </c>
      <c r="C91" s="34">
        <f>[44]С3!F22</f>
        <v>9.2461525913787437</v>
      </c>
    </row>
    <row r="92" spans="1:3" s="63" customFormat="1" ht="55.5" x14ac:dyDescent="0.2">
      <c r="A92" s="77" t="s">
        <v>137</v>
      </c>
      <c r="B92" s="53" t="s">
        <v>138</v>
      </c>
      <c r="C92" s="80">
        <f>[44]С3!F23</f>
        <v>3.0000000000000001E-3</v>
      </c>
    </row>
    <row r="93" spans="1:3" s="63" customFormat="1" ht="27.75" thickBot="1" x14ac:dyDescent="0.25">
      <c r="A93" s="81" t="s">
        <v>139</v>
      </c>
      <c r="B93" s="82" t="s">
        <v>140</v>
      </c>
      <c r="C93" s="83">
        <f>[44]С3!F24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[44]С4!F16</f>
        <v>1652.5</v>
      </c>
    </row>
    <row r="97" spans="1:3" ht="30" x14ac:dyDescent="0.2">
      <c r="A97" s="59" t="s">
        <v>145</v>
      </c>
      <c r="B97" s="58" t="s">
        <v>146</v>
      </c>
      <c r="C97" s="34">
        <f>[44]С4!F17</f>
        <v>73547</v>
      </c>
    </row>
    <row r="98" spans="1:3" ht="17.25" x14ac:dyDescent="0.2">
      <c r="A98" s="59" t="s">
        <v>147</v>
      </c>
      <c r="B98" s="58" t="s">
        <v>148</v>
      </c>
      <c r="C98" s="40">
        <f>[44]С4!F18</f>
        <v>0.02</v>
      </c>
    </row>
    <row r="99" spans="1:3" ht="30" x14ac:dyDescent="0.2">
      <c r="A99" s="59" t="s">
        <v>149</v>
      </c>
      <c r="B99" s="58" t="s">
        <v>150</v>
      </c>
      <c r="C99" s="34">
        <f>[44]С4!F19</f>
        <v>12104</v>
      </c>
    </row>
    <row r="100" spans="1:3" ht="31.5" x14ac:dyDescent="0.2">
      <c r="A100" s="59" t="s">
        <v>151</v>
      </c>
      <c r="B100" s="58" t="s">
        <v>152</v>
      </c>
      <c r="C100" s="40">
        <f>[44]С4!F20</f>
        <v>1.4999999999999999E-2</v>
      </c>
    </row>
    <row r="101" spans="1:3" ht="30" x14ac:dyDescent="0.2">
      <c r="A101" s="59" t="s">
        <v>153</v>
      </c>
      <c r="B101" s="33" t="s">
        <v>154</v>
      </c>
      <c r="C101" s="34">
        <f>[44]С4!F21</f>
        <v>1933.1949342509995</v>
      </c>
    </row>
    <row r="102" spans="1:3" ht="24" customHeight="1" x14ac:dyDescent="0.2">
      <c r="A102" s="59" t="s">
        <v>155</v>
      </c>
      <c r="B102" s="53" t="s">
        <v>156</v>
      </c>
      <c r="C102" s="85">
        <f>IF([44]С4.2!F8="да",[44]С4.2!D21,[44]С4.2!D15)</f>
        <v>0</v>
      </c>
    </row>
    <row r="103" spans="1:3" ht="68.25" x14ac:dyDescent="0.2">
      <c r="A103" s="59" t="s">
        <v>157</v>
      </c>
      <c r="B103" s="53" t="s">
        <v>158</v>
      </c>
      <c r="C103" s="34">
        <f>[44]С4!F22</f>
        <v>3.6112641666666665</v>
      </c>
    </row>
    <row r="104" spans="1:3" ht="30" x14ac:dyDescent="0.2">
      <c r="A104" s="59" t="s">
        <v>159</v>
      </c>
      <c r="B104" s="58" t="s">
        <v>160</v>
      </c>
      <c r="C104" s="34">
        <f>[44]С4!F23</f>
        <v>180</v>
      </c>
    </row>
    <row r="105" spans="1:3" ht="14.25" x14ac:dyDescent="0.2">
      <c r="A105" s="59" t="s">
        <v>161</v>
      </c>
      <c r="B105" s="53" t="s">
        <v>162</v>
      </c>
      <c r="C105" s="34">
        <f>[44]С4!F24</f>
        <v>8497.1999999999989</v>
      </c>
    </row>
    <row r="106" spans="1:3" ht="14.25" x14ac:dyDescent="0.2">
      <c r="A106" s="59" t="s">
        <v>163</v>
      </c>
      <c r="B106" s="58" t="s">
        <v>164</v>
      </c>
      <c r="C106" s="40">
        <f>[44]С4!F25</f>
        <v>0.35</v>
      </c>
    </row>
    <row r="107" spans="1:3" ht="17.25" x14ac:dyDescent="0.2">
      <c r="A107" s="59" t="s">
        <v>165</v>
      </c>
      <c r="B107" s="33" t="s">
        <v>166</v>
      </c>
      <c r="C107" s="34">
        <f>[44]С4!F26</f>
        <v>58.038060000000002</v>
      </c>
    </row>
    <row r="108" spans="1:3" ht="25.5" x14ac:dyDescent="0.2">
      <c r="A108" s="59" t="s">
        <v>167</v>
      </c>
      <c r="B108" s="53" t="s">
        <v>94</v>
      </c>
      <c r="C108" s="85">
        <f>[44]С4.3!E16</f>
        <v>0</v>
      </c>
    </row>
    <row r="109" spans="1:3" ht="25.5" x14ac:dyDescent="0.2">
      <c r="A109" s="59" t="s">
        <v>168</v>
      </c>
      <c r="B109" s="53" t="s">
        <v>169</v>
      </c>
      <c r="C109" s="34">
        <f>[44]С4.3!E17</f>
        <v>15.38</v>
      </c>
    </row>
    <row r="110" spans="1:3" ht="38.25" x14ac:dyDescent="0.2">
      <c r="A110" s="59" t="s">
        <v>170</v>
      </c>
      <c r="B110" s="53" t="s">
        <v>106</v>
      </c>
      <c r="C110" s="85">
        <f>[44]С4.3!E18</f>
        <v>0</v>
      </c>
    </row>
    <row r="111" spans="1:3" x14ac:dyDescent="0.2">
      <c r="A111" s="59" t="s">
        <v>171</v>
      </c>
      <c r="B111" s="53" t="s">
        <v>172</v>
      </c>
      <c r="C111" s="34">
        <f>[44]С4.3!E19</f>
        <v>20.100000000000001</v>
      </c>
    </row>
    <row r="112" spans="1:3" x14ac:dyDescent="0.2">
      <c r="A112" s="59" t="s">
        <v>173</v>
      </c>
      <c r="B112" s="58" t="s">
        <v>174</v>
      </c>
      <c r="C112" s="34">
        <f>[44]С4.3!E11</f>
        <v>1871</v>
      </c>
    </row>
    <row r="113" spans="1:3" x14ac:dyDescent="0.2">
      <c r="A113" s="59" t="s">
        <v>175</v>
      </c>
      <c r="B113" s="58" t="s">
        <v>176</v>
      </c>
      <c r="C113" s="52">
        <f>[44]С4.3!E12</f>
        <v>1636</v>
      </c>
    </row>
    <row r="114" spans="1:3" x14ac:dyDescent="0.2">
      <c r="A114" s="59" t="s">
        <v>177</v>
      </c>
      <c r="B114" s="58" t="s">
        <v>178</v>
      </c>
      <c r="C114" s="52">
        <f>[44]С4.3!E13</f>
        <v>204</v>
      </c>
    </row>
    <row r="115" spans="1:3" ht="30" x14ac:dyDescent="0.2">
      <c r="A115" s="59" t="s">
        <v>179</v>
      </c>
      <c r="B115" s="33" t="s">
        <v>180</v>
      </c>
      <c r="C115" s="34">
        <f>[44]С4!F27</f>
        <v>1291.2863994686898</v>
      </c>
    </row>
    <row r="116" spans="1:3" ht="25.5" x14ac:dyDescent="0.2">
      <c r="A116" s="59" t="s">
        <v>181</v>
      </c>
      <c r="B116" s="53" t="s">
        <v>182</v>
      </c>
      <c r="C116" s="34">
        <f>[44]С4!F28</f>
        <v>991.77142816335618</v>
      </c>
    </row>
    <row r="117" spans="1:3" ht="42.75" x14ac:dyDescent="0.2">
      <c r="A117" s="59" t="s">
        <v>183</v>
      </c>
      <c r="B117" s="53" t="s">
        <v>184</v>
      </c>
      <c r="C117" s="34">
        <f>[44]С4!F29</f>
        <v>299.51497130533357</v>
      </c>
    </row>
    <row r="118" spans="1:3" ht="30" x14ac:dyDescent="0.2">
      <c r="A118" s="59" t="s">
        <v>185</v>
      </c>
      <c r="B118" s="39" t="s">
        <v>186</v>
      </c>
      <c r="C118" s="34">
        <f>[44]С4!F30</f>
        <v>2620.6659399841474</v>
      </c>
    </row>
    <row r="119" spans="1:3" ht="42.75" x14ac:dyDescent="0.2">
      <c r="A119" s="59" t="s">
        <v>187</v>
      </c>
      <c r="B119" s="86" t="s">
        <v>188</v>
      </c>
      <c r="C119" s="34">
        <f>[44]С4!F33</f>
        <v>1416.0864950813989</v>
      </c>
    </row>
    <row r="120" spans="1:3" ht="30" x14ac:dyDescent="0.2">
      <c r="A120" s="59" t="s">
        <v>189</v>
      </c>
      <c r="B120" s="87" t="s">
        <v>190</v>
      </c>
      <c r="C120" s="34">
        <f>[44]С4!F35</f>
        <v>17.040680999999999</v>
      </c>
    </row>
    <row r="121" spans="1:3" ht="14.25" x14ac:dyDescent="0.2">
      <c r="A121" s="59" t="s">
        <v>191</v>
      </c>
      <c r="B121" s="56" t="s">
        <v>192</v>
      </c>
      <c r="C121" s="34">
        <f>[44]С4!F36</f>
        <v>14319.9</v>
      </c>
    </row>
    <row r="122" spans="1:3" ht="28.5" thickBot="1" x14ac:dyDescent="0.25">
      <c r="A122" s="72" t="s">
        <v>193</v>
      </c>
      <c r="B122" s="88" t="s">
        <v>194</v>
      </c>
      <c r="C122" s="83">
        <f>[44]С4!F37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[44]С5!F17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[44]С2!F37</f>
        <v>20.818139999999996</v>
      </c>
    </row>
    <row r="136" spans="1:3" ht="14.25" x14ac:dyDescent="0.2">
      <c r="A136" s="59" t="s">
        <v>216</v>
      </c>
      <c r="B136" s="101" t="s">
        <v>217</v>
      </c>
      <c r="C136" s="34">
        <f>[44]С2!F38</f>
        <v>7</v>
      </c>
    </row>
    <row r="137" spans="1:3" ht="17.25" x14ac:dyDescent="0.2">
      <c r="A137" s="59" t="s">
        <v>218</v>
      </c>
      <c r="B137" s="101" t="s">
        <v>219</v>
      </c>
      <c r="C137" s="34">
        <f>[44]С2!F40</f>
        <v>0.97</v>
      </c>
    </row>
    <row r="138" spans="1:3" ht="15" thickBot="1" x14ac:dyDescent="0.25">
      <c r="A138" s="72" t="s">
        <v>220</v>
      </c>
      <c r="B138" s="102" t="s">
        <v>221</v>
      </c>
      <c r="C138" s="46">
        <f>[44]С2!F42</f>
        <v>0.35</v>
      </c>
    </row>
    <row r="139" spans="1:3" s="89" customFormat="1" ht="13.5" thickBot="1" x14ac:dyDescent="0.25">
      <c r="A139" s="47"/>
      <c r="B139" s="75"/>
      <c r="C139" s="15"/>
    </row>
    <row r="140" spans="1:3" ht="30" x14ac:dyDescent="0.2">
      <c r="A140" s="84" t="s">
        <v>222</v>
      </c>
      <c r="B140" s="103" t="s">
        <v>223</v>
      </c>
      <c r="C140" s="104">
        <f>[44]С2!F35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[44]С2.5!$E$11</f>
        <v>-2.9000000000000026E-2</v>
      </c>
    </row>
    <row r="144" spans="1:3" x14ac:dyDescent="0.2">
      <c r="A144" s="105"/>
      <c r="B144" s="110">
        <f>B143+1</f>
        <v>2021</v>
      </c>
      <c r="C144" s="111">
        <f>[44]С2.5!$F$11</f>
        <v>0.245</v>
      </c>
    </row>
    <row r="145" spans="1:3" x14ac:dyDescent="0.2">
      <c r="A145" s="105"/>
      <c r="B145" s="110">
        <f t="shared" ref="B145:B208" si="0">B144+1</f>
        <v>2022</v>
      </c>
      <c r="C145" s="111">
        <f>[44]С2.5!$G$11</f>
        <v>0.114</v>
      </c>
    </row>
    <row r="146" spans="1:3" ht="13.5" thickBot="1" x14ac:dyDescent="0.25">
      <c r="A146" s="105"/>
      <c r="B146" s="112">
        <f t="shared" si="0"/>
        <v>2023</v>
      </c>
      <c r="C146" s="113">
        <f>[44]С2.5!$H$11</f>
        <v>0.04</v>
      </c>
    </row>
    <row r="147" spans="1:3" x14ac:dyDescent="0.2">
      <c r="A147" s="105"/>
      <c r="B147" s="114">
        <f t="shared" si="0"/>
        <v>2024</v>
      </c>
      <c r="C147" s="115">
        <f>[44]С2.5!$I$11</f>
        <v>0.11700000000000001</v>
      </c>
    </row>
    <row r="148" spans="1:3" x14ac:dyDescent="0.2">
      <c r="A148" s="105"/>
      <c r="B148" s="110">
        <f t="shared" si="0"/>
        <v>2025</v>
      </c>
      <c r="C148" s="111">
        <f>[44]С2.5!$J$11</f>
        <v>6.0999999999999999E-2</v>
      </c>
    </row>
    <row r="149" spans="1:3" hidden="1" x14ac:dyDescent="0.2">
      <c r="A149" s="105"/>
      <c r="B149" s="110">
        <f t="shared" si="0"/>
        <v>2026</v>
      </c>
      <c r="C149" s="111">
        <f>[44]С2.5!$K$11</f>
        <v>3.5813361771260002E-2</v>
      </c>
    </row>
    <row r="150" spans="1:3" hidden="1" x14ac:dyDescent="0.2">
      <c r="A150" s="105"/>
      <c r="B150" s="110">
        <f t="shared" si="0"/>
        <v>2027</v>
      </c>
      <c r="C150" s="111">
        <f>[44]С2.5!$L$11</f>
        <v>3.2682303599220003E-2</v>
      </c>
    </row>
    <row r="151" spans="1:3" hidden="1" x14ac:dyDescent="0.2">
      <c r="A151" s="105"/>
      <c r="B151" s="110">
        <f t="shared" si="0"/>
        <v>2028</v>
      </c>
      <c r="C151" s="111">
        <f>[44]С2.5!$M$11</f>
        <v>0</v>
      </c>
    </row>
    <row r="152" spans="1:3" hidden="1" x14ac:dyDescent="0.2">
      <c r="A152" s="105"/>
      <c r="B152" s="110">
        <f t="shared" si="0"/>
        <v>2029</v>
      </c>
      <c r="C152" s="111">
        <f>[44]С2.5!$N$11</f>
        <v>0</v>
      </c>
    </row>
    <row r="153" spans="1:3" hidden="1" x14ac:dyDescent="0.2">
      <c r="A153" s="105"/>
      <c r="B153" s="110">
        <f t="shared" si="0"/>
        <v>2030</v>
      </c>
      <c r="C153" s="111">
        <f>[44]С2.5!$O$11</f>
        <v>0</v>
      </c>
    </row>
    <row r="154" spans="1:3" hidden="1" x14ac:dyDescent="0.2">
      <c r="A154" s="105"/>
      <c r="B154" s="110">
        <f t="shared" si="0"/>
        <v>2031</v>
      </c>
      <c r="C154" s="111">
        <f>[44]С2.5!$P$11</f>
        <v>0</v>
      </c>
    </row>
    <row r="155" spans="1:3" hidden="1" x14ac:dyDescent="0.2">
      <c r="A155" s="89"/>
      <c r="B155" s="110">
        <f t="shared" si="0"/>
        <v>2032</v>
      </c>
      <c r="C155" s="111">
        <f>[44]С2.5!$Q$11</f>
        <v>0</v>
      </c>
    </row>
    <row r="156" spans="1:3" hidden="1" x14ac:dyDescent="0.2">
      <c r="A156" s="89"/>
      <c r="B156" s="110">
        <f t="shared" si="0"/>
        <v>2033</v>
      </c>
      <c r="C156" s="111">
        <f>[44]С2.5!$R$11</f>
        <v>0</v>
      </c>
    </row>
    <row r="157" spans="1:3" hidden="1" x14ac:dyDescent="0.2">
      <c r="B157" s="110">
        <f t="shared" si="0"/>
        <v>2034</v>
      </c>
      <c r="C157" s="111">
        <f>[44]С2.5!$S$11</f>
        <v>0</v>
      </c>
    </row>
    <row r="158" spans="1:3" hidden="1" x14ac:dyDescent="0.2">
      <c r="B158" s="110">
        <f t="shared" si="0"/>
        <v>2035</v>
      </c>
      <c r="C158" s="111">
        <f>[44]С2.5!$T$11</f>
        <v>0</v>
      </c>
    </row>
    <row r="159" spans="1:3" hidden="1" x14ac:dyDescent="0.2">
      <c r="B159" s="110">
        <f t="shared" si="0"/>
        <v>2036</v>
      </c>
      <c r="C159" s="111">
        <f>[44]С2.5!$U$11</f>
        <v>0</v>
      </c>
    </row>
    <row r="160" spans="1:3" hidden="1" x14ac:dyDescent="0.2">
      <c r="B160" s="110">
        <f t="shared" si="0"/>
        <v>2037</v>
      </c>
      <c r="C160" s="111">
        <f>[44]С2.5!$V$11</f>
        <v>0</v>
      </c>
    </row>
    <row r="161" spans="2:3" hidden="1" x14ac:dyDescent="0.2">
      <c r="B161" s="110">
        <f t="shared" si="0"/>
        <v>2038</v>
      </c>
      <c r="C161" s="111">
        <f>[44]С2.5!$W$11</f>
        <v>0</v>
      </c>
    </row>
    <row r="162" spans="2:3" hidden="1" x14ac:dyDescent="0.2">
      <c r="B162" s="110">
        <f t="shared" si="0"/>
        <v>2039</v>
      </c>
      <c r="C162" s="111">
        <f>[44]С2.5!$X$11</f>
        <v>0</v>
      </c>
    </row>
    <row r="163" spans="2:3" hidden="1" x14ac:dyDescent="0.2">
      <c r="B163" s="110">
        <f t="shared" si="0"/>
        <v>2040</v>
      </c>
      <c r="C163" s="111">
        <f>[44]С2.5!$Y$11</f>
        <v>0</v>
      </c>
    </row>
    <row r="164" spans="2:3" hidden="1" x14ac:dyDescent="0.2">
      <c r="B164" s="110">
        <f t="shared" si="0"/>
        <v>2041</v>
      </c>
      <c r="C164" s="111">
        <f>[44]С2.5!$Z$11</f>
        <v>0</v>
      </c>
    </row>
    <row r="165" spans="2:3" hidden="1" x14ac:dyDescent="0.2">
      <c r="B165" s="110">
        <f t="shared" si="0"/>
        <v>2042</v>
      </c>
      <c r="C165" s="111">
        <f>[44]С2.5!$AA$11</f>
        <v>0</v>
      </c>
    </row>
    <row r="166" spans="2:3" hidden="1" x14ac:dyDescent="0.2">
      <c r="B166" s="110">
        <f t="shared" si="0"/>
        <v>2043</v>
      </c>
      <c r="C166" s="111">
        <f>[44]С2.5!$AB$11</f>
        <v>0</v>
      </c>
    </row>
    <row r="167" spans="2:3" hidden="1" x14ac:dyDescent="0.2">
      <c r="B167" s="110">
        <f t="shared" si="0"/>
        <v>2044</v>
      </c>
      <c r="C167" s="111">
        <f>[44]С2.5!$AC$11</f>
        <v>0</v>
      </c>
    </row>
    <row r="168" spans="2:3" hidden="1" x14ac:dyDescent="0.2">
      <c r="B168" s="110">
        <f t="shared" si="0"/>
        <v>2045</v>
      </c>
      <c r="C168" s="111">
        <f>[44]С2.5!$AD$11</f>
        <v>0</v>
      </c>
    </row>
    <row r="169" spans="2:3" hidden="1" x14ac:dyDescent="0.2">
      <c r="B169" s="110">
        <f t="shared" si="0"/>
        <v>2046</v>
      </c>
      <c r="C169" s="111">
        <f>[44]С2.5!$AE$11</f>
        <v>0</v>
      </c>
    </row>
    <row r="170" spans="2:3" hidden="1" x14ac:dyDescent="0.2">
      <c r="B170" s="110">
        <f t="shared" si="0"/>
        <v>2047</v>
      </c>
      <c r="C170" s="111">
        <f>[44]С2.5!$AF$11</f>
        <v>0</v>
      </c>
    </row>
    <row r="171" spans="2:3" hidden="1" x14ac:dyDescent="0.2">
      <c r="B171" s="110">
        <f t="shared" si="0"/>
        <v>2048</v>
      </c>
      <c r="C171" s="111">
        <f>[44]С2.5!$AG$11</f>
        <v>0</v>
      </c>
    </row>
    <row r="172" spans="2:3" hidden="1" x14ac:dyDescent="0.2">
      <c r="B172" s="110">
        <f t="shared" si="0"/>
        <v>2049</v>
      </c>
      <c r="C172" s="111">
        <f>[44]С2.5!$AH$11</f>
        <v>0</v>
      </c>
    </row>
    <row r="173" spans="2:3" hidden="1" x14ac:dyDescent="0.2">
      <c r="B173" s="110">
        <f t="shared" si="0"/>
        <v>2050</v>
      </c>
      <c r="C173" s="111">
        <f>[44]С2.5!$AI$11</f>
        <v>0</v>
      </c>
    </row>
    <row r="174" spans="2:3" hidden="1" x14ac:dyDescent="0.2">
      <c r="B174" s="110">
        <f t="shared" si="0"/>
        <v>2051</v>
      </c>
      <c r="C174" s="111">
        <f>[44]С2.5!$AJ$11</f>
        <v>0</v>
      </c>
    </row>
    <row r="175" spans="2:3" hidden="1" x14ac:dyDescent="0.2">
      <c r="B175" s="110">
        <f t="shared" si="0"/>
        <v>2052</v>
      </c>
      <c r="C175" s="111">
        <f>[44]С2.5!$AK$11</f>
        <v>0</v>
      </c>
    </row>
    <row r="176" spans="2:3" hidden="1" x14ac:dyDescent="0.2">
      <c r="B176" s="110">
        <f t="shared" si="0"/>
        <v>2053</v>
      </c>
      <c r="C176" s="111">
        <f>[44]С2.5!$AL$11</f>
        <v>0</v>
      </c>
    </row>
    <row r="177" spans="2:3" hidden="1" x14ac:dyDescent="0.2">
      <c r="B177" s="110">
        <f t="shared" si="0"/>
        <v>2054</v>
      </c>
      <c r="C177" s="111">
        <f>[44]С2.5!$AM$11</f>
        <v>0</v>
      </c>
    </row>
    <row r="178" spans="2:3" hidden="1" x14ac:dyDescent="0.2">
      <c r="B178" s="110">
        <f t="shared" si="0"/>
        <v>2055</v>
      </c>
      <c r="C178" s="111">
        <f>[44]С2.5!$AN$11</f>
        <v>0</v>
      </c>
    </row>
    <row r="179" spans="2:3" hidden="1" x14ac:dyDescent="0.2">
      <c r="B179" s="110">
        <f t="shared" si="0"/>
        <v>2056</v>
      </c>
      <c r="C179" s="111">
        <f>[44]С2.5!$AO$11</f>
        <v>0</v>
      </c>
    </row>
    <row r="180" spans="2:3" hidden="1" x14ac:dyDescent="0.2">
      <c r="B180" s="110">
        <f t="shared" si="0"/>
        <v>2057</v>
      </c>
      <c r="C180" s="111">
        <f>[44]С2.5!$AP$11</f>
        <v>0</v>
      </c>
    </row>
    <row r="181" spans="2:3" hidden="1" x14ac:dyDescent="0.2">
      <c r="B181" s="110">
        <f t="shared" si="0"/>
        <v>2058</v>
      </c>
      <c r="C181" s="111">
        <f>[44]С2.5!$AQ$11</f>
        <v>0</v>
      </c>
    </row>
    <row r="182" spans="2:3" hidden="1" x14ac:dyDescent="0.2">
      <c r="B182" s="110">
        <f t="shared" si="0"/>
        <v>2059</v>
      </c>
      <c r="C182" s="111">
        <f>[44]С2.5!$AR$11</f>
        <v>0</v>
      </c>
    </row>
    <row r="183" spans="2:3" hidden="1" x14ac:dyDescent="0.2">
      <c r="B183" s="110">
        <f t="shared" si="0"/>
        <v>2060</v>
      </c>
      <c r="C183" s="111">
        <f>[44]С2.5!$AS$11</f>
        <v>0</v>
      </c>
    </row>
    <row r="184" spans="2:3" hidden="1" x14ac:dyDescent="0.2">
      <c r="B184" s="110">
        <f t="shared" si="0"/>
        <v>2061</v>
      </c>
      <c r="C184" s="111">
        <f>[44]С2.5!$AT$11</f>
        <v>0</v>
      </c>
    </row>
    <row r="185" spans="2:3" hidden="1" x14ac:dyDescent="0.2">
      <c r="B185" s="110">
        <f t="shared" si="0"/>
        <v>2062</v>
      </c>
      <c r="C185" s="111">
        <f>[44]С2.5!$AU$11</f>
        <v>0</v>
      </c>
    </row>
    <row r="186" spans="2:3" hidden="1" x14ac:dyDescent="0.2">
      <c r="B186" s="110">
        <f t="shared" si="0"/>
        <v>2063</v>
      </c>
      <c r="C186" s="111">
        <f>[44]С2.5!$AV$11</f>
        <v>0</v>
      </c>
    </row>
    <row r="187" spans="2:3" hidden="1" x14ac:dyDescent="0.2">
      <c r="B187" s="110">
        <f t="shared" si="0"/>
        <v>2064</v>
      </c>
      <c r="C187" s="111">
        <f>[44]С2.5!$AW$11</f>
        <v>0</v>
      </c>
    </row>
    <row r="188" spans="2:3" hidden="1" x14ac:dyDescent="0.2">
      <c r="B188" s="110">
        <f t="shared" si="0"/>
        <v>2065</v>
      </c>
      <c r="C188" s="111">
        <f>[44]С2.5!$AX$11</f>
        <v>0</v>
      </c>
    </row>
    <row r="189" spans="2:3" hidden="1" x14ac:dyDescent="0.2">
      <c r="B189" s="110">
        <f t="shared" si="0"/>
        <v>2066</v>
      </c>
      <c r="C189" s="111">
        <f>[44]С2.5!$AY$11</f>
        <v>0</v>
      </c>
    </row>
    <row r="190" spans="2:3" hidden="1" x14ac:dyDescent="0.2">
      <c r="B190" s="110">
        <f t="shared" si="0"/>
        <v>2067</v>
      </c>
      <c r="C190" s="111">
        <f>[44]С2.5!$AZ$11</f>
        <v>0</v>
      </c>
    </row>
    <row r="191" spans="2:3" hidden="1" x14ac:dyDescent="0.2">
      <c r="B191" s="110">
        <f t="shared" si="0"/>
        <v>2068</v>
      </c>
      <c r="C191" s="111">
        <f>[44]С2.5!$BA$11</f>
        <v>0</v>
      </c>
    </row>
    <row r="192" spans="2:3" hidden="1" x14ac:dyDescent="0.2">
      <c r="B192" s="110">
        <f t="shared" si="0"/>
        <v>2069</v>
      </c>
      <c r="C192" s="111">
        <f>[44]С2.5!$BB$11</f>
        <v>0</v>
      </c>
    </row>
    <row r="193" spans="2:3" hidden="1" x14ac:dyDescent="0.2">
      <c r="B193" s="110">
        <f t="shared" si="0"/>
        <v>2070</v>
      </c>
      <c r="C193" s="111">
        <f>[44]С2.5!$BC$11</f>
        <v>0</v>
      </c>
    </row>
    <row r="194" spans="2:3" hidden="1" x14ac:dyDescent="0.2">
      <c r="B194" s="110">
        <f t="shared" si="0"/>
        <v>2071</v>
      </c>
      <c r="C194" s="111">
        <f>[44]С2.5!$BD$11</f>
        <v>0</v>
      </c>
    </row>
    <row r="195" spans="2:3" hidden="1" x14ac:dyDescent="0.2">
      <c r="B195" s="110">
        <f t="shared" si="0"/>
        <v>2072</v>
      </c>
      <c r="C195" s="111">
        <f>[44]С2.5!$BE$11</f>
        <v>0</v>
      </c>
    </row>
    <row r="196" spans="2:3" hidden="1" x14ac:dyDescent="0.2">
      <c r="B196" s="110">
        <f t="shared" si="0"/>
        <v>2073</v>
      </c>
      <c r="C196" s="111">
        <f>[44]С2.5!$BF$11</f>
        <v>0</v>
      </c>
    </row>
    <row r="197" spans="2:3" hidden="1" x14ac:dyDescent="0.2">
      <c r="B197" s="110">
        <f t="shared" si="0"/>
        <v>2074</v>
      </c>
      <c r="C197" s="111">
        <f>[44]С2.5!$BG$11</f>
        <v>0</v>
      </c>
    </row>
    <row r="198" spans="2:3" hidden="1" x14ac:dyDescent="0.2">
      <c r="B198" s="110">
        <f t="shared" si="0"/>
        <v>2075</v>
      </c>
      <c r="C198" s="111">
        <f>[44]С2.5!$BH$11</f>
        <v>0</v>
      </c>
    </row>
    <row r="199" spans="2:3" hidden="1" x14ac:dyDescent="0.2">
      <c r="B199" s="110">
        <f t="shared" si="0"/>
        <v>2076</v>
      </c>
      <c r="C199" s="111">
        <f>[44]С2.5!$BI$11</f>
        <v>0</v>
      </c>
    </row>
    <row r="200" spans="2:3" hidden="1" x14ac:dyDescent="0.2">
      <c r="B200" s="110">
        <f t="shared" si="0"/>
        <v>2077</v>
      </c>
      <c r="C200" s="111">
        <f>[44]С2.5!$BJ$11</f>
        <v>0</v>
      </c>
    </row>
    <row r="201" spans="2:3" hidden="1" x14ac:dyDescent="0.2">
      <c r="B201" s="110">
        <f t="shared" si="0"/>
        <v>2078</v>
      </c>
      <c r="C201" s="111">
        <f>[44]С2.5!$BK$11</f>
        <v>0</v>
      </c>
    </row>
    <row r="202" spans="2:3" hidden="1" x14ac:dyDescent="0.2">
      <c r="B202" s="110">
        <f t="shared" si="0"/>
        <v>2079</v>
      </c>
      <c r="C202" s="111">
        <f>[44]С2.5!$BL$11</f>
        <v>0</v>
      </c>
    </row>
    <row r="203" spans="2:3" hidden="1" x14ac:dyDescent="0.2">
      <c r="B203" s="110">
        <f t="shared" si="0"/>
        <v>2080</v>
      </c>
      <c r="C203" s="111">
        <f>[44]С2.5!$BM$11</f>
        <v>0</v>
      </c>
    </row>
    <row r="204" spans="2:3" hidden="1" x14ac:dyDescent="0.2">
      <c r="B204" s="110">
        <f t="shared" si="0"/>
        <v>2081</v>
      </c>
      <c r="C204" s="111">
        <f>[44]С2.5!$BN$11</f>
        <v>0</v>
      </c>
    </row>
    <row r="205" spans="2:3" hidden="1" x14ac:dyDescent="0.2">
      <c r="B205" s="110">
        <f t="shared" si="0"/>
        <v>2082</v>
      </c>
      <c r="C205" s="111">
        <f>[44]С2.5!$BO$11</f>
        <v>0</v>
      </c>
    </row>
    <row r="206" spans="2:3" hidden="1" x14ac:dyDescent="0.2">
      <c r="B206" s="110">
        <f t="shared" si="0"/>
        <v>2083</v>
      </c>
      <c r="C206" s="111">
        <f>[44]С2.5!$BP$11</f>
        <v>0</v>
      </c>
    </row>
    <row r="207" spans="2:3" hidden="1" x14ac:dyDescent="0.2">
      <c r="B207" s="110">
        <f t="shared" si="0"/>
        <v>2084</v>
      </c>
      <c r="C207" s="111">
        <f>[44]С2.5!$BQ$11</f>
        <v>0</v>
      </c>
    </row>
    <row r="208" spans="2:3" hidden="1" x14ac:dyDescent="0.2">
      <c r="B208" s="110">
        <f t="shared" si="0"/>
        <v>2085</v>
      </c>
      <c r="C208" s="111">
        <f>[44]С2.5!$BR$11</f>
        <v>0</v>
      </c>
    </row>
    <row r="209" spans="2:3" hidden="1" x14ac:dyDescent="0.2">
      <c r="B209" s="110">
        <f t="shared" ref="B209:B223" si="1">B208+1</f>
        <v>2086</v>
      </c>
      <c r="C209" s="111">
        <f>[44]С2.5!$BS$11</f>
        <v>0</v>
      </c>
    </row>
    <row r="210" spans="2:3" hidden="1" x14ac:dyDescent="0.2">
      <c r="B210" s="110">
        <f t="shared" si="1"/>
        <v>2087</v>
      </c>
      <c r="C210" s="111">
        <f>[44]С2.5!$BT$11</f>
        <v>0</v>
      </c>
    </row>
    <row r="211" spans="2:3" hidden="1" x14ac:dyDescent="0.2">
      <c r="B211" s="110">
        <f t="shared" si="1"/>
        <v>2088</v>
      </c>
      <c r="C211" s="111">
        <f>[44]С2.5!$BU$11</f>
        <v>0</v>
      </c>
    </row>
    <row r="212" spans="2:3" hidden="1" x14ac:dyDescent="0.2">
      <c r="B212" s="110">
        <f t="shared" si="1"/>
        <v>2089</v>
      </c>
      <c r="C212" s="111">
        <f>[44]С2.5!$BV$11</f>
        <v>0</v>
      </c>
    </row>
    <row r="213" spans="2:3" hidden="1" x14ac:dyDescent="0.2">
      <c r="B213" s="110">
        <f t="shared" si="1"/>
        <v>2090</v>
      </c>
      <c r="C213" s="111">
        <f>[44]С2.5!$BW$11</f>
        <v>0</v>
      </c>
    </row>
    <row r="214" spans="2:3" hidden="1" x14ac:dyDescent="0.2">
      <c r="B214" s="110">
        <f t="shared" si="1"/>
        <v>2091</v>
      </c>
      <c r="C214" s="111">
        <f>[44]С2.5!$BX$11</f>
        <v>0</v>
      </c>
    </row>
    <row r="215" spans="2:3" hidden="1" x14ac:dyDescent="0.2">
      <c r="B215" s="110">
        <f t="shared" si="1"/>
        <v>2092</v>
      </c>
      <c r="C215" s="111">
        <f>[44]С2.5!$BY$11</f>
        <v>0</v>
      </c>
    </row>
    <row r="216" spans="2:3" hidden="1" x14ac:dyDescent="0.2">
      <c r="B216" s="110">
        <f t="shared" si="1"/>
        <v>2093</v>
      </c>
      <c r="C216" s="111">
        <f>[44]С2.5!$BZ$11</f>
        <v>0</v>
      </c>
    </row>
    <row r="217" spans="2:3" hidden="1" x14ac:dyDescent="0.2">
      <c r="B217" s="110">
        <f t="shared" si="1"/>
        <v>2094</v>
      </c>
      <c r="C217" s="111">
        <f>[44]С2.5!$CA$11</f>
        <v>0</v>
      </c>
    </row>
    <row r="218" spans="2:3" hidden="1" x14ac:dyDescent="0.2">
      <c r="B218" s="110">
        <f t="shared" si="1"/>
        <v>2095</v>
      </c>
      <c r="C218" s="111">
        <f>[44]С2.5!$CB$11</f>
        <v>0</v>
      </c>
    </row>
    <row r="219" spans="2:3" hidden="1" x14ac:dyDescent="0.2">
      <c r="B219" s="110">
        <f t="shared" si="1"/>
        <v>2096</v>
      </c>
      <c r="C219" s="111">
        <f>[44]С2.5!$CC$11</f>
        <v>0</v>
      </c>
    </row>
    <row r="220" spans="2:3" hidden="1" x14ac:dyDescent="0.2">
      <c r="B220" s="110">
        <f t="shared" si="1"/>
        <v>2097</v>
      </c>
      <c r="C220" s="111">
        <f>[44]С2.5!$CD$11</f>
        <v>0</v>
      </c>
    </row>
    <row r="221" spans="2:3" hidden="1" x14ac:dyDescent="0.2">
      <c r="B221" s="110">
        <f t="shared" si="1"/>
        <v>2098</v>
      </c>
      <c r="C221" s="111">
        <f>[44]С2.5!$CE$11</f>
        <v>0</v>
      </c>
    </row>
    <row r="222" spans="2:3" hidden="1" x14ac:dyDescent="0.2">
      <c r="B222" s="110">
        <f t="shared" si="1"/>
        <v>2099</v>
      </c>
      <c r="C222" s="111">
        <f>[44]С2.5!$CF$11</f>
        <v>0</v>
      </c>
    </row>
    <row r="223" spans="2:3" ht="13.5" hidden="1" thickBot="1" x14ac:dyDescent="0.25">
      <c r="B223" s="112">
        <f t="shared" si="1"/>
        <v>2100</v>
      </c>
      <c r="C223" s="113">
        <f>[44]С2.5!$CG$11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4" sqref="F4"/>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[24]И1!D13</f>
        <v>Субъект Российской Федерации</v>
      </c>
      <c r="C4" s="10" t="str">
        <f>[24]И1!E13</f>
        <v>Новосибирская область</v>
      </c>
    </row>
    <row r="5" spans="1:3" ht="48.6" customHeight="1" x14ac:dyDescent="0.2">
      <c r="A5" s="8"/>
      <c r="B5" s="9" t="str">
        <f>[24]И1!D14</f>
        <v>Тип муниципального образования (выберите из списка)</v>
      </c>
      <c r="C5" s="10" t="str">
        <f>[24]И1!E14</f>
        <v xml:space="preserve">село Верх-Коен, Искитимский муниципальный район </v>
      </c>
    </row>
    <row r="6" spans="1:3" x14ac:dyDescent="0.2">
      <c r="A6" s="8"/>
      <c r="B6" s="9" t="str">
        <f>IF([24]И1!E15="","",[24]И1!D15)</f>
        <v/>
      </c>
      <c r="C6" s="7" t="str">
        <f>IF([24]И1!E15="","",[24]И1!E15)</f>
        <v/>
      </c>
    </row>
    <row r="7" spans="1:3" x14ac:dyDescent="0.2">
      <c r="A7" s="8"/>
      <c r="B7" s="9" t="str">
        <f>[24]И1!D16</f>
        <v>Код ОКТМО</v>
      </c>
      <c r="C7" s="11" t="str">
        <f>[24]И1!E16</f>
        <v>(50615404101)</v>
      </c>
    </row>
    <row r="8" spans="1:3" x14ac:dyDescent="0.2">
      <c r="A8" s="8"/>
      <c r="B8" s="12" t="str">
        <f>[24]И1!D17</f>
        <v>Система теплоснабжения</v>
      </c>
      <c r="C8" s="13">
        <f>[24]И1!E17</f>
        <v>0</v>
      </c>
    </row>
    <row r="9" spans="1:3" x14ac:dyDescent="0.2">
      <c r="A9" s="8"/>
      <c r="B9" s="9" t="str">
        <f>[24]И1!D8</f>
        <v>Период регулирования (i)-й</v>
      </c>
      <c r="C9" s="14">
        <f>[24]И1!E8</f>
        <v>2025</v>
      </c>
    </row>
    <row r="10" spans="1:3" x14ac:dyDescent="0.2">
      <c r="A10" s="8"/>
      <c r="B10" s="9" t="str">
        <f>[24]И1!D9</f>
        <v>Период регулирования (i-1)-й</v>
      </c>
      <c r="C10" s="14">
        <f>[24]И1!E9</f>
        <v>2024</v>
      </c>
    </row>
    <row r="11" spans="1:3" x14ac:dyDescent="0.2">
      <c r="A11" s="8"/>
      <c r="B11" s="9" t="str">
        <f>[24]И1!D10</f>
        <v>Период регулирования (i-2)-й</v>
      </c>
      <c r="C11" s="14">
        <f>[24]И1!E10</f>
        <v>2023</v>
      </c>
    </row>
    <row r="12" spans="1:3" x14ac:dyDescent="0.2">
      <c r="A12" s="8"/>
      <c r="B12" s="9" t="str">
        <f>[24]И1!D11</f>
        <v>Базовый год (б)</v>
      </c>
      <c r="C12" s="14">
        <f>[24]И1!E11</f>
        <v>2019</v>
      </c>
    </row>
    <row r="13" spans="1:3" x14ac:dyDescent="0.2">
      <c r="A13" s="8"/>
      <c r="B13" s="9" t="str">
        <f>[24]И1!D18</f>
        <v>Вид топлива, использование которого преобладает в системе теплоснабжения</v>
      </c>
      <c r="C13" s="15" t="str">
        <f>[24]И1!E18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4216.3254921324778</v>
      </c>
    </row>
    <row r="18" spans="1:3" ht="42.75" x14ac:dyDescent="0.2">
      <c r="A18" s="22" t="s">
        <v>8</v>
      </c>
      <c r="B18" s="25" t="s">
        <v>9</v>
      </c>
      <c r="C18" s="26">
        <f>[24]С1!F12</f>
        <v>1201.0642791911237</v>
      </c>
    </row>
    <row r="19" spans="1:3" ht="42.75" x14ac:dyDescent="0.2">
      <c r="A19" s="22" t="s">
        <v>10</v>
      </c>
      <c r="B19" s="25" t="s">
        <v>11</v>
      </c>
      <c r="C19" s="26">
        <f>[24]С2!F12</f>
        <v>2049.7946392543367</v>
      </c>
    </row>
    <row r="20" spans="1:3" ht="30" x14ac:dyDescent="0.2">
      <c r="A20" s="22" t="s">
        <v>12</v>
      </c>
      <c r="B20" s="25" t="s">
        <v>13</v>
      </c>
      <c r="C20" s="26">
        <f>[24]С3!F12</f>
        <v>613.3572799725365</v>
      </c>
    </row>
    <row r="21" spans="1:3" ht="42.75" x14ac:dyDescent="0.2">
      <c r="A21" s="22" t="s">
        <v>14</v>
      </c>
      <c r="B21" s="25" t="s">
        <v>228</v>
      </c>
      <c r="C21" s="26">
        <f>[24]С4!F12</f>
        <v>269.43624484913772</v>
      </c>
    </row>
    <row r="22" spans="1:3" ht="33" customHeight="1" x14ac:dyDescent="0.2">
      <c r="A22" s="22" t="s">
        <v>16</v>
      </c>
      <c r="B22" s="25" t="s">
        <v>229</v>
      </c>
      <c r="C22" s="26">
        <f>[24]С5!F12</f>
        <v>82.673048865342693</v>
      </c>
    </row>
    <row r="23" spans="1:3" ht="45.75" customHeight="1" thickBot="1" x14ac:dyDescent="0.25">
      <c r="A23" s="27" t="s">
        <v>18</v>
      </c>
      <c r="B23" s="140" t="s">
        <v>230</v>
      </c>
      <c r="C23" s="28">
        <f>[24]С6!F12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[24]С1.1!E16</f>
        <v>7900</v>
      </c>
    </row>
    <row r="29" spans="1:3" ht="42.75" x14ac:dyDescent="0.2">
      <c r="A29" s="22" t="s">
        <v>10</v>
      </c>
      <c r="B29" s="33" t="s">
        <v>232</v>
      </c>
      <c r="C29" s="34">
        <f>[24]С1.1!E32</f>
        <v>6213.94</v>
      </c>
    </row>
    <row r="30" spans="1:3" ht="38.25" x14ac:dyDescent="0.2">
      <c r="A30" s="22" t="s">
        <v>233</v>
      </c>
      <c r="B30" s="33" t="s">
        <v>234</v>
      </c>
      <c r="C30" s="85" t="str">
        <f>[24]С1.1!E25</f>
        <v>ООО "Газпром газораспределение Томск"</v>
      </c>
    </row>
    <row r="31" spans="1:3" ht="38.25" x14ac:dyDescent="0.2">
      <c r="A31" s="22" t="s">
        <v>235</v>
      </c>
      <c r="B31" s="33" t="str">
        <f>[24]С1.1!D26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[24]С1.1!E26</f>
        <v>5099</v>
      </c>
    </row>
    <row r="32" spans="1:3" ht="25.5" x14ac:dyDescent="0.2">
      <c r="A32" s="22" t="s">
        <v>236</v>
      </c>
      <c r="B32" s="33" t="str">
        <f>[24]С1.1!D27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[24]С1.1!E27</f>
        <v>740.38</v>
      </c>
    </row>
    <row r="33" spans="1:3" ht="25.5" x14ac:dyDescent="0.2">
      <c r="A33" s="22" t="s">
        <v>237</v>
      </c>
      <c r="B33" s="33" t="str">
        <f>[24]С1.1!D28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[24]С1.1!E28</f>
        <v>144.72999999999999</v>
      </c>
    </row>
    <row r="34" spans="1:3" ht="38.25" x14ac:dyDescent="0.2">
      <c r="A34" s="22" t="s">
        <v>238</v>
      </c>
      <c r="B34" s="33" t="str">
        <f>[24]С1.1!D29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[24]С1.1!E29</f>
        <v>229.83</v>
      </c>
    </row>
    <row r="35" spans="1:3" ht="17.25" x14ac:dyDescent="0.2">
      <c r="A35" s="22" t="s">
        <v>12</v>
      </c>
      <c r="B35" s="33" t="s">
        <v>23</v>
      </c>
      <c r="C35" s="35">
        <f>[24]С1.1!E20</f>
        <v>0.112</v>
      </c>
    </row>
    <row r="36" spans="1:3" ht="17.25" x14ac:dyDescent="0.2">
      <c r="A36" s="22" t="s">
        <v>14</v>
      </c>
      <c r="B36" s="33" t="s">
        <v>24</v>
      </c>
      <c r="C36" s="35">
        <f>[24]С1.1!E21</f>
        <v>0.21299999999999999</v>
      </c>
    </row>
    <row r="37" spans="1:3" ht="30" x14ac:dyDescent="0.2">
      <c r="A37" s="22" t="s">
        <v>16</v>
      </c>
      <c r="B37" s="36" t="s">
        <v>239</v>
      </c>
      <c r="C37" s="121">
        <f>[24]С1!F13</f>
        <v>156.1</v>
      </c>
    </row>
    <row r="38" spans="1:3" x14ac:dyDescent="0.2">
      <c r="A38" s="22" t="s">
        <v>18</v>
      </c>
      <c r="B38" s="36" t="s">
        <v>26</v>
      </c>
      <c r="C38" s="38">
        <f>[24]С1!F16</f>
        <v>7000</v>
      </c>
    </row>
    <row r="39" spans="1:3" ht="14.25" x14ac:dyDescent="0.2">
      <c r="A39" s="122" t="s">
        <v>27</v>
      </c>
      <c r="B39" s="39" t="s">
        <v>240</v>
      </c>
      <c r="C39" s="40">
        <f>[24]С1!F17</f>
        <v>1.1285714285714286</v>
      </c>
    </row>
    <row r="40" spans="1:3" ht="15.75" x14ac:dyDescent="0.2">
      <c r="A40" s="123" t="s">
        <v>29</v>
      </c>
      <c r="B40" s="42" t="s">
        <v>30</v>
      </c>
      <c r="C40" s="40">
        <f>[24]С1!F20</f>
        <v>22.307053372799995</v>
      </c>
    </row>
    <row r="41" spans="1:3" ht="15.75" x14ac:dyDescent="0.2">
      <c r="A41" s="123" t="s">
        <v>31</v>
      </c>
      <c r="B41" s="43" t="s">
        <v>32</v>
      </c>
      <c r="C41" s="40">
        <f>[24]С1!F21</f>
        <v>21.531904799999996</v>
      </c>
    </row>
    <row r="42" spans="1:3" ht="14.25" x14ac:dyDescent="0.2">
      <c r="A42" s="123" t="s">
        <v>33</v>
      </c>
      <c r="B42" s="44" t="s">
        <v>34</v>
      </c>
      <c r="C42" s="40">
        <f>[24]С1!F22</f>
        <v>1.036</v>
      </c>
    </row>
    <row r="43" spans="1:3" ht="53.25" thickBot="1" x14ac:dyDescent="0.25">
      <c r="A43" s="27" t="s">
        <v>35</v>
      </c>
      <c r="B43" s="45" t="s">
        <v>36</v>
      </c>
      <c r="C43" s="46" t="str">
        <f>[24]С1!F23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[24]С2.1!E12</f>
        <v>V</v>
      </c>
    </row>
    <row r="47" spans="1:3" ht="25.5" x14ac:dyDescent="0.2">
      <c r="A47" s="22" t="s">
        <v>41</v>
      </c>
      <c r="B47" s="33" t="s">
        <v>42</v>
      </c>
      <c r="C47" s="51" t="str">
        <f>[24]С2.1!E13</f>
        <v>6 и менее баллов</v>
      </c>
    </row>
    <row r="48" spans="1:3" ht="25.5" x14ac:dyDescent="0.2">
      <c r="A48" s="22" t="s">
        <v>43</v>
      </c>
      <c r="B48" s="33" t="s">
        <v>241</v>
      </c>
      <c r="C48" s="51" t="str">
        <f>[24]С2.1!E14</f>
        <v>от 200 до 500</v>
      </c>
    </row>
    <row r="49" spans="1:3" ht="25.5" x14ac:dyDescent="0.2">
      <c r="A49" s="22" t="s">
        <v>45</v>
      </c>
      <c r="B49" s="33" t="s">
        <v>242</v>
      </c>
      <c r="C49" s="52" t="str">
        <f>[24]С2.1!E15</f>
        <v>нет</v>
      </c>
    </row>
    <row r="50" spans="1:3" ht="30" x14ac:dyDescent="0.2">
      <c r="A50" s="22" t="s">
        <v>47</v>
      </c>
      <c r="B50" s="33" t="s">
        <v>48</v>
      </c>
      <c r="C50" s="34">
        <f>[24]С2!F18</f>
        <v>38910.02669467502</v>
      </c>
    </row>
    <row r="51" spans="1:3" ht="30" x14ac:dyDescent="0.2">
      <c r="A51" s="22" t="s">
        <v>49</v>
      </c>
      <c r="B51" s="53" t="s">
        <v>50</v>
      </c>
      <c r="C51" s="34">
        <f>IF([24]С2!F19&gt;0,[24]С2!F19,[24]С2!F20)</f>
        <v>23441.524932855718</v>
      </c>
    </row>
    <row r="52" spans="1:3" ht="25.5" x14ac:dyDescent="0.2">
      <c r="A52" s="22" t="s">
        <v>51</v>
      </c>
      <c r="B52" s="54" t="s">
        <v>52</v>
      </c>
      <c r="C52" s="34">
        <f>[24]С2.1!E20</f>
        <v>-38</v>
      </c>
    </row>
    <row r="53" spans="1:3" ht="25.5" x14ac:dyDescent="0.2">
      <c r="A53" s="22" t="s">
        <v>53</v>
      </c>
      <c r="B53" s="54" t="s">
        <v>54</v>
      </c>
      <c r="C53" s="34" t="str">
        <f>[24]С2.1!E23</f>
        <v>нет</v>
      </c>
    </row>
    <row r="54" spans="1:3" ht="38.25" x14ac:dyDescent="0.2">
      <c r="A54" s="22" t="s">
        <v>55</v>
      </c>
      <c r="B54" s="55" t="s">
        <v>56</v>
      </c>
      <c r="C54" s="34">
        <f>[24]С2.2!E10</f>
        <v>1287</v>
      </c>
    </row>
    <row r="55" spans="1:3" ht="25.5" x14ac:dyDescent="0.2">
      <c r="A55" s="22" t="s">
        <v>57</v>
      </c>
      <c r="B55" s="56" t="s">
        <v>58</v>
      </c>
      <c r="C55" s="34">
        <f>[24]С2.2!E12</f>
        <v>5.97</v>
      </c>
    </row>
    <row r="56" spans="1:3" ht="52.5" x14ac:dyDescent="0.2">
      <c r="A56" s="22" t="s">
        <v>59</v>
      </c>
      <c r="B56" s="57" t="s">
        <v>60</v>
      </c>
      <c r="C56" s="34">
        <f>[24]С2.2!E13</f>
        <v>1</v>
      </c>
    </row>
    <row r="57" spans="1:3" ht="27.75" x14ac:dyDescent="0.2">
      <c r="A57" s="22" t="s">
        <v>61</v>
      </c>
      <c r="B57" s="56" t="s">
        <v>62</v>
      </c>
      <c r="C57" s="34">
        <f>[24]С2.2!E14</f>
        <v>12104</v>
      </c>
    </row>
    <row r="58" spans="1:3" ht="25.5" x14ac:dyDescent="0.2">
      <c r="A58" s="22" t="s">
        <v>63</v>
      </c>
      <c r="B58" s="57" t="s">
        <v>64</v>
      </c>
      <c r="C58" s="35">
        <f>[24]С2.2!E15</f>
        <v>4.8000000000000001E-2</v>
      </c>
    </row>
    <row r="59" spans="1:3" x14ac:dyDescent="0.2">
      <c r="A59" s="22" t="s">
        <v>65</v>
      </c>
      <c r="B59" s="57" t="s">
        <v>66</v>
      </c>
      <c r="C59" s="124">
        <f>[24]С2.2!E16</f>
        <v>1</v>
      </c>
    </row>
    <row r="60" spans="1:3" ht="15.75" x14ac:dyDescent="0.2">
      <c r="A60" s="22" t="s">
        <v>67</v>
      </c>
      <c r="B60" s="58" t="s">
        <v>68</v>
      </c>
      <c r="C60" s="34">
        <f>[24]С2!F21</f>
        <v>1</v>
      </c>
    </row>
    <row r="61" spans="1:3" ht="30" x14ac:dyDescent="0.2">
      <c r="A61" s="59" t="s">
        <v>69</v>
      </c>
      <c r="B61" s="33" t="s">
        <v>243</v>
      </c>
      <c r="C61" s="34">
        <f>[24]С2!F13</f>
        <v>116526.45062105893</v>
      </c>
    </row>
    <row r="62" spans="1:3" ht="30" x14ac:dyDescent="0.2">
      <c r="A62" s="59" t="s">
        <v>71</v>
      </c>
      <c r="B62" s="60" t="s">
        <v>244</v>
      </c>
      <c r="C62" s="34">
        <f>[24]С2!F14</f>
        <v>64899</v>
      </c>
    </row>
    <row r="63" spans="1:3" ht="15.75" x14ac:dyDescent="0.2">
      <c r="A63" s="59" t="s">
        <v>73</v>
      </c>
      <c r="B63" s="60" t="s">
        <v>74</v>
      </c>
      <c r="C63" s="40">
        <f>[24]С2!F15</f>
        <v>1.071</v>
      </c>
    </row>
    <row r="64" spans="1:3" ht="15.75" x14ac:dyDescent="0.2">
      <c r="A64" s="59" t="s">
        <v>75</v>
      </c>
      <c r="B64" s="60" t="s">
        <v>76</v>
      </c>
      <c r="C64" s="125">
        <f>[24]С2!F16</f>
        <v>1</v>
      </c>
    </row>
    <row r="65" spans="1:3" ht="17.25" x14ac:dyDescent="0.2">
      <c r="A65" s="59" t="s">
        <v>77</v>
      </c>
      <c r="B65" s="60" t="s">
        <v>78</v>
      </c>
      <c r="C65" s="126">
        <f>[24]С2!F17</f>
        <v>1.01</v>
      </c>
    </row>
    <row r="66" spans="1:3" s="63" customFormat="1" ht="14.25" x14ac:dyDescent="0.2">
      <c r="A66" s="59" t="s">
        <v>79</v>
      </c>
      <c r="B66" s="61" t="s">
        <v>80</v>
      </c>
      <c r="C66" s="62">
        <f>[24]С2!F35</f>
        <v>10</v>
      </c>
    </row>
    <row r="67" spans="1:3" ht="30" x14ac:dyDescent="0.2">
      <c r="A67" s="59" t="s">
        <v>81</v>
      </c>
      <c r="B67" s="64" t="s">
        <v>82</v>
      </c>
      <c r="C67" s="34">
        <f>[24]С2!F28</f>
        <v>366.91081711820414</v>
      </c>
    </row>
    <row r="68" spans="1:3" ht="17.25" x14ac:dyDescent="0.2">
      <c r="A68" s="59" t="s">
        <v>83</v>
      </c>
      <c r="B68" s="53" t="s">
        <v>245</v>
      </c>
      <c r="C68" s="40">
        <f>[24]С2!F29</f>
        <v>0.44209422600000003</v>
      </c>
    </row>
    <row r="69" spans="1:3" ht="17.25" x14ac:dyDescent="0.2">
      <c r="A69" s="59" t="s">
        <v>85</v>
      </c>
      <c r="B69" s="58" t="s">
        <v>246</v>
      </c>
      <c r="C69" s="62">
        <f>[24]С2!F30</f>
        <v>500</v>
      </c>
    </row>
    <row r="70" spans="1:3" ht="42.75" x14ac:dyDescent="0.2">
      <c r="A70" s="59" t="s">
        <v>87</v>
      </c>
      <c r="B70" s="33" t="s">
        <v>247</v>
      </c>
      <c r="C70" s="34">
        <f>[24]С2!F22</f>
        <v>43932.649760529566</v>
      </c>
    </row>
    <row r="71" spans="1:3" ht="30" x14ac:dyDescent="0.2">
      <c r="A71" s="59" t="s">
        <v>89</v>
      </c>
      <c r="B71" s="60" t="s">
        <v>248</v>
      </c>
      <c r="C71" s="34">
        <f>[24]С2!F23</f>
        <v>21</v>
      </c>
    </row>
    <row r="72" spans="1:3" ht="30" x14ac:dyDescent="0.2">
      <c r="A72" s="59" t="s">
        <v>91</v>
      </c>
      <c r="B72" s="53" t="s">
        <v>92</v>
      </c>
      <c r="C72" s="34">
        <f>[24]С2.1!E28</f>
        <v>14036.09995</v>
      </c>
    </row>
    <row r="73" spans="1:3" ht="38.25" x14ac:dyDescent="0.2">
      <c r="A73" s="59" t="s">
        <v>93</v>
      </c>
      <c r="B73" s="65" t="s">
        <v>94</v>
      </c>
      <c r="C73" s="52">
        <f>[24]С2.3!E21</f>
        <v>0</v>
      </c>
    </row>
    <row r="74" spans="1:3" ht="25.5" x14ac:dyDescent="0.2">
      <c r="A74" s="59" t="s">
        <v>95</v>
      </c>
      <c r="B74" s="66" t="s">
        <v>96</v>
      </c>
      <c r="C74" s="67">
        <f>[24]С2.3!E11</f>
        <v>5.45</v>
      </c>
    </row>
    <row r="75" spans="1:3" ht="25.5" x14ac:dyDescent="0.2">
      <c r="A75" s="59" t="s">
        <v>97</v>
      </c>
      <c r="B75" s="66" t="s">
        <v>98</v>
      </c>
      <c r="C75" s="62">
        <f>[24]С2.3!E13</f>
        <v>300</v>
      </c>
    </row>
    <row r="76" spans="1:3" ht="25.5" x14ac:dyDescent="0.2">
      <c r="A76" s="59" t="s">
        <v>99</v>
      </c>
      <c r="B76" s="65" t="s">
        <v>100</v>
      </c>
      <c r="C76" s="68">
        <f>IF([24]С2.3!E22&gt;0,[24]С2.3!E22,[24]С2.3!E14)</f>
        <v>61211</v>
      </c>
    </row>
    <row r="77" spans="1:3" ht="38.25" x14ac:dyDescent="0.2">
      <c r="A77" s="59" t="s">
        <v>101</v>
      </c>
      <c r="B77" s="65" t="s">
        <v>102</v>
      </c>
      <c r="C77" s="68">
        <f>IF([24]С2.3!E23&gt;0,[24]С2.3!E23,[24]С2.3!E15)</f>
        <v>45675</v>
      </c>
    </row>
    <row r="78" spans="1:3" ht="30" x14ac:dyDescent="0.2">
      <c r="A78" s="59" t="s">
        <v>103</v>
      </c>
      <c r="B78" s="53" t="s">
        <v>104</v>
      </c>
      <c r="C78" s="34">
        <f>[24]С2.1!E29</f>
        <v>9518.3274000000001</v>
      </c>
    </row>
    <row r="79" spans="1:3" ht="38.25" x14ac:dyDescent="0.2">
      <c r="A79" s="59" t="s">
        <v>105</v>
      </c>
      <c r="B79" s="65" t="s">
        <v>106</v>
      </c>
      <c r="C79" s="52">
        <f>[24]С2.3!E25</f>
        <v>0</v>
      </c>
    </row>
    <row r="80" spans="1:3" ht="25.5" x14ac:dyDescent="0.2">
      <c r="A80" s="59" t="s">
        <v>107</v>
      </c>
      <c r="B80" s="66" t="s">
        <v>108</v>
      </c>
      <c r="C80" s="67">
        <f>[24]С2.3!E12</f>
        <v>0.2</v>
      </c>
    </row>
    <row r="81" spans="1:3" ht="25.5" x14ac:dyDescent="0.2">
      <c r="A81" s="59" t="s">
        <v>109</v>
      </c>
      <c r="B81" s="66" t="s">
        <v>98</v>
      </c>
      <c r="C81" s="62">
        <f>[24]С2.3!E13</f>
        <v>300</v>
      </c>
    </row>
    <row r="82" spans="1:3" ht="25.5" x14ac:dyDescent="0.2">
      <c r="A82" s="59" t="s">
        <v>110</v>
      </c>
      <c r="B82" s="69" t="s">
        <v>111</v>
      </c>
      <c r="C82" s="68">
        <f>IF([24]С2.3!E26&gt;0,[24]С2.3!E26,[24]С2.3!E16)</f>
        <v>65637</v>
      </c>
    </row>
    <row r="83" spans="1:3" ht="38.25" x14ac:dyDescent="0.2">
      <c r="A83" s="59" t="s">
        <v>112</v>
      </c>
      <c r="B83" s="69" t="s">
        <v>113</v>
      </c>
      <c r="C83" s="68">
        <f>IF([24]С2.3!E27&gt;0,[24]С2.3!E27,[24]С2.3!E17)</f>
        <v>31684</v>
      </c>
    </row>
    <row r="84" spans="1:3" ht="30" x14ac:dyDescent="0.2">
      <c r="A84" s="59" t="s">
        <v>249</v>
      </c>
      <c r="B84" s="60" t="s">
        <v>250</v>
      </c>
      <c r="C84" s="68">
        <f>IF([24]С2.1!E19&gt;0,[24]С2.1!E19,[24]С2!F26)</f>
        <v>2892</v>
      </c>
    </row>
    <row r="85" spans="1:3" ht="17.25" x14ac:dyDescent="0.2">
      <c r="A85" s="59" t="s">
        <v>114</v>
      </c>
      <c r="B85" s="33" t="s">
        <v>115</v>
      </c>
      <c r="C85" s="35">
        <f>[24]С2!F31</f>
        <v>0.17804631770487722</v>
      </c>
    </row>
    <row r="86" spans="1:3" ht="30" x14ac:dyDescent="0.2">
      <c r="A86" s="59" t="s">
        <v>116</v>
      </c>
      <c r="B86" s="53" t="s">
        <v>117</v>
      </c>
      <c r="C86" s="70">
        <f>[24]С2!F32</f>
        <v>0.1652189781021898</v>
      </c>
    </row>
    <row r="87" spans="1:3" ht="17.25" x14ac:dyDescent="0.2">
      <c r="A87" s="59" t="s">
        <v>118</v>
      </c>
      <c r="B87" s="71" t="s">
        <v>119</v>
      </c>
      <c r="C87" s="35">
        <f>[24]С2!F33</f>
        <v>0.13880000000000001</v>
      </c>
    </row>
    <row r="88" spans="1:3" s="63" customFormat="1" ht="18" thickBot="1" x14ac:dyDescent="0.25">
      <c r="A88" s="72" t="s">
        <v>120</v>
      </c>
      <c r="B88" s="73" t="s">
        <v>121</v>
      </c>
      <c r="C88" s="74">
        <f>[24]С2!F34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[24]С3!F14</f>
        <v>10281.56929785238</v>
      </c>
    </row>
    <row r="92" spans="1:3" s="63" customFormat="1" ht="42.75" x14ac:dyDescent="0.2">
      <c r="A92" s="77" t="s">
        <v>126</v>
      </c>
      <c r="B92" s="53" t="s">
        <v>127</v>
      </c>
      <c r="C92" s="78">
        <f>[24]С3!F15</f>
        <v>0.25</v>
      </c>
    </row>
    <row r="93" spans="1:3" s="63" customFormat="1" ht="14.25" x14ac:dyDescent="0.2">
      <c r="A93" s="77" t="s">
        <v>128</v>
      </c>
      <c r="B93" s="79" t="s">
        <v>129</v>
      </c>
      <c r="C93" s="62">
        <f>[24]С3!F18</f>
        <v>15</v>
      </c>
    </row>
    <row r="94" spans="1:3" s="63" customFormat="1" ht="17.25" x14ac:dyDescent="0.2">
      <c r="A94" s="77" t="s">
        <v>130</v>
      </c>
      <c r="B94" s="33" t="s">
        <v>131</v>
      </c>
      <c r="C94" s="34">
        <f>[24]С3!F19</f>
        <v>2924.0805304518653</v>
      </c>
    </row>
    <row r="95" spans="1:3" s="63" customFormat="1" ht="55.5" x14ac:dyDescent="0.2">
      <c r="A95" s="77" t="s">
        <v>132</v>
      </c>
      <c r="B95" s="53" t="s">
        <v>133</v>
      </c>
      <c r="C95" s="80">
        <f>[24]С3!F20</f>
        <v>2.1999999999999999E-2</v>
      </c>
    </row>
    <row r="96" spans="1:3" s="63" customFormat="1" ht="14.25" x14ac:dyDescent="0.2">
      <c r="A96" s="77" t="s">
        <v>134</v>
      </c>
      <c r="B96" s="58" t="s">
        <v>80</v>
      </c>
      <c r="C96" s="62">
        <f>[24]С3!F21</f>
        <v>10</v>
      </c>
    </row>
    <row r="97" spans="1:3" s="63" customFormat="1" ht="17.25" x14ac:dyDescent="0.2">
      <c r="A97" s="77" t="s">
        <v>135</v>
      </c>
      <c r="B97" s="33" t="s">
        <v>136</v>
      </c>
      <c r="C97" s="34">
        <f>[24]С3!F22</f>
        <v>1.1007324513546124</v>
      </c>
    </row>
    <row r="98" spans="1:3" s="63" customFormat="1" ht="55.5" x14ac:dyDescent="0.2">
      <c r="A98" s="77" t="s">
        <v>137</v>
      </c>
      <c r="B98" s="53" t="s">
        <v>138</v>
      </c>
      <c r="C98" s="80">
        <f>[24]С3!F23</f>
        <v>3.0000000000000001E-3</v>
      </c>
    </row>
    <row r="99" spans="1:3" s="63" customFormat="1" ht="30.75" thickBot="1" x14ac:dyDescent="0.25">
      <c r="A99" s="81" t="s">
        <v>139</v>
      </c>
      <c r="B99" s="82" t="s">
        <v>82</v>
      </c>
      <c r="C99" s="83">
        <f>[24]С3!F24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[24]С4!F16</f>
        <v>832.33500000000004</v>
      </c>
    </row>
    <row r="103" spans="1:3" ht="30" x14ac:dyDescent="0.2">
      <c r="A103" s="59" t="s">
        <v>145</v>
      </c>
      <c r="B103" s="58" t="s">
        <v>252</v>
      </c>
      <c r="C103" s="34">
        <f>[24]С4!F17</f>
        <v>43385</v>
      </c>
    </row>
    <row r="104" spans="1:3" ht="17.25" x14ac:dyDescent="0.2">
      <c r="A104" s="59" t="s">
        <v>147</v>
      </c>
      <c r="B104" s="58" t="s">
        <v>148</v>
      </c>
      <c r="C104" s="40">
        <f>[24]С4!F18</f>
        <v>1.4999999999999999E-2</v>
      </c>
    </row>
    <row r="105" spans="1:3" ht="30" x14ac:dyDescent="0.2">
      <c r="A105" s="59" t="s">
        <v>149</v>
      </c>
      <c r="B105" s="58" t="s">
        <v>150</v>
      </c>
      <c r="C105" s="34">
        <f>[24]С4!F19</f>
        <v>12104</v>
      </c>
    </row>
    <row r="106" spans="1:3" ht="31.5" x14ac:dyDescent="0.2">
      <c r="A106" s="59" t="s">
        <v>151</v>
      </c>
      <c r="B106" s="58" t="s">
        <v>152</v>
      </c>
      <c r="C106" s="40">
        <f>[24]С4!F20</f>
        <v>1.4999999999999999E-2</v>
      </c>
    </row>
    <row r="107" spans="1:3" ht="30" x14ac:dyDescent="0.2">
      <c r="A107" s="59" t="s">
        <v>153</v>
      </c>
      <c r="B107" s="33" t="s">
        <v>253</v>
      </c>
      <c r="C107" s="34">
        <f>[24]С4!F21</f>
        <v>1221.9019409821399</v>
      </c>
    </row>
    <row r="108" spans="1:3" ht="45.6" customHeight="1" x14ac:dyDescent="0.2">
      <c r="A108" s="59" t="s">
        <v>155</v>
      </c>
      <c r="B108" s="53" t="s">
        <v>156</v>
      </c>
      <c r="C108" s="85" t="str">
        <f>IF([24]С4.2!F8="да",[24]С4.2!D21,[24]С4.2!D15)</f>
        <v>АО "Новосибирскэнергосбыт"</v>
      </c>
    </row>
    <row r="109" spans="1:3" ht="68.25" customHeight="1" x14ac:dyDescent="0.2">
      <c r="A109" s="59" t="s">
        <v>157</v>
      </c>
      <c r="B109" s="53" t="s">
        <v>158</v>
      </c>
      <c r="C109" s="34">
        <f>[24]С4!F22</f>
        <v>3.6112641666666665</v>
      </c>
    </row>
    <row r="110" spans="1:3" ht="30" x14ac:dyDescent="0.2">
      <c r="A110" s="59" t="s">
        <v>159</v>
      </c>
      <c r="B110" s="58" t="s">
        <v>254</v>
      </c>
      <c r="C110" s="62">
        <f>[24]С4!F23</f>
        <v>110</v>
      </c>
    </row>
    <row r="111" spans="1:3" ht="14.25" x14ac:dyDescent="0.2">
      <c r="A111" s="59" t="s">
        <v>161</v>
      </c>
      <c r="B111" s="53" t="s">
        <v>162</v>
      </c>
      <c r="C111" s="34">
        <f>[24]С4!F24</f>
        <v>8497.1999999999989</v>
      </c>
    </row>
    <row r="112" spans="1:3" ht="14.25" x14ac:dyDescent="0.2">
      <c r="A112" s="59" t="s">
        <v>163</v>
      </c>
      <c r="B112" s="58" t="s">
        <v>164</v>
      </c>
      <c r="C112" s="40">
        <f>[24]С4!F25</f>
        <v>0.36199999999999999</v>
      </c>
    </row>
    <row r="113" spans="1:3" ht="17.25" x14ac:dyDescent="0.2">
      <c r="A113" s="59" t="s">
        <v>165</v>
      </c>
      <c r="B113" s="33" t="s">
        <v>166</v>
      </c>
      <c r="C113" s="34">
        <f>[24]С4!F26</f>
        <v>49.136149999999994</v>
      </c>
    </row>
    <row r="114" spans="1:3" ht="25.5" x14ac:dyDescent="0.2">
      <c r="A114" s="59" t="s">
        <v>167</v>
      </c>
      <c r="B114" s="53" t="s">
        <v>94</v>
      </c>
      <c r="C114" s="85">
        <f>[24]С4.3!E16</f>
        <v>0</v>
      </c>
    </row>
    <row r="115" spans="1:3" ht="25.5" x14ac:dyDescent="0.2">
      <c r="A115" s="59" t="s">
        <v>168</v>
      </c>
      <c r="B115" s="53" t="s">
        <v>169</v>
      </c>
      <c r="C115" s="34">
        <f>[24]С4.3!E17</f>
        <v>24.88</v>
      </c>
    </row>
    <row r="116" spans="1:3" ht="38.25" x14ac:dyDescent="0.2">
      <c r="A116" s="59" t="s">
        <v>170</v>
      </c>
      <c r="B116" s="53" t="s">
        <v>106</v>
      </c>
      <c r="C116" s="85">
        <f>[24]С4.3!E18</f>
        <v>0</v>
      </c>
    </row>
    <row r="117" spans="1:3" x14ac:dyDescent="0.2">
      <c r="A117" s="59" t="s">
        <v>171</v>
      </c>
      <c r="B117" s="53" t="s">
        <v>172</v>
      </c>
      <c r="C117" s="34">
        <f>[24]С4.3!E19</f>
        <v>14.63</v>
      </c>
    </row>
    <row r="118" spans="1:3" x14ac:dyDescent="0.2">
      <c r="A118" s="59" t="s">
        <v>173</v>
      </c>
      <c r="B118" s="58" t="s">
        <v>174</v>
      </c>
      <c r="C118" s="62">
        <f>[24]С4.3!E11</f>
        <v>1871</v>
      </c>
    </row>
    <row r="119" spans="1:3" x14ac:dyDescent="0.2">
      <c r="A119" s="59" t="s">
        <v>175</v>
      </c>
      <c r="B119" s="58" t="s">
        <v>176</v>
      </c>
      <c r="C119" s="52">
        <f>[24]С4.3!E12</f>
        <v>61</v>
      </c>
    </row>
    <row r="120" spans="1:3" x14ac:dyDescent="0.2">
      <c r="A120" s="59" t="s">
        <v>177</v>
      </c>
      <c r="B120" s="58" t="s">
        <v>178</v>
      </c>
      <c r="C120" s="52">
        <f>[24]С4.3!E13</f>
        <v>73</v>
      </c>
    </row>
    <row r="121" spans="1:3" ht="30" x14ac:dyDescent="0.2">
      <c r="A121" s="59" t="s">
        <v>179</v>
      </c>
      <c r="B121" s="33" t="s">
        <v>255</v>
      </c>
      <c r="C121" s="34">
        <f>[24]С4!F27</f>
        <v>904.62444244124072</v>
      </c>
    </row>
    <row r="122" spans="1:3" ht="25.5" x14ac:dyDescent="0.2">
      <c r="A122" s="59" t="s">
        <v>181</v>
      </c>
      <c r="B122" s="53" t="s">
        <v>256</v>
      </c>
      <c r="C122" s="34">
        <f>[24]С4!F28</f>
        <v>694.79603874135228</v>
      </c>
    </row>
    <row r="123" spans="1:3" ht="42.75" x14ac:dyDescent="0.2">
      <c r="A123" s="59" t="s">
        <v>183</v>
      </c>
      <c r="B123" s="53" t="s">
        <v>184</v>
      </c>
      <c r="C123" s="34">
        <f>[24]С4!F29</f>
        <v>209.82840369988838</v>
      </c>
    </row>
    <row r="124" spans="1:3" ht="30.75" thickBot="1" x14ac:dyDescent="0.25">
      <c r="A124" s="72" t="s">
        <v>185</v>
      </c>
      <c r="B124" s="90" t="s">
        <v>186</v>
      </c>
      <c r="C124" s="83">
        <f>[24]С4!F30</f>
        <v>808.57239624749025</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[24]С5!F17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IF([24]С6.1!E11="нет",[24]С6!F13,"")</f>
        <v/>
      </c>
    </row>
    <row r="131" spans="1:3" ht="42.75" x14ac:dyDescent="0.2">
      <c r="A131" s="59" t="s">
        <v>204</v>
      </c>
      <c r="B131" s="86" t="s">
        <v>205</v>
      </c>
      <c r="C131" s="92" t="str">
        <f>IF([24]С6.1!E12="нет",[24]С6.1!E17,"")</f>
        <v/>
      </c>
    </row>
    <row r="132" spans="1:3" ht="68.25" x14ac:dyDescent="0.2">
      <c r="A132" s="59" t="s">
        <v>206</v>
      </c>
      <c r="B132" s="91" t="s">
        <v>207</v>
      </c>
      <c r="C132" s="127" t="str">
        <f>IF([24]С6.1!E18="нет",[24]С6!F19,"")</f>
        <v/>
      </c>
    </row>
    <row r="133" spans="1:3" ht="55.5" x14ac:dyDescent="0.2">
      <c r="A133" s="59" t="s">
        <v>208</v>
      </c>
      <c r="B133" s="86" t="s">
        <v>209</v>
      </c>
      <c r="C133" s="35" t="str">
        <f>IF([24]С6.1!E18="нет",[24]С6.1!E19,"")</f>
        <v/>
      </c>
    </row>
    <row r="134" spans="1:3" ht="61.5" customHeight="1" x14ac:dyDescent="0.2">
      <c r="A134" s="59" t="s">
        <v>210</v>
      </c>
      <c r="B134" s="86" t="s">
        <v>257</v>
      </c>
      <c r="C134" s="35" t="str">
        <f>IF([24]С6.1!E18="нет",[24]С6.1!E22,"")</f>
        <v/>
      </c>
    </row>
    <row r="135" spans="1:3" ht="69" thickBot="1" x14ac:dyDescent="0.25">
      <c r="A135" s="72" t="s">
        <v>212</v>
      </c>
      <c r="B135" s="98" t="s">
        <v>213</v>
      </c>
      <c r="C135" s="74" t="str">
        <f>IF([24]С6.1!E18="нет",[24]С6.1!E23,"")</f>
        <v/>
      </c>
    </row>
    <row r="136" spans="1:3" s="89" customFormat="1" ht="13.5" thickBot="1" x14ac:dyDescent="0.25">
      <c r="A136" s="47"/>
      <c r="B136" s="75"/>
      <c r="C136" s="15"/>
    </row>
    <row r="137" spans="1:3" ht="15.75" x14ac:dyDescent="0.2">
      <c r="A137" s="84" t="s">
        <v>214</v>
      </c>
      <c r="B137" s="99" t="s">
        <v>215</v>
      </c>
      <c r="C137" s="100">
        <f>[24]С2!F39</f>
        <v>21.531904799999996</v>
      </c>
    </row>
    <row r="138" spans="1:3" ht="14.25" x14ac:dyDescent="0.2">
      <c r="A138" s="59" t="s">
        <v>216</v>
      </c>
      <c r="B138" s="58" t="s">
        <v>217</v>
      </c>
      <c r="C138" s="34">
        <f>[24]С2!F40</f>
        <v>7</v>
      </c>
    </row>
    <row r="139" spans="1:3" ht="17.25" x14ac:dyDescent="0.2">
      <c r="A139" s="59" t="s">
        <v>218</v>
      </c>
      <c r="B139" s="58" t="s">
        <v>219</v>
      </c>
      <c r="C139" s="34">
        <f>[24]С2!F42</f>
        <v>0.97</v>
      </c>
    </row>
    <row r="140" spans="1:3" ht="15" thickBot="1" x14ac:dyDescent="0.25">
      <c r="A140" s="72" t="s">
        <v>220</v>
      </c>
      <c r="B140" s="73" t="s">
        <v>221</v>
      </c>
      <c r="C140" s="46">
        <f>[24]С2!F44</f>
        <v>0.36199999999999999</v>
      </c>
    </row>
    <row r="141" spans="1:3" s="89" customFormat="1" ht="13.5" thickBot="1" x14ac:dyDescent="0.25">
      <c r="A141" s="47"/>
      <c r="B141" s="75"/>
      <c r="C141" s="15"/>
    </row>
    <row r="142" spans="1:3" ht="17.25" x14ac:dyDescent="0.2">
      <c r="A142" s="84" t="s">
        <v>222</v>
      </c>
      <c r="B142" s="103" t="s">
        <v>258</v>
      </c>
      <c r="C142" s="128">
        <f>[24]С2!F37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[24]С2.5!$E$11</f>
        <v>-2.9000000000000026E-2</v>
      </c>
    </row>
    <row r="146" spans="1:3" x14ac:dyDescent="0.2">
      <c r="B146" s="131">
        <f>B145+1</f>
        <v>2021</v>
      </c>
      <c r="C146" s="133">
        <f>[24]С2.5!$F$11</f>
        <v>0.245</v>
      </c>
    </row>
    <row r="147" spans="1:3" x14ac:dyDescent="0.2">
      <c r="B147" s="131">
        <f t="shared" ref="B147:B210" si="0">B146+1</f>
        <v>2022</v>
      </c>
      <c r="C147" s="134">
        <f>[24]С2.5!$G$11</f>
        <v>0.114</v>
      </c>
    </row>
    <row r="148" spans="1:3" x14ac:dyDescent="0.2">
      <c r="B148" s="110">
        <f t="shared" si="0"/>
        <v>2023</v>
      </c>
      <c r="C148" s="135">
        <f>[24]С2.5!$H$11</f>
        <v>0.04</v>
      </c>
    </row>
    <row r="149" spans="1:3" x14ac:dyDescent="0.2">
      <c r="B149" s="110">
        <f t="shared" si="0"/>
        <v>2024</v>
      </c>
      <c r="C149" s="135">
        <f>[24]С2.5!$I$11</f>
        <v>0.11700000000000001</v>
      </c>
    </row>
    <row r="150" spans="1:3" ht="13.5" thickBot="1" x14ac:dyDescent="0.25">
      <c r="B150" s="110">
        <f t="shared" si="0"/>
        <v>2025</v>
      </c>
      <c r="C150" s="135">
        <f>[24]С2.5!$J$11</f>
        <v>6.0999999999999999E-2</v>
      </c>
    </row>
    <row r="151" spans="1:3" ht="13.5" hidden="1" thickBot="1" x14ac:dyDescent="0.25">
      <c r="B151" s="110">
        <f t="shared" si="0"/>
        <v>2026</v>
      </c>
      <c r="C151" s="135">
        <f>[24]С2.5!$K$11</f>
        <v>0</v>
      </c>
    </row>
    <row r="152" spans="1:3" ht="13.5" hidden="1" thickBot="1" x14ac:dyDescent="0.25">
      <c r="B152" s="110">
        <f t="shared" si="0"/>
        <v>2027</v>
      </c>
      <c r="C152" s="135">
        <f>[24]С2.5!$L$11</f>
        <v>0</v>
      </c>
    </row>
    <row r="153" spans="1:3" ht="13.5" hidden="1" thickBot="1" x14ac:dyDescent="0.25">
      <c r="B153" s="110">
        <f t="shared" si="0"/>
        <v>2028</v>
      </c>
      <c r="C153" s="135">
        <f>[24]С2.5!$M$11</f>
        <v>0</v>
      </c>
    </row>
    <row r="154" spans="1:3" ht="13.5" hidden="1" thickBot="1" x14ac:dyDescent="0.25">
      <c r="B154" s="110">
        <f t="shared" si="0"/>
        <v>2029</v>
      </c>
      <c r="C154" s="135">
        <f>[24]С2.5!$N$11</f>
        <v>0</v>
      </c>
    </row>
    <row r="155" spans="1:3" ht="13.5" hidden="1" thickBot="1" x14ac:dyDescent="0.25">
      <c r="B155" s="110">
        <f t="shared" si="0"/>
        <v>2030</v>
      </c>
      <c r="C155" s="135">
        <f>[24]С2.5!$O$11</f>
        <v>0</v>
      </c>
    </row>
    <row r="156" spans="1:3" ht="13.5" hidden="1" thickBot="1" x14ac:dyDescent="0.25">
      <c r="B156" s="110">
        <f t="shared" si="0"/>
        <v>2031</v>
      </c>
      <c r="C156" s="135">
        <f>[24]С2.5!$P$11</f>
        <v>0</v>
      </c>
    </row>
    <row r="157" spans="1:3" ht="13.5" hidden="1" thickBot="1" x14ac:dyDescent="0.25">
      <c r="B157" s="110">
        <f t="shared" si="0"/>
        <v>2032</v>
      </c>
      <c r="C157" s="135">
        <f>[24]С2.5!$Q$11</f>
        <v>0</v>
      </c>
    </row>
    <row r="158" spans="1:3" ht="13.5" hidden="1" thickBot="1" x14ac:dyDescent="0.25">
      <c r="B158" s="110">
        <f t="shared" si="0"/>
        <v>2033</v>
      </c>
      <c r="C158" s="135">
        <f>[24]С2.5!$R$11</f>
        <v>0</v>
      </c>
    </row>
    <row r="159" spans="1:3" ht="13.5" hidden="1" thickBot="1" x14ac:dyDescent="0.25">
      <c r="B159" s="110">
        <f t="shared" si="0"/>
        <v>2034</v>
      </c>
      <c r="C159" s="135">
        <f>[24]С2.5!$S$11</f>
        <v>0</v>
      </c>
    </row>
    <row r="160" spans="1:3" ht="13.5" hidden="1" thickBot="1" x14ac:dyDescent="0.25">
      <c r="B160" s="110">
        <f t="shared" si="0"/>
        <v>2035</v>
      </c>
      <c r="C160" s="135">
        <f>[24]С2.5!$T$11</f>
        <v>0</v>
      </c>
    </row>
    <row r="161" spans="2:3" ht="13.5" hidden="1" thickBot="1" x14ac:dyDescent="0.25">
      <c r="B161" s="110">
        <f t="shared" si="0"/>
        <v>2036</v>
      </c>
      <c r="C161" s="135">
        <f>[24]С2.5!$U$11</f>
        <v>0</v>
      </c>
    </row>
    <row r="162" spans="2:3" ht="13.5" hidden="1" thickBot="1" x14ac:dyDescent="0.25">
      <c r="B162" s="110">
        <f t="shared" si="0"/>
        <v>2037</v>
      </c>
      <c r="C162" s="135">
        <f>[24]С2.5!$V$11</f>
        <v>0</v>
      </c>
    </row>
    <row r="163" spans="2:3" ht="13.5" hidden="1" thickBot="1" x14ac:dyDescent="0.25">
      <c r="B163" s="110">
        <f t="shared" si="0"/>
        <v>2038</v>
      </c>
      <c r="C163" s="135">
        <f>[24]С2.5!$W$11</f>
        <v>0</v>
      </c>
    </row>
    <row r="164" spans="2:3" ht="13.5" hidden="1" thickBot="1" x14ac:dyDescent="0.25">
      <c r="B164" s="110">
        <f t="shared" si="0"/>
        <v>2039</v>
      </c>
      <c r="C164" s="135">
        <f>[24]С2.5!$X$11</f>
        <v>0</v>
      </c>
    </row>
    <row r="165" spans="2:3" ht="13.5" hidden="1" thickBot="1" x14ac:dyDescent="0.25">
      <c r="B165" s="110">
        <f t="shared" si="0"/>
        <v>2040</v>
      </c>
      <c r="C165" s="135">
        <f>[24]С2.5!$Y$11</f>
        <v>0</v>
      </c>
    </row>
    <row r="166" spans="2:3" ht="13.5" hidden="1" thickBot="1" x14ac:dyDescent="0.25">
      <c r="B166" s="110">
        <f t="shared" si="0"/>
        <v>2041</v>
      </c>
      <c r="C166" s="135">
        <f>[24]С2.5!$Z$11</f>
        <v>0</v>
      </c>
    </row>
    <row r="167" spans="2:3" ht="13.5" hidden="1" thickBot="1" x14ac:dyDescent="0.25">
      <c r="B167" s="110">
        <f t="shared" si="0"/>
        <v>2042</v>
      </c>
      <c r="C167" s="135">
        <f>[24]С2.5!$AA$11</f>
        <v>0</v>
      </c>
    </row>
    <row r="168" spans="2:3" ht="13.5" hidden="1" thickBot="1" x14ac:dyDescent="0.25">
      <c r="B168" s="110">
        <f t="shared" si="0"/>
        <v>2043</v>
      </c>
      <c r="C168" s="135">
        <f>[24]С2.5!$AB$11</f>
        <v>0</v>
      </c>
    </row>
    <row r="169" spans="2:3" ht="13.5" hidden="1" thickBot="1" x14ac:dyDescent="0.25">
      <c r="B169" s="110">
        <f t="shared" si="0"/>
        <v>2044</v>
      </c>
      <c r="C169" s="135">
        <f>[24]С2.5!$AC$11</f>
        <v>0</v>
      </c>
    </row>
    <row r="170" spans="2:3" ht="13.5" hidden="1" thickBot="1" x14ac:dyDescent="0.25">
      <c r="B170" s="110">
        <f t="shared" si="0"/>
        <v>2045</v>
      </c>
      <c r="C170" s="135">
        <f>[24]С2.5!$AD$11</f>
        <v>0</v>
      </c>
    </row>
    <row r="171" spans="2:3" ht="13.5" hidden="1" thickBot="1" x14ac:dyDescent="0.25">
      <c r="B171" s="110">
        <f t="shared" si="0"/>
        <v>2046</v>
      </c>
      <c r="C171" s="135">
        <f>[24]С2.5!$AE$11</f>
        <v>0</v>
      </c>
    </row>
    <row r="172" spans="2:3" ht="13.5" hidden="1" thickBot="1" x14ac:dyDescent="0.25">
      <c r="B172" s="110">
        <f t="shared" si="0"/>
        <v>2047</v>
      </c>
      <c r="C172" s="135">
        <f>[24]С2.5!$AF$11</f>
        <v>0</v>
      </c>
    </row>
    <row r="173" spans="2:3" ht="13.5" hidden="1" thickBot="1" x14ac:dyDescent="0.25">
      <c r="B173" s="110">
        <f t="shared" si="0"/>
        <v>2048</v>
      </c>
      <c r="C173" s="135">
        <f>[24]С2.5!$AG$11</f>
        <v>0</v>
      </c>
    </row>
    <row r="174" spans="2:3" ht="13.5" hidden="1" thickBot="1" x14ac:dyDescent="0.25">
      <c r="B174" s="110">
        <f t="shared" si="0"/>
        <v>2049</v>
      </c>
      <c r="C174" s="135">
        <f>[24]С2.5!$AH$11</f>
        <v>0</v>
      </c>
    </row>
    <row r="175" spans="2:3" ht="13.5" hidden="1" thickBot="1" x14ac:dyDescent="0.25">
      <c r="B175" s="110">
        <f t="shared" si="0"/>
        <v>2050</v>
      </c>
      <c r="C175" s="135">
        <f>[24]С2.5!$AI$11</f>
        <v>0</v>
      </c>
    </row>
    <row r="176" spans="2:3" ht="13.5" hidden="1" thickBot="1" x14ac:dyDescent="0.25">
      <c r="B176" s="110">
        <f t="shared" si="0"/>
        <v>2051</v>
      </c>
      <c r="C176" s="135">
        <f>[24]С2.5!$AJ$11</f>
        <v>0</v>
      </c>
    </row>
    <row r="177" spans="2:3" ht="13.5" hidden="1" thickBot="1" x14ac:dyDescent="0.25">
      <c r="B177" s="110">
        <f t="shared" si="0"/>
        <v>2052</v>
      </c>
      <c r="C177" s="135">
        <f>[24]С2.5!$AK$11</f>
        <v>0</v>
      </c>
    </row>
    <row r="178" spans="2:3" ht="13.5" hidden="1" thickBot="1" x14ac:dyDescent="0.25">
      <c r="B178" s="110">
        <f t="shared" si="0"/>
        <v>2053</v>
      </c>
      <c r="C178" s="135">
        <f>[24]С2.5!$AL$11</f>
        <v>0</v>
      </c>
    </row>
    <row r="179" spans="2:3" ht="13.5" hidden="1" thickBot="1" x14ac:dyDescent="0.25">
      <c r="B179" s="110">
        <f t="shared" si="0"/>
        <v>2054</v>
      </c>
      <c r="C179" s="135">
        <f>[24]С2.5!$AM$11</f>
        <v>0</v>
      </c>
    </row>
    <row r="180" spans="2:3" ht="13.5" hidden="1" thickBot="1" x14ac:dyDescent="0.25">
      <c r="B180" s="110">
        <f t="shared" si="0"/>
        <v>2055</v>
      </c>
      <c r="C180" s="135">
        <f>[24]С2.5!$AN$11</f>
        <v>0</v>
      </c>
    </row>
    <row r="181" spans="2:3" ht="13.5" hidden="1" thickBot="1" x14ac:dyDescent="0.25">
      <c r="B181" s="110">
        <f t="shared" si="0"/>
        <v>2056</v>
      </c>
      <c r="C181" s="135">
        <f>[24]С2.5!$AO$11</f>
        <v>0</v>
      </c>
    </row>
    <row r="182" spans="2:3" ht="13.5" hidden="1" thickBot="1" x14ac:dyDescent="0.25">
      <c r="B182" s="110">
        <f t="shared" si="0"/>
        <v>2057</v>
      </c>
      <c r="C182" s="135">
        <f>[24]С2.5!$AP$11</f>
        <v>0</v>
      </c>
    </row>
    <row r="183" spans="2:3" ht="13.5" hidden="1" thickBot="1" x14ac:dyDescent="0.25">
      <c r="B183" s="110">
        <f t="shared" si="0"/>
        <v>2058</v>
      </c>
      <c r="C183" s="135">
        <f>[24]С2.5!$AQ$11</f>
        <v>0</v>
      </c>
    </row>
    <row r="184" spans="2:3" ht="13.5" hidden="1" thickBot="1" x14ac:dyDescent="0.25">
      <c r="B184" s="110">
        <f t="shared" si="0"/>
        <v>2059</v>
      </c>
      <c r="C184" s="135">
        <f>[24]С2.5!$AR$11</f>
        <v>0</v>
      </c>
    </row>
    <row r="185" spans="2:3" ht="13.5" hidden="1" thickBot="1" x14ac:dyDescent="0.25">
      <c r="B185" s="110">
        <f t="shared" si="0"/>
        <v>2060</v>
      </c>
      <c r="C185" s="135">
        <f>[24]С2.5!$AS$11</f>
        <v>0</v>
      </c>
    </row>
    <row r="186" spans="2:3" ht="13.5" hidden="1" thickBot="1" x14ac:dyDescent="0.25">
      <c r="B186" s="110">
        <f t="shared" si="0"/>
        <v>2061</v>
      </c>
      <c r="C186" s="135">
        <f>[24]С2.5!$AT$11</f>
        <v>0</v>
      </c>
    </row>
    <row r="187" spans="2:3" ht="13.5" hidden="1" thickBot="1" x14ac:dyDescent="0.25">
      <c r="B187" s="110">
        <f t="shared" si="0"/>
        <v>2062</v>
      </c>
      <c r="C187" s="135">
        <f>[24]С2.5!$AU$11</f>
        <v>0</v>
      </c>
    </row>
    <row r="188" spans="2:3" ht="13.5" hidden="1" thickBot="1" x14ac:dyDescent="0.25">
      <c r="B188" s="110">
        <f t="shared" si="0"/>
        <v>2063</v>
      </c>
      <c r="C188" s="135">
        <f>[24]С2.5!$AV$11</f>
        <v>0</v>
      </c>
    </row>
    <row r="189" spans="2:3" ht="13.5" hidden="1" thickBot="1" x14ac:dyDescent="0.25">
      <c r="B189" s="110">
        <f t="shared" si="0"/>
        <v>2064</v>
      </c>
      <c r="C189" s="135">
        <f>[24]С2.5!$AW$11</f>
        <v>0</v>
      </c>
    </row>
    <row r="190" spans="2:3" ht="13.5" hidden="1" thickBot="1" x14ac:dyDescent="0.25">
      <c r="B190" s="110">
        <f t="shared" si="0"/>
        <v>2065</v>
      </c>
      <c r="C190" s="135">
        <f>[24]С2.5!$AX$11</f>
        <v>0</v>
      </c>
    </row>
    <row r="191" spans="2:3" ht="13.5" hidden="1" thickBot="1" x14ac:dyDescent="0.25">
      <c r="B191" s="110">
        <f t="shared" si="0"/>
        <v>2066</v>
      </c>
      <c r="C191" s="135">
        <f>[24]С2.5!$AY$11</f>
        <v>0</v>
      </c>
    </row>
    <row r="192" spans="2:3" ht="13.5" hidden="1" thickBot="1" x14ac:dyDescent="0.25">
      <c r="B192" s="110">
        <f t="shared" si="0"/>
        <v>2067</v>
      </c>
      <c r="C192" s="135">
        <f>[24]С2.5!$AZ$11</f>
        <v>0</v>
      </c>
    </row>
    <row r="193" spans="2:3" ht="13.5" hidden="1" thickBot="1" x14ac:dyDescent="0.25">
      <c r="B193" s="110">
        <f t="shared" si="0"/>
        <v>2068</v>
      </c>
      <c r="C193" s="135">
        <f>[24]С2.5!$BA$11</f>
        <v>0</v>
      </c>
    </row>
    <row r="194" spans="2:3" ht="13.5" hidden="1" thickBot="1" x14ac:dyDescent="0.25">
      <c r="B194" s="110">
        <f t="shared" si="0"/>
        <v>2069</v>
      </c>
      <c r="C194" s="135">
        <f>[24]С2.5!$BB$11</f>
        <v>0</v>
      </c>
    </row>
    <row r="195" spans="2:3" ht="13.5" hidden="1" thickBot="1" x14ac:dyDescent="0.25">
      <c r="B195" s="110">
        <f t="shared" si="0"/>
        <v>2070</v>
      </c>
      <c r="C195" s="135">
        <f>[24]С2.5!$BC$11</f>
        <v>0</v>
      </c>
    </row>
    <row r="196" spans="2:3" ht="13.5" hidden="1" thickBot="1" x14ac:dyDescent="0.25">
      <c r="B196" s="110">
        <f t="shared" si="0"/>
        <v>2071</v>
      </c>
      <c r="C196" s="135">
        <f>[24]С2.5!$BD$11</f>
        <v>0</v>
      </c>
    </row>
    <row r="197" spans="2:3" ht="13.5" hidden="1" thickBot="1" x14ac:dyDescent="0.25">
      <c r="B197" s="110">
        <f t="shared" si="0"/>
        <v>2072</v>
      </c>
      <c r="C197" s="135">
        <f>[24]С2.5!$BE$11</f>
        <v>0</v>
      </c>
    </row>
    <row r="198" spans="2:3" ht="13.5" hidden="1" thickBot="1" x14ac:dyDescent="0.25">
      <c r="B198" s="110">
        <f t="shared" si="0"/>
        <v>2073</v>
      </c>
      <c r="C198" s="135">
        <f>[24]С2.5!$BF$11</f>
        <v>0</v>
      </c>
    </row>
    <row r="199" spans="2:3" ht="13.5" hidden="1" thickBot="1" x14ac:dyDescent="0.25">
      <c r="B199" s="110">
        <f t="shared" si="0"/>
        <v>2074</v>
      </c>
      <c r="C199" s="135">
        <f>[24]С2.5!$BG$11</f>
        <v>0</v>
      </c>
    </row>
    <row r="200" spans="2:3" ht="13.5" hidden="1" thickBot="1" x14ac:dyDescent="0.25">
      <c r="B200" s="110">
        <f t="shared" si="0"/>
        <v>2075</v>
      </c>
      <c r="C200" s="135">
        <f>[24]С2.5!$BH$11</f>
        <v>0</v>
      </c>
    </row>
    <row r="201" spans="2:3" ht="13.5" hidden="1" thickBot="1" x14ac:dyDescent="0.25">
      <c r="B201" s="110">
        <f t="shared" si="0"/>
        <v>2076</v>
      </c>
      <c r="C201" s="135">
        <f>[24]С2.5!$BI$11</f>
        <v>0</v>
      </c>
    </row>
    <row r="202" spans="2:3" ht="13.5" hidden="1" thickBot="1" x14ac:dyDescent="0.25">
      <c r="B202" s="110">
        <f t="shared" si="0"/>
        <v>2077</v>
      </c>
      <c r="C202" s="135">
        <f>[24]С2.5!$BJ$11</f>
        <v>0</v>
      </c>
    </row>
    <row r="203" spans="2:3" ht="13.5" hidden="1" thickBot="1" x14ac:dyDescent="0.25">
      <c r="B203" s="110">
        <f t="shared" si="0"/>
        <v>2078</v>
      </c>
      <c r="C203" s="135">
        <f>[24]С2.5!$BK$11</f>
        <v>0</v>
      </c>
    </row>
    <row r="204" spans="2:3" ht="13.5" hidden="1" thickBot="1" x14ac:dyDescent="0.25">
      <c r="B204" s="110">
        <f t="shared" si="0"/>
        <v>2079</v>
      </c>
      <c r="C204" s="135">
        <f>[24]С2.5!$BL$11</f>
        <v>0</v>
      </c>
    </row>
    <row r="205" spans="2:3" ht="13.5" hidden="1" thickBot="1" x14ac:dyDescent="0.25">
      <c r="B205" s="110">
        <f t="shared" si="0"/>
        <v>2080</v>
      </c>
      <c r="C205" s="135">
        <f>[24]С2.5!$BM$11</f>
        <v>0</v>
      </c>
    </row>
    <row r="206" spans="2:3" ht="13.5" hidden="1" thickBot="1" x14ac:dyDescent="0.25">
      <c r="B206" s="110">
        <f t="shared" si="0"/>
        <v>2081</v>
      </c>
      <c r="C206" s="135">
        <f>[24]С2.5!$BN$11</f>
        <v>0</v>
      </c>
    </row>
    <row r="207" spans="2:3" ht="13.5" hidden="1" thickBot="1" x14ac:dyDescent="0.25">
      <c r="B207" s="110">
        <f t="shared" si="0"/>
        <v>2082</v>
      </c>
      <c r="C207" s="135">
        <f>[24]С2.5!$BO$11</f>
        <v>0</v>
      </c>
    </row>
    <row r="208" spans="2:3" ht="13.5" hidden="1" thickBot="1" x14ac:dyDescent="0.25">
      <c r="B208" s="110">
        <f t="shared" si="0"/>
        <v>2083</v>
      </c>
      <c r="C208" s="135">
        <f>[24]С2.5!$BP$11</f>
        <v>0</v>
      </c>
    </row>
    <row r="209" spans="2:3" ht="13.5" hidden="1" thickBot="1" x14ac:dyDescent="0.25">
      <c r="B209" s="110">
        <f t="shared" si="0"/>
        <v>2084</v>
      </c>
      <c r="C209" s="135">
        <f>[24]С2.5!$BQ$11</f>
        <v>0</v>
      </c>
    </row>
    <row r="210" spans="2:3" ht="13.5" hidden="1" thickBot="1" x14ac:dyDescent="0.25">
      <c r="B210" s="110">
        <f t="shared" si="0"/>
        <v>2085</v>
      </c>
      <c r="C210" s="135">
        <f>[24]С2.5!$BR$11</f>
        <v>0</v>
      </c>
    </row>
    <row r="211" spans="2:3" ht="13.5" hidden="1" thickBot="1" x14ac:dyDescent="0.25">
      <c r="B211" s="110">
        <f t="shared" ref="B211:B224" si="1">B210+1</f>
        <v>2086</v>
      </c>
      <c r="C211" s="135">
        <f>[24]С2.5!$BS$11</f>
        <v>0</v>
      </c>
    </row>
    <row r="212" spans="2:3" ht="13.5" hidden="1" thickBot="1" x14ac:dyDescent="0.25">
      <c r="B212" s="110">
        <f t="shared" si="1"/>
        <v>2087</v>
      </c>
      <c r="C212" s="135">
        <f>[24]С2.5!$BT$11</f>
        <v>0</v>
      </c>
    </row>
    <row r="213" spans="2:3" ht="13.5" hidden="1" thickBot="1" x14ac:dyDescent="0.25">
      <c r="B213" s="110">
        <f t="shared" si="1"/>
        <v>2088</v>
      </c>
      <c r="C213" s="135">
        <f>[24]С2.5!$BU$11</f>
        <v>0</v>
      </c>
    </row>
    <row r="214" spans="2:3" ht="13.5" hidden="1" thickBot="1" x14ac:dyDescent="0.25">
      <c r="B214" s="110">
        <f t="shared" si="1"/>
        <v>2089</v>
      </c>
      <c r="C214" s="135">
        <f>[24]С2.5!$BV$11</f>
        <v>0</v>
      </c>
    </row>
    <row r="215" spans="2:3" ht="13.5" hidden="1" thickBot="1" x14ac:dyDescent="0.25">
      <c r="B215" s="110">
        <f t="shared" si="1"/>
        <v>2090</v>
      </c>
      <c r="C215" s="135">
        <f>[24]С2.5!$BW$11</f>
        <v>0</v>
      </c>
    </row>
    <row r="216" spans="2:3" ht="13.5" hidden="1" thickBot="1" x14ac:dyDescent="0.25">
      <c r="B216" s="110">
        <f t="shared" si="1"/>
        <v>2091</v>
      </c>
      <c r="C216" s="135">
        <f>[24]С2.5!$BX$11</f>
        <v>0</v>
      </c>
    </row>
    <row r="217" spans="2:3" ht="13.5" hidden="1" thickBot="1" x14ac:dyDescent="0.25">
      <c r="B217" s="110">
        <f t="shared" si="1"/>
        <v>2092</v>
      </c>
      <c r="C217" s="135">
        <f>[24]С2.5!$BY$11</f>
        <v>0</v>
      </c>
    </row>
    <row r="218" spans="2:3" ht="13.5" hidden="1" thickBot="1" x14ac:dyDescent="0.25">
      <c r="B218" s="110">
        <f t="shared" si="1"/>
        <v>2093</v>
      </c>
      <c r="C218" s="135">
        <f>[24]С2.5!$BZ$11</f>
        <v>0</v>
      </c>
    </row>
    <row r="219" spans="2:3" ht="13.5" hidden="1" thickBot="1" x14ac:dyDescent="0.25">
      <c r="B219" s="110">
        <f t="shared" si="1"/>
        <v>2094</v>
      </c>
      <c r="C219" s="135">
        <f>[24]С2.5!$CA$11</f>
        <v>0</v>
      </c>
    </row>
    <row r="220" spans="2:3" ht="13.5" hidden="1" thickBot="1" x14ac:dyDescent="0.25">
      <c r="B220" s="110">
        <f t="shared" si="1"/>
        <v>2095</v>
      </c>
      <c r="C220" s="135">
        <f>[24]С2.5!$CB$11</f>
        <v>0</v>
      </c>
    </row>
    <row r="221" spans="2:3" ht="13.5" hidden="1" thickBot="1" x14ac:dyDescent="0.25">
      <c r="B221" s="110">
        <f t="shared" si="1"/>
        <v>2096</v>
      </c>
      <c r="C221" s="135">
        <f>[24]С2.5!$CC$11</f>
        <v>0</v>
      </c>
    </row>
    <row r="222" spans="2:3" ht="13.5" hidden="1" thickBot="1" x14ac:dyDescent="0.25">
      <c r="B222" s="110">
        <f t="shared" si="1"/>
        <v>2097</v>
      </c>
      <c r="C222" s="135">
        <f>[24]С2.5!$CD$11</f>
        <v>0</v>
      </c>
    </row>
    <row r="223" spans="2:3" ht="13.5" hidden="1" thickBot="1" x14ac:dyDescent="0.25">
      <c r="B223" s="110">
        <f t="shared" si="1"/>
        <v>2098</v>
      </c>
      <c r="C223" s="135">
        <f>[24]С2.5!$CE$11</f>
        <v>0</v>
      </c>
    </row>
    <row r="224" spans="2:3" ht="13.5" hidden="1" thickBot="1" x14ac:dyDescent="0.25">
      <c r="B224" s="110">
        <f t="shared" si="1"/>
        <v>2099</v>
      </c>
      <c r="C224" s="135">
        <f>[24]С2.5!$CF$11</f>
        <v>0</v>
      </c>
    </row>
    <row r="225" spans="2:3" ht="13.5" hidden="1" thickBot="1" x14ac:dyDescent="0.25">
      <c r="B225" s="112">
        <f>B162+1</f>
        <v>2038</v>
      </c>
      <c r="C225" s="136" t="e">
        <f>[24]С2.5!#REF!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4" sqref="B4"/>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[34]И1!D13</f>
        <v>Субъект Российской Федерации</v>
      </c>
      <c r="C4" s="10" t="str">
        <f>[34]И1!E13</f>
        <v>Новосибирская область</v>
      </c>
    </row>
    <row r="5" spans="1:3" ht="46.9" customHeight="1" x14ac:dyDescent="0.2">
      <c r="A5" s="8"/>
      <c r="B5" s="9" t="str">
        <f>[34]И1!D14</f>
        <v>Тип муниципального образования (выберите из списка)</v>
      </c>
      <c r="C5" s="10" t="str">
        <f>[34]И1!E14</f>
        <v>деревня Гилево, Искитимский муниципальный район</v>
      </c>
    </row>
    <row r="6" spans="1:3" ht="38.25" x14ac:dyDescent="0.2">
      <c r="A6" s="8"/>
      <c r="B6" s="9" t="str">
        <f>IF([34]И1!E15="","",[34]И1!D15)</f>
        <v/>
      </c>
      <c r="C6" s="10" t="str">
        <f>IF([34]И1!E15="","",[34]И1!E15)</f>
        <v>деревня Гилево, Искитимский муниципальный район</v>
      </c>
    </row>
    <row r="7" spans="1:3" x14ac:dyDescent="0.2">
      <c r="A7" s="8"/>
      <c r="B7" s="9" t="str">
        <f>[34]И1!D16</f>
        <v>Код ОКТМО</v>
      </c>
      <c r="C7" s="11" t="str">
        <f>[34]И1!E16</f>
        <v xml:space="preserve"> (50615407106)</v>
      </c>
    </row>
    <row r="8" spans="1:3" x14ac:dyDescent="0.2">
      <c r="A8" s="8"/>
      <c r="B8" s="12" t="str">
        <f>[34]И1!D17</f>
        <v>Система теплоснабжения</v>
      </c>
      <c r="C8" s="13">
        <f>[34]И1!E17</f>
        <v>0</v>
      </c>
    </row>
    <row r="9" spans="1:3" x14ac:dyDescent="0.2">
      <c r="A9" s="8"/>
      <c r="B9" s="9" t="str">
        <f>[34]И1!D8</f>
        <v>Период регулирования (i)-й</v>
      </c>
      <c r="C9" s="14">
        <f>[34]И1!E8</f>
        <v>2025</v>
      </c>
    </row>
    <row r="10" spans="1:3" x14ac:dyDescent="0.2">
      <c r="A10" s="8"/>
      <c r="B10" s="9" t="str">
        <f>[34]И1!D9</f>
        <v>Период регулирования (i-1)-й</v>
      </c>
      <c r="C10" s="14">
        <f>[34]И1!E9</f>
        <v>2024</v>
      </c>
    </row>
    <row r="11" spans="1:3" x14ac:dyDescent="0.2">
      <c r="A11" s="8"/>
      <c r="B11" s="9" t="str">
        <f>[34]И1!D10</f>
        <v>Период регулирования (i-2)-й</v>
      </c>
      <c r="C11" s="14">
        <f>[34]И1!E10</f>
        <v>2023</v>
      </c>
    </row>
    <row r="12" spans="1:3" x14ac:dyDescent="0.2">
      <c r="A12" s="8"/>
      <c r="B12" s="9" t="str">
        <f>[34]И1!D11</f>
        <v>Базовый год (б)</v>
      </c>
      <c r="C12" s="14">
        <f>[34]И1!E11</f>
        <v>2019</v>
      </c>
    </row>
    <row r="13" spans="1:3" ht="38.25" x14ac:dyDescent="0.2">
      <c r="A13" s="8"/>
      <c r="B13" s="9" t="str">
        <f>[34]И1!D18</f>
        <v>Вид топлива, использование которого преобладает в системе теплоснабжения</v>
      </c>
      <c r="C13" s="15" t="str">
        <f>[34]С1.1!E13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5568.3532747605495</v>
      </c>
    </row>
    <row r="18" spans="1:3" ht="42.75" x14ac:dyDescent="0.2">
      <c r="A18" s="22" t="s">
        <v>8</v>
      </c>
      <c r="B18" s="25" t="s">
        <v>9</v>
      </c>
      <c r="C18" s="26">
        <f>[34]С1!F12</f>
        <v>958.24669124268542</v>
      </c>
    </row>
    <row r="19" spans="1:3" ht="42.75" x14ac:dyDescent="0.2">
      <c r="A19" s="22" t="s">
        <v>10</v>
      </c>
      <c r="B19" s="25" t="s">
        <v>11</v>
      </c>
      <c r="C19" s="26">
        <f>[34]С2!F12</f>
        <v>3063.2235383547568</v>
      </c>
    </row>
    <row r="20" spans="1:3" ht="30" x14ac:dyDescent="0.2">
      <c r="A20" s="22" t="s">
        <v>12</v>
      </c>
      <c r="B20" s="25" t="s">
        <v>13</v>
      </c>
      <c r="C20" s="26">
        <f>[34]С3!F12</f>
        <v>917.89815316767874</v>
      </c>
    </row>
    <row r="21" spans="1:3" ht="42.75" x14ac:dyDescent="0.2">
      <c r="A21" s="22" t="s">
        <v>14</v>
      </c>
      <c r="B21" s="25" t="s">
        <v>15</v>
      </c>
      <c r="C21" s="26">
        <f>[34]С4!F12</f>
        <v>519.80149445110419</v>
      </c>
    </row>
    <row r="22" spans="1:3" ht="30" x14ac:dyDescent="0.2">
      <c r="A22" s="22" t="s">
        <v>16</v>
      </c>
      <c r="B22" s="25" t="s">
        <v>17</v>
      </c>
      <c r="C22" s="26">
        <f>[34]С5!F12</f>
        <v>109.18339754432451</v>
      </c>
    </row>
    <row r="23" spans="1:3" ht="43.5" thickBot="1" x14ac:dyDescent="0.25">
      <c r="A23" s="27" t="s">
        <v>18</v>
      </c>
      <c r="B23" s="140" t="s">
        <v>19</v>
      </c>
      <c r="C23" s="28" t="str">
        <f>[34]С6!F12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[34]С1.1!E16</f>
        <v>5100</v>
      </c>
    </row>
    <row r="29" spans="1:3" ht="42.75" x14ac:dyDescent="0.2">
      <c r="A29" s="22" t="s">
        <v>10</v>
      </c>
      <c r="B29" s="33" t="s">
        <v>22</v>
      </c>
      <c r="C29" s="34">
        <f>[34]С1.1!E27</f>
        <v>3456.64</v>
      </c>
    </row>
    <row r="30" spans="1:3" ht="17.25" x14ac:dyDescent="0.2">
      <c r="A30" s="22" t="s">
        <v>12</v>
      </c>
      <c r="B30" s="33" t="s">
        <v>23</v>
      </c>
      <c r="C30" s="35">
        <f>[34]С1.1!E19</f>
        <v>1.4E-2</v>
      </c>
    </row>
    <row r="31" spans="1:3" ht="17.25" x14ac:dyDescent="0.2">
      <c r="A31" s="22" t="s">
        <v>14</v>
      </c>
      <c r="B31" s="33" t="s">
        <v>24</v>
      </c>
      <c r="C31" s="35">
        <f>[34]С1.1!E20</f>
        <v>0.04</v>
      </c>
    </row>
    <row r="32" spans="1:3" ht="30" x14ac:dyDescent="0.2">
      <c r="A32" s="22" t="s">
        <v>16</v>
      </c>
      <c r="B32" s="36" t="s">
        <v>25</v>
      </c>
      <c r="C32" s="37">
        <f>[34]С1!F13</f>
        <v>176.4</v>
      </c>
    </row>
    <row r="33" spans="1:3" x14ac:dyDescent="0.2">
      <c r="A33" s="22" t="s">
        <v>18</v>
      </c>
      <c r="B33" s="36" t="s">
        <v>26</v>
      </c>
      <c r="C33" s="38">
        <f>[34]С1!F16</f>
        <v>7000</v>
      </c>
    </row>
    <row r="34" spans="1:3" ht="14.25" x14ac:dyDescent="0.2">
      <c r="A34" s="22" t="s">
        <v>27</v>
      </c>
      <c r="B34" s="39" t="s">
        <v>28</v>
      </c>
      <c r="C34" s="40">
        <f>[34]С1!F17</f>
        <v>0.72857142857142854</v>
      </c>
    </row>
    <row r="35" spans="1:3" ht="15.75" x14ac:dyDescent="0.2">
      <c r="A35" s="41" t="s">
        <v>29</v>
      </c>
      <c r="B35" s="42" t="s">
        <v>30</v>
      </c>
      <c r="C35" s="40">
        <f>[34]С1!F20</f>
        <v>21.588411179999994</v>
      </c>
    </row>
    <row r="36" spans="1:3" ht="15.75" x14ac:dyDescent="0.2">
      <c r="A36" s="41" t="s">
        <v>31</v>
      </c>
      <c r="B36" s="43" t="s">
        <v>32</v>
      </c>
      <c r="C36" s="40">
        <f>[34]С1!F21</f>
        <v>20.818139999999996</v>
      </c>
    </row>
    <row r="37" spans="1:3" ht="14.25" x14ac:dyDescent="0.2">
      <c r="A37" s="41" t="s">
        <v>33</v>
      </c>
      <c r="B37" s="44" t="s">
        <v>34</v>
      </c>
      <c r="C37" s="40">
        <f>[34]С1!F22</f>
        <v>1.0369999999999999</v>
      </c>
    </row>
    <row r="38" spans="1:3" ht="53.25" thickBot="1" x14ac:dyDescent="0.25">
      <c r="A38" s="27" t="s">
        <v>35</v>
      </c>
      <c r="B38" s="45" t="s">
        <v>36</v>
      </c>
      <c r="C38" s="46">
        <f>[34]С1!F23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[34]С2.1!E12</f>
        <v>V</v>
      </c>
    </row>
    <row r="42" spans="1:3" ht="25.5" x14ac:dyDescent="0.2">
      <c r="A42" s="22" t="s">
        <v>41</v>
      </c>
      <c r="B42" s="33" t="s">
        <v>42</v>
      </c>
      <c r="C42" s="51" t="str">
        <f>[34]С2.1!E13</f>
        <v>6 и менее баллов</v>
      </c>
    </row>
    <row r="43" spans="1:3" ht="25.5" x14ac:dyDescent="0.2">
      <c r="A43" s="22" t="s">
        <v>43</v>
      </c>
      <c r="B43" s="33" t="s">
        <v>44</v>
      </c>
      <c r="C43" s="51" t="str">
        <f>[34]С2.1!E14</f>
        <v>от 200 до 500</v>
      </c>
    </row>
    <row r="44" spans="1:3" ht="25.5" x14ac:dyDescent="0.2">
      <c r="A44" s="22" t="s">
        <v>45</v>
      </c>
      <c r="B44" s="33" t="s">
        <v>46</v>
      </c>
      <c r="C44" s="52" t="str">
        <f>[34]С2.1!E15</f>
        <v>нет</v>
      </c>
    </row>
    <row r="45" spans="1:3" ht="30" x14ac:dyDescent="0.2">
      <c r="A45" s="22" t="s">
        <v>47</v>
      </c>
      <c r="B45" s="33" t="s">
        <v>48</v>
      </c>
      <c r="C45" s="34">
        <f>[34]С2!F18</f>
        <v>38910.02669467502</v>
      </c>
    </row>
    <row r="46" spans="1:3" ht="30" x14ac:dyDescent="0.2">
      <c r="A46" s="22" t="s">
        <v>49</v>
      </c>
      <c r="B46" s="53" t="s">
        <v>50</v>
      </c>
      <c r="C46" s="34">
        <f>IF([34]С2!F19&gt;0,[34]С2!F19,[34]С2!F20)</f>
        <v>23441.524932855718</v>
      </c>
    </row>
    <row r="47" spans="1:3" ht="25.5" x14ac:dyDescent="0.2">
      <c r="A47" s="22" t="s">
        <v>51</v>
      </c>
      <c r="B47" s="54" t="s">
        <v>52</v>
      </c>
      <c r="C47" s="34">
        <f>[34]С2.1!E19</f>
        <v>-38</v>
      </c>
    </row>
    <row r="48" spans="1:3" ht="25.5" x14ac:dyDescent="0.2">
      <c r="A48" s="22" t="s">
        <v>53</v>
      </c>
      <c r="B48" s="54" t="s">
        <v>54</v>
      </c>
      <c r="C48" s="34" t="str">
        <f>[34]С2.1!E22</f>
        <v>нет</v>
      </c>
    </row>
    <row r="49" spans="1:3" ht="38.25" x14ac:dyDescent="0.2">
      <c r="A49" s="22" t="s">
        <v>55</v>
      </c>
      <c r="B49" s="55" t="s">
        <v>56</v>
      </c>
      <c r="C49" s="34">
        <f>[34]С2.2!E10</f>
        <v>1287</v>
      </c>
    </row>
    <row r="50" spans="1:3" ht="25.5" x14ac:dyDescent="0.2">
      <c r="A50" s="22" t="s">
        <v>57</v>
      </c>
      <c r="B50" s="56" t="s">
        <v>58</v>
      </c>
      <c r="C50" s="34">
        <f>[34]С2.2!E12</f>
        <v>5.97</v>
      </c>
    </row>
    <row r="51" spans="1:3" ht="52.5" x14ac:dyDescent="0.2">
      <c r="A51" s="22" t="s">
        <v>59</v>
      </c>
      <c r="B51" s="57" t="s">
        <v>60</v>
      </c>
      <c r="C51" s="34">
        <f>[34]С2.2!E13</f>
        <v>1</v>
      </c>
    </row>
    <row r="52" spans="1:3" ht="27.75" x14ac:dyDescent="0.2">
      <c r="A52" s="22" t="s">
        <v>61</v>
      </c>
      <c r="B52" s="56" t="s">
        <v>62</v>
      </c>
      <c r="C52" s="34">
        <f>[34]С2.2!E14</f>
        <v>12104</v>
      </c>
    </row>
    <row r="53" spans="1:3" ht="25.5" x14ac:dyDescent="0.2">
      <c r="A53" s="22" t="s">
        <v>63</v>
      </c>
      <c r="B53" s="57" t="s">
        <v>64</v>
      </c>
      <c r="C53" s="35">
        <f>[34]С2.2!E15</f>
        <v>4.8000000000000001E-2</v>
      </c>
    </row>
    <row r="54" spans="1:3" x14ac:dyDescent="0.2">
      <c r="A54" s="22" t="s">
        <v>65</v>
      </c>
      <c r="B54" s="57" t="s">
        <v>66</v>
      </c>
      <c r="C54" s="34">
        <f>[34]С2.2!E16</f>
        <v>1</v>
      </c>
    </row>
    <row r="55" spans="1:3" ht="15.75" x14ac:dyDescent="0.2">
      <c r="A55" s="22" t="s">
        <v>67</v>
      </c>
      <c r="B55" s="58" t="s">
        <v>68</v>
      </c>
      <c r="C55" s="34">
        <f>[34]С2!F21</f>
        <v>1</v>
      </c>
    </row>
    <row r="56" spans="1:3" ht="30" x14ac:dyDescent="0.2">
      <c r="A56" s="59" t="s">
        <v>69</v>
      </c>
      <c r="B56" s="33" t="s">
        <v>70</v>
      </c>
      <c r="C56" s="34">
        <f>[34]С2!F13</f>
        <v>203708.97017230222</v>
      </c>
    </row>
    <row r="57" spans="1:3" ht="30" x14ac:dyDescent="0.2">
      <c r="A57" s="59" t="s">
        <v>71</v>
      </c>
      <c r="B57" s="58" t="s">
        <v>72</v>
      </c>
      <c r="C57" s="34">
        <f>[34]С2!F14</f>
        <v>113455</v>
      </c>
    </row>
    <row r="58" spans="1:3" ht="15.75" x14ac:dyDescent="0.2">
      <c r="A58" s="59" t="s">
        <v>73</v>
      </c>
      <c r="B58" s="60" t="s">
        <v>74</v>
      </c>
      <c r="C58" s="40">
        <f>[34]С2!F15</f>
        <v>1.071</v>
      </c>
    </row>
    <row r="59" spans="1:3" ht="15.75" x14ac:dyDescent="0.2">
      <c r="A59" s="59" t="s">
        <v>75</v>
      </c>
      <c r="B59" s="60" t="s">
        <v>76</v>
      </c>
      <c r="C59" s="40">
        <f>[34]С2!F16</f>
        <v>1</v>
      </c>
    </row>
    <row r="60" spans="1:3" ht="17.25" x14ac:dyDescent="0.2">
      <c r="A60" s="59" t="s">
        <v>77</v>
      </c>
      <c r="B60" s="58" t="s">
        <v>78</v>
      </c>
      <c r="C60" s="34">
        <f>[34]С2!F17</f>
        <v>1.01</v>
      </c>
    </row>
    <row r="61" spans="1:3" s="63" customFormat="1" ht="14.25" x14ac:dyDescent="0.2">
      <c r="A61" s="59" t="s">
        <v>79</v>
      </c>
      <c r="B61" s="61" t="s">
        <v>80</v>
      </c>
      <c r="C61" s="62">
        <f>[34]С2!F33</f>
        <v>10</v>
      </c>
    </row>
    <row r="62" spans="1:3" ht="30" x14ac:dyDescent="0.2">
      <c r="A62" s="59" t="s">
        <v>81</v>
      </c>
      <c r="B62" s="64" t="s">
        <v>82</v>
      </c>
      <c r="C62" s="34">
        <f>[34]С2!F26</f>
        <v>3082.0508637929142</v>
      </c>
    </row>
    <row r="63" spans="1:3" ht="17.25" x14ac:dyDescent="0.2">
      <c r="A63" s="59" t="s">
        <v>83</v>
      </c>
      <c r="B63" s="53" t="s">
        <v>84</v>
      </c>
      <c r="C63" s="34">
        <f>[34]С2!F27</f>
        <v>0.44209422600000003</v>
      </c>
    </row>
    <row r="64" spans="1:3" ht="17.25" x14ac:dyDescent="0.2">
      <c r="A64" s="59" t="s">
        <v>85</v>
      </c>
      <c r="B64" s="58" t="s">
        <v>86</v>
      </c>
      <c r="C64" s="62">
        <f>[34]С2!F28</f>
        <v>4200</v>
      </c>
    </row>
    <row r="65" spans="1:3" ht="42.75" x14ac:dyDescent="0.2">
      <c r="A65" s="59" t="s">
        <v>87</v>
      </c>
      <c r="B65" s="33" t="s">
        <v>88</v>
      </c>
      <c r="C65" s="34">
        <f>[34]С2!F22</f>
        <v>42890.921752741691</v>
      </c>
    </row>
    <row r="66" spans="1:3" ht="30" x14ac:dyDescent="0.2">
      <c r="A66" s="59" t="s">
        <v>89</v>
      </c>
      <c r="B66" s="60" t="s">
        <v>90</v>
      </c>
      <c r="C66" s="34">
        <f>[34]С2!F23</f>
        <v>1990</v>
      </c>
    </row>
    <row r="67" spans="1:3" ht="30" x14ac:dyDescent="0.2">
      <c r="A67" s="59" t="s">
        <v>91</v>
      </c>
      <c r="B67" s="53" t="s">
        <v>92</v>
      </c>
      <c r="C67" s="34">
        <f>[34]С2.1!E27</f>
        <v>14307.876789999998</v>
      </c>
    </row>
    <row r="68" spans="1:3" ht="38.25" x14ac:dyDescent="0.2">
      <c r="A68" s="59" t="s">
        <v>93</v>
      </c>
      <c r="B68" s="65" t="s">
        <v>94</v>
      </c>
      <c r="C68" s="52">
        <f>[34]С2.3!E21</f>
        <v>0</v>
      </c>
    </row>
    <row r="69" spans="1:3" ht="25.5" x14ac:dyDescent="0.2">
      <c r="A69" s="59" t="s">
        <v>95</v>
      </c>
      <c r="B69" s="66" t="s">
        <v>96</v>
      </c>
      <c r="C69" s="67">
        <f>[34]С2.3!E11</f>
        <v>9.89</v>
      </c>
    </row>
    <row r="70" spans="1:3" ht="25.5" x14ac:dyDescent="0.2">
      <c r="A70" s="59" t="s">
        <v>97</v>
      </c>
      <c r="B70" s="66" t="s">
        <v>98</v>
      </c>
      <c r="C70" s="62">
        <f>[34]С2.3!E13</f>
        <v>300</v>
      </c>
    </row>
    <row r="71" spans="1:3" ht="25.5" x14ac:dyDescent="0.2">
      <c r="A71" s="59" t="s">
        <v>99</v>
      </c>
      <c r="B71" s="65" t="s">
        <v>100</v>
      </c>
      <c r="C71" s="68">
        <f>IF([34]С2.3!E22&gt;0,[34]С2.3!E22,[34]С2.3!E14)</f>
        <v>61211</v>
      </c>
    </row>
    <row r="72" spans="1:3" ht="38.25" x14ac:dyDescent="0.2">
      <c r="A72" s="59" t="s">
        <v>101</v>
      </c>
      <c r="B72" s="65" t="s">
        <v>102</v>
      </c>
      <c r="C72" s="68">
        <f>IF([34]С2.3!E23&gt;0,[34]С2.3!E23,[34]С2.3!E15)</f>
        <v>45675</v>
      </c>
    </row>
    <row r="73" spans="1:3" ht="30" x14ac:dyDescent="0.2">
      <c r="A73" s="59" t="s">
        <v>103</v>
      </c>
      <c r="B73" s="53" t="s">
        <v>104</v>
      </c>
      <c r="C73" s="34">
        <f>[34]С2.1!E28</f>
        <v>9541.9567200000001</v>
      </c>
    </row>
    <row r="74" spans="1:3" ht="38.25" x14ac:dyDescent="0.2">
      <c r="A74" s="59" t="s">
        <v>105</v>
      </c>
      <c r="B74" s="65" t="s">
        <v>106</v>
      </c>
      <c r="C74" s="52">
        <f>[34]С2.3!E25</f>
        <v>0</v>
      </c>
    </row>
    <row r="75" spans="1:3" ht="25.5" x14ac:dyDescent="0.2">
      <c r="A75" s="59" t="s">
        <v>107</v>
      </c>
      <c r="B75" s="66" t="s">
        <v>108</v>
      </c>
      <c r="C75" s="67">
        <f>[34]С2.3!E12</f>
        <v>0.56000000000000005</v>
      </c>
    </row>
    <row r="76" spans="1:3" ht="25.5" x14ac:dyDescent="0.2">
      <c r="A76" s="59" t="s">
        <v>109</v>
      </c>
      <c r="B76" s="66" t="s">
        <v>98</v>
      </c>
      <c r="C76" s="62">
        <f>[34]С2.3!E13</f>
        <v>300</v>
      </c>
    </row>
    <row r="77" spans="1:3" ht="25.5" x14ac:dyDescent="0.2">
      <c r="A77" s="59" t="s">
        <v>110</v>
      </c>
      <c r="B77" s="69" t="s">
        <v>111</v>
      </c>
      <c r="C77" s="68">
        <f>IF([34]С2.3!E26&gt;0,[34]С2.3!E26,[34]С2.3!E16)</f>
        <v>65637</v>
      </c>
    </row>
    <row r="78" spans="1:3" ht="38.25" x14ac:dyDescent="0.2">
      <c r="A78" s="59" t="s">
        <v>112</v>
      </c>
      <c r="B78" s="69" t="s">
        <v>113</v>
      </c>
      <c r="C78" s="68">
        <f>IF([34]С2.3!E27&gt;0,[34]С2.3!E27,[34]С2.3!E17)</f>
        <v>31684</v>
      </c>
    </row>
    <row r="79" spans="1:3" ht="17.25" x14ac:dyDescent="0.2">
      <c r="A79" s="59" t="s">
        <v>114</v>
      </c>
      <c r="B79" s="33" t="s">
        <v>115</v>
      </c>
      <c r="C79" s="35">
        <f>[34]С2!F29</f>
        <v>0.17804631770487722</v>
      </c>
    </row>
    <row r="80" spans="1:3" ht="30" x14ac:dyDescent="0.2">
      <c r="A80" s="59" t="s">
        <v>116</v>
      </c>
      <c r="B80" s="53" t="s">
        <v>117</v>
      </c>
      <c r="C80" s="70">
        <f>[34]С2!F30</f>
        <v>0.1652189781021898</v>
      </c>
    </row>
    <row r="81" spans="1:3" ht="17.25" x14ac:dyDescent="0.2">
      <c r="A81" s="59" t="s">
        <v>118</v>
      </c>
      <c r="B81" s="71" t="s">
        <v>119</v>
      </c>
      <c r="C81" s="35">
        <f>[34]С2!F31</f>
        <v>0.13880000000000001</v>
      </c>
    </row>
    <row r="82" spans="1:3" s="63" customFormat="1" ht="18" thickBot="1" x14ac:dyDescent="0.25">
      <c r="A82" s="72" t="s">
        <v>120</v>
      </c>
      <c r="B82" s="73" t="s">
        <v>121</v>
      </c>
      <c r="C82" s="74">
        <f>[34]С2!F32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[34]С3!F14</f>
        <v>14912.207299372252</v>
      </c>
    </row>
    <row r="86" spans="1:3" s="63" customFormat="1" ht="42.75" x14ac:dyDescent="0.2">
      <c r="A86" s="77" t="s">
        <v>126</v>
      </c>
      <c r="B86" s="53" t="s">
        <v>127</v>
      </c>
      <c r="C86" s="78">
        <f>[34]С3!F15</f>
        <v>0.25</v>
      </c>
    </row>
    <row r="87" spans="1:3" s="63" customFormat="1" ht="14.25" x14ac:dyDescent="0.2">
      <c r="A87" s="77" t="s">
        <v>128</v>
      </c>
      <c r="B87" s="79" t="s">
        <v>129</v>
      </c>
      <c r="C87" s="62">
        <f>[34]С3!F18</f>
        <v>15</v>
      </c>
    </row>
    <row r="88" spans="1:3" s="63" customFormat="1" ht="17.25" x14ac:dyDescent="0.2">
      <c r="A88" s="77" t="s">
        <v>130</v>
      </c>
      <c r="B88" s="33" t="s">
        <v>131</v>
      </c>
      <c r="C88" s="34">
        <f>[34]С3!F19</f>
        <v>4187.478806422544</v>
      </c>
    </row>
    <row r="89" spans="1:3" s="63" customFormat="1" ht="55.5" x14ac:dyDescent="0.2">
      <c r="A89" s="77" t="s">
        <v>132</v>
      </c>
      <c r="B89" s="53" t="s">
        <v>133</v>
      </c>
      <c r="C89" s="80">
        <f>[34]С3!F20</f>
        <v>2.1999999999999999E-2</v>
      </c>
    </row>
    <row r="90" spans="1:3" s="63" customFormat="1" ht="14.25" x14ac:dyDescent="0.2">
      <c r="A90" s="77" t="s">
        <v>134</v>
      </c>
      <c r="B90" s="58" t="s">
        <v>80</v>
      </c>
      <c r="C90" s="62">
        <f>[34]С3!F21</f>
        <v>10</v>
      </c>
    </row>
    <row r="91" spans="1:3" s="63" customFormat="1" ht="17.25" x14ac:dyDescent="0.2">
      <c r="A91" s="77" t="s">
        <v>135</v>
      </c>
      <c r="B91" s="33" t="s">
        <v>136</v>
      </c>
      <c r="C91" s="34">
        <f>[34]С3!F22</f>
        <v>9.2461525913787437</v>
      </c>
    </row>
    <row r="92" spans="1:3" s="63" customFormat="1" ht="55.5" x14ac:dyDescent="0.2">
      <c r="A92" s="77" t="s">
        <v>137</v>
      </c>
      <c r="B92" s="53" t="s">
        <v>138</v>
      </c>
      <c r="C92" s="80">
        <f>[34]С3!F23</f>
        <v>3.0000000000000001E-3</v>
      </c>
    </row>
    <row r="93" spans="1:3" s="63" customFormat="1" ht="27.75" thickBot="1" x14ac:dyDescent="0.25">
      <c r="A93" s="81" t="s">
        <v>139</v>
      </c>
      <c r="B93" s="82" t="s">
        <v>140</v>
      </c>
      <c r="C93" s="83">
        <f>[34]С3!F24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[34]С4!F16</f>
        <v>1652.5</v>
      </c>
    </row>
    <row r="97" spans="1:3" ht="30" x14ac:dyDescent="0.2">
      <c r="A97" s="59" t="s">
        <v>145</v>
      </c>
      <c r="B97" s="58" t="s">
        <v>146</v>
      </c>
      <c r="C97" s="34">
        <f>[34]С4!F17</f>
        <v>73547</v>
      </c>
    </row>
    <row r="98" spans="1:3" ht="17.25" x14ac:dyDescent="0.2">
      <c r="A98" s="59" t="s">
        <v>147</v>
      </c>
      <c r="B98" s="58" t="s">
        <v>148</v>
      </c>
      <c r="C98" s="40">
        <f>[34]С4!F18</f>
        <v>0.02</v>
      </c>
    </row>
    <row r="99" spans="1:3" ht="30" x14ac:dyDescent="0.2">
      <c r="A99" s="59" t="s">
        <v>149</v>
      </c>
      <c r="B99" s="58" t="s">
        <v>150</v>
      </c>
      <c r="C99" s="34">
        <f>[34]С4!F19</f>
        <v>12104</v>
      </c>
    </row>
    <row r="100" spans="1:3" ht="31.5" x14ac:dyDescent="0.2">
      <c r="A100" s="59" t="s">
        <v>151</v>
      </c>
      <c r="B100" s="58" t="s">
        <v>152</v>
      </c>
      <c r="C100" s="40">
        <f>[34]С4!F20</f>
        <v>1.4999999999999999E-2</v>
      </c>
    </row>
    <row r="101" spans="1:3" ht="30" x14ac:dyDescent="0.2">
      <c r="A101" s="59" t="s">
        <v>153</v>
      </c>
      <c r="B101" s="33" t="s">
        <v>154</v>
      </c>
      <c r="C101" s="34">
        <f>[34]С4!F21</f>
        <v>1933.1949342509995</v>
      </c>
    </row>
    <row r="102" spans="1:3" ht="24" customHeight="1" x14ac:dyDescent="0.2">
      <c r="A102" s="59" t="s">
        <v>155</v>
      </c>
      <c r="B102" s="53" t="s">
        <v>156</v>
      </c>
      <c r="C102" s="85">
        <f>IF([34]С4.2!F8="да",[34]С4.2!D21,[34]С4.2!D15)</f>
        <v>0</v>
      </c>
    </row>
    <row r="103" spans="1:3" ht="68.25" x14ac:dyDescent="0.2">
      <c r="A103" s="59" t="s">
        <v>157</v>
      </c>
      <c r="B103" s="53" t="s">
        <v>158</v>
      </c>
      <c r="C103" s="34">
        <f>[34]С4!F22</f>
        <v>3.6112641666666665</v>
      </c>
    </row>
    <row r="104" spans="1:3" ht="30" x14ac:dyDescent="0.2">
      <c r="A104" s="59" t="s">
        <v>159</v>
      </c>
      <c r="B104" s="58" t="s">
        <v>160</v>
      </c>
      <c r="C104" s="34">
        <f>[34]С4!F23</f>
        <v>180</v>
      </c>
    </row>
    <row r="105" spans="1:3" ht="14.25" x14ac:dyDescent="0.2">
      <c r="A105" s="59" t="s">
        <v>161</v>
      </c>
      <c r="B105" s="53" t="s">
        <v>162</v>
      </c>
      <c r="C105" s="34">
        <f>[34]С4!F24</f>
        <v>8497.1999999999989</v>
      </c>
    </row>
    <row r="106" spans="1:3" ht="14.25" x14ac:dyDescent="0.2">
      <c r="A106" s="59" t="s">
        <v>163</v>
      </c>
      <c r="B106" s="58" t="s">
        <v>164</v>
      </c>
      <c r="C106" s="40">
        <f>[34]С4!F25</f>
        <v>0.35</v>
      </c>
    </row>
    <row r="107" spans="1:3" ht="17.25" x14ac:dyDescent="0.2">
      <c r="A107" s="59" t="s">
        <v>165</v>
      </c>
      <c r="B107" s="33" t="s">
        <v>166</v>
      </c>
      <c r="C107" s="34">
        <f>[34]С4!F26</f>
        <v>64.771500000000003</v>
      </c>
    </row>
    <row r="108" spans="1:3" ht="25.5" x14ac:dyDescent="0.2">
      <c r="A108" s="59" t="s">
        <v>167</v>
      </c>
      <c r="B108" s="53" t="s">
        <v>94</v>
      </c>
      <c r="C108" s="85">
        <f>[34]С4.3!E16</f>
        <v>0</v>
      </c>
    </row>
    <row r="109" spans="1:3" ht="25.5" x14ac:dyDescent="0.2">
      <c r="A109" s="59" t="s">
        <v>168</v>
      </c>
      <c r="B109" s="53" t="s">
        <v>169</v>
      </c>
      <c r="C109" s="34">
        <f>[34]С4.3!E17</f>
        <v>17.3</v>
      </c>
    </row>
    <row r="110" spans="1:3" ht="38.25" x14ac:dyDescent="0.2">
      <c r="A110" s="59" t="s">
        <v>170</v>
      </c>
      <c r="B110" s="53" t="s">
        <v>106</v>
      </c>
      <c r="C110" s="85">
        <f>[34]С4.3!E18</f>
        <v>0</v>
      </c>
    </row>
    <row r="111" spans="1:3" x14ac:dyDescent="0.2">
      <c r="A111" s="59" t="s">
        <v>171</v>
      </c>
      <c r="B111" s="53" t="s">
        <v>172</v>
      </c>
      <c r="C111" s="34">
        <f>[34]С4.3!E19</f>
        <v>20.100000000000001</v>
      </c>
    </row>
    <row r="112" spans="1:3" x14ac:dyDescent="0.2">
      <c r="A112" s="59" t="s">
        <v>173</v>
      </c>
      <c r="B112" s="58" t="s">
        <v>174</v>
      </c>
      <c r="C112" s="34">
        <f>[34]С4.3!E11</f>
        <v>1871</v>
      </c>
    </row>
    <row r="113" spans="1:3" x14ac:dyDescent="0.2">
      <c r="A113" s="59" t="s">
        <v>175</v>
      </c>
      <c r="B113" s="58" t="s">
        <v>176</v>
      </c>
      <c r="C113" s="52">
        <f>[34]С4.3!E12</f>
        <v>1636</v>
      </c>
    </row>
    <row r="114" spans="1:3" x14ac:dyDescent="0.2">
      <c r="A114" s="59" t="s">
        <v>177</v>
      </c>
      <c r="B114" s="58" t="s">
        <v>178</v>
      </c>
      <c r="C114" s="52">
        <f>[34]С4.3!E13</f>
        <v>204</v>
      </c>
    </row>
    <row r="115" spans="1:3" ht="30" x14ac:dyDescent="0.2">
      <c r="A115" s="59" t="s">
        <v>179</v>
      </c>
      <c r="B115" s="33" t="s">
        <v>180</v>
      </c>
      <c r="C115" s="34">
        <f>[34]С4!F27</f>
        <v>1291.2863994686898</v>
      </c>
    </row>
    <row r="116" spans="1:3" ht="25.5" x14ac:dyDescent="0.2">
      <c r="A116" s="59" t="s">
        <v>181</v>
      </c>
      <c r="B116" s="53" t="s">
        <v>182</v>
      </c>
      <c r="C116" s="34">
        <f>[34]С4!F28</f>
        <v>991.77142816335618</v>
      </c>
    </row>
    <row r="117" spans="1:3" ht="42.75" x14ac:dyDescent="0.2">
      <c r="A117" s="59" t="s">
        <v>183</v>
      </c>
      <c r="B117" s="53" t="s">
        <v>184</v>
      </c>
      <c r="C117" s="34">
        <f>[34]С4!F29</f>
        <v>299.51497130533357</v>
      </c>
    </row>
    <row r="118" spans="1:3" ht="30" x14ac:dyDescent="0.2">
      <c r="A118" s="59" t="s">
        <v>185</v>
      </c>
      <c r="B118" s="39" t="s">
        <v>186</v>
      </c>
      <c r="C118" s="34">
        <f>[34]С4!F30</f>
        <v>2618.6029238028277</v>
      </c>
    </row>
    <row r="119" spans="1:3" ht="42.75" x14ac:dyDescent="0.2">
      <c r="A119" s="59" t="s">
        <v>187</v>
      </c>
      <c r="B119" s="86" t="s">
        <v>188</v>
      </c>
      <c r="C119" s="34">
        <f>[34]С4!F33</f>
        <v>1413.4646450978896</v>
      </c>
    </row>
    <row r="120" spans="1:3" ht="30" x14ac:dyDescent="0.2">
      <c r="A120" s="59" t="s">
        <v>189</v>
      </c>
      <c r="B120" s="87" t="s">
        <v>190</v>
      </c>
      <c r="C120" s="34">
        <f>[34]С4!F35</f>
        <v>17.040680999999999</v>
      </c>
    </row>
    <row r="121" spans="1:3" ht="14.25" x14ac:dyDescent="0.2">
      <c r="A121" s="59" t="s">
        <v>191</v>
      </c>
      <c r="B121" s="56" t="s">
        <v>192</v>
      </c>
      <c r="C121" s="34">
        <f>[34]С4!F36</f>
        <v>14319.9</v>
      </c>
    </row>
    <row r="122" spans="1:3" ht="28.5" thickBot="1" x14ac:dyDescent="0.25">
      <c r="A122" s="72" t="s">
        <v>193</v>
      </c>
      <c r="B122" s="88" t="s">
        <v>194</v>
      </c>
      <c r="C122" s="83">
        <f>[34]С4!F37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[34]С5!F17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[34]С2!F37</f>
        <v>20.818139999999996</v>
      </c>
    </row>
    <row r="136" spans="1:3" ht="14.25" x14ac:dyDescent="0.2">
      <c r="A136" s="59" t="s">
        <v>216</v>
      </c>
      <c r="B136" s="101" t="s">
        <v>217</v>
      </c>
      <c r="C136" s="34">
        <f>[34]С2!F38</f>
        <v>7</v>
      </c>
    </row>
    <row r="137" spans="1:3" ht="17.25" x14ac:dyDescent="0.2">
      <c r="A137" s="59" t="s">
        <v>218</v>
      </c>
      <c r="B137" s="101" t="s">
        <v>219</v>
      </c>
      <c r="C137" s="34">
        <f>[34]С2!F40</f>
        <v>0.97</v>
      </c>
    </row>
    <row r="138" spans="1:3" ht="15" thickBot="1" x14ac:dyDescent="0.25">
      <c r="A138" s="72" t="s">
        <v>220</v>
      </c>
      <c r="B138" s="102" t="s">
        <v>221</v>
      </c>
      <c r="C138" s="46">
        <f>[34]С2!F42</f>
        <v>0.35</v>
      </c>
    </row>
    <row r="139" spans="1:3" s="89" customFormat="1" ht="13.5" thickBot="1" x14ac:dyDescent="0.25">
      <c r="A139" s="47"/>
      <c r="B139" s="75"/>
      <c r="C139" s="15"/>
    </row>
    <row r="140" spans="1:3" ht="30" x14ac:dyDescent="0.2">
      <c r="A140" s="84" t="s">
        <v>222</v>
      </c>
      <c r="B140" s="103" t="s">
        <v>223</v>
      </c>
      <c r="C140" s="104">
        <f>[34]С2!F35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[34]С2.5!$E$11</f>
        <v>-2.9000000000000026E-2</v>
      </c>
    </row>
    <row r="144" spans="1:3" x14ac:dyDescent="0.2">
      <c r="A144" s="105"/>
      <c r="B144" s="110">
        <f>B143+1</f>
        <v>2021</v>
      </c>
      <c r="C144" s="111">
        <f>[34]С2.5!$F$11</f>
        <v>0.245</v>
      </c>
    </row>
    <row r="145" spans="1:3" x14ac:dyDescent="0.2">
      <c r="A145" s="105"/>
      <c r="B145" s="110">
        <f t="shared" ref="B145:B208" si="0">B144+1</f>
        <v>2022</v>
      </c>
      <c r="C145" s="111">
        <f>[34]С2.5!$G$11</f>
        <v>0.114</v>
      </c>
    </row>
    <row r="146" spans="1:3" ht="13.5" thickBot="1" x14ac:dyDescent="0.25">
      <c r="A146" s="105"/>
      <c r="B146" s="112">
        <f t="shared" si="0"/>
        <v>2023</v>
      </c>
      <c r="C146" s="113">
        <f>[34]С2.5!$H$11</f>
        <v>0.04</v>
      </c>
    </row>
    <row r="147" spans="1:3" x14ac:dyDescent="0.2">
      <c r="A147" s="105"/>
      <c r="B147" s="114">
        <f t="shared" si="0"/>
        <v>2024</v>
      </c>
      <c r="C147" s="115">
        <f>[34]С2.5!$I$11</f>
        <v>0.11700000000000001</v>
      </c>
    </row>
    <row r="148" spans="1:3" x14ac:dyDescent="0.2">
      <c r="A148" s="105"/>
      <c r="B148" s="110">
        <f t="shared" si="0"/>
        <v>2025</v>
      </c>
      <c r="C148" s="111">
        <f>[34]С2.5!$J$11</f>
        <v>6.0999999999999999E-2</v>
      </c>
    </row>
    <row r="149" spans="1:3" hidden="1" x14ac:dyDescent="0.2">
      <c r="A149" s="105"/>
      <c r="B149" s="110">
        <f t="shared" si="0"/>
        <v>2026</v>
      </c>
      <c r="C149" s="111">
        <f>[34]С2.5!$K$11</f>
        <v>3.5813361771260002E-2</v>
      </c>
    </row>
    <row r="150" spans="1:3" hidden="1" x14ac:dyDescent="0.2">
      <c r="A150" s="105"/>
      <c r="B150" s="110">
        <f t="shared" si="0"/>
        <v>2027</v>
      </c>
      <c r="C150" s="111">
        <f>[34]С2.5!$L$11</f>
        <v>3.2682303599220003E-2</v>
      </c>
    </row>
    <row r="151" spans="1:3" hidden="1" x14ac:dyDescent="0.2">
      <c r="A151" s="105"/>
      <c r="B151" s="110">
        <f t="shared" si="0"/>
        <v>2028</v>
      </c>
      <c r="C151" s="111">
        <f>[34]С2.5!$M$11</f>
        <v>0</v>
      </c>
    </row>
    <row r="152" spans="1:3" hidden="1" x14ac:dyDescent="0.2">
      <c r="A152" s="105"/>
      <c r="B152" s="110">
        <f t="shared" si="0"/>
        <v>2029</v>
      </c>
      <c r="C152" s="111">
        <f>[34]С2.5!$N$11</f>
        <v>0</v>
      </c>
    </row>
    <row r="153" spans="1:3" hidden="1" x14ac:dyDescent="0.2">
      <c r="A153" s="105"/>
      <c r="B153" s="110">
        <f t="shared" si="0"/>
        <v>2030</v>
      </c>
      <c r="C153" s="111">
        <f>[34]С2.5!$O$11</f>
        <v>0</v>
      </c>
    </row>
    <row r="154" spans="1:3" hidden="1" x14ac:dyDescent="0.2">
      <c r="A154" s="105"/>
      <c r="B154" s="110">
        <f t="shared" si="0"/>
        <v>2031</v>
      </c>
      <c r="C154" s="111">
        <f>[34]С2.5!$P$11</f>
        <v>0</v>
      </c>
    </row>
    <row r="155" spans="1:3" hidden="1" x14ac:dyDescent="0.2">
      <c r="A155" s="89"/>
      <c r="B155" s="110">
        <f t="shared" si="0"/>
        <v>2032</v>
      </c>
      <c r="C155" s="111">
        <f>[34]С2.5!$Q$11</f>
        <v>0</v>
      </c>
    </row>
    <row r="156" spans="1:3" hidden="1" x14ac:dyDescent="0.2">
      <c r="A156" s="89"/>
      <c r="B156" s="110">
        <f t="shared" si="0"/>
        <v>2033</v>
      </c>
      <c r="C156" s="111">
        <f>[34]С2.5!$R$11</f>
        <v>0</v>
      </c>
    </row>
    <row r="157" spans="1:3" hidden="1" x14ac:dyDescent="0.2">
      <c r="B157" s="110">
        <f t="shared" si="0"/>
        <v>2034</v>
      </c>
      <c r="C157" s="111">
        <f>[34]С2.5!$S$11</f>
        <v>0</v>
      </c>
    </row>
    <row r="158" spans="1:3" hidden="1" x14ac:dyDescent="0.2">
      <c r="B158" s="110">
        <f t="shared" si="0"/>
        <v>2035</v>
      </c>
      <c r="C158" s="111">
        <f>[34]С2.5!$T$11</f>
        <v>0</v>
      </c>
    </row>
    <row r="159" spans="1:3" hidden="1" x14ac:dyDescent="0.2">
      <c r="B159" s="110">
        <f t="shared" si="0"/>
        <v>2036</v>
      </c>
      <c r="C159" s="111">
        <f>[34]С2.5!$U$11</f>
        <v>0</v>
      </c>
    </row>
    <row r="160" spans="1:3" hidden="1" x14ac:dyDescent="0.2">
      <c r="B160" s="110">
        <f t="shared" si="0"/>
        <v>2037</v>
      </c>
      <c r="C160" s="111">
        <f>[34]С2.5!$V$11</f>
        <v>0</v>
      </c>
    </row>
    <row r="161" spans="2:3" hidden="1" x14ac:dyDescent="0.2">
      <c r="B161" s="110">
        <f t="shared" si="0"/>
        <v>2038</v>
      </c>
      <c r="C161" s="111">
        <f>[34]С2.5!$W$11</f>
        <v>0</v>
      </c>
    </row>
    <row r="162" spans="2:3" hidden="1" x14ac:dyDescent="0.2">
      <c r="B162" s="110">
        <f t="shared" si="0"/>
        <v>2039</v>
      </c>
      <c r="C162" s="111">
        <f>[34]С2.5!$X$11</f>
        <v>0</v>
      </c>
    </row>
    <row r="163" spans="2:3" hidden="1" x14ac:dyDescent="0.2">
      <c r="B163" s="110">
        <f t="shared" si="0"/>
        <v>2040</v>
      </c>
      <c r="C163" s="111">
        <f>[34]С2.5!$Y$11</f>
        <v>0</v>
      </c>
    </row>
    <row r="164" spans="2:3" hidden="1" x14ac:dyDescent="0.2">
      <c r="B164" s="110">
        <f t="shared" si="0"/>
        <v>2041</v>
      </c>
      <c r="C164" s="111">
        <f>[34]С2.5!$Z$11</f>
        <v>0</v>
      </c>
    </row>
    <row r="165" spans="2:3" hidden="1" x14ac:dyDescent="0.2">
      <c r="B165" s="110">
        <f t="shared" si="0"/>
        <v>2042</v>
      </c>
      <c r="C165" s="111">
        <f>[34]С2.5!$AA$11</f>
        <v>0</v>
      </c>
    </row>
    <row r="166" spans="2:3" hidden="1" x14ac:dyDescent="0.2">
      <c r="B166" s="110">
        <f t="shared" si="0"/>
        <v>2043</v>
      </c>
      <c r="C166" s="111">
        <f>[34]С2.5!$AB$11</f>
        <v>0</v>
      </c>
    </row>
    <row r="167" spans="2:3" hidden="1" x14ac:dyDescent="0.2">
      <c r="B167" s="110">
        <f t="shared" si="0"/>
        <v>2044</v>
      </c>
      <c r="C167" s="111">
        <f>[34]С2.5!$AC$11</f>
        <v>0</v>
      </c>
    </row>
    <row r="168" spans="2:3" hidden="1" x14ac:dyDescent="0.2">
      <c r="B168" s="110">
        <f t="shared" si="0"/>
        <v>2045</v>
      </c>
      <c r="C168" s="111">
        <f>[34]С2.5!$AD$11</f>
        <v>0</v>
      </c>
    </row>
    <row r="169" spans="2:3" hidden="1" x14ac:dyDescent="0.2">
      <c r="B169" s="110">
        <f t="shared" si="0"/>
        <v>2046</v>
      </c>
      <c r="C169" s="111">
        <f>[34]С2.5!$AE$11</f>
        <v>0</v>
      </c>
    </row>
    <row r="170" spans="2:3" hidden="1" x14ac:dyDescent="0.2">
      <c r="B170" s="110">
        <f t="shared" si="0"/>
        <v>2047</v>
      </c>
      <c r="C170" s="111">
        <f>[34]С2.5!$AF$11</f>
        <v>0</v>
      </c>
    </row>
    <row r="171" spans="2:3" hidden="1" x14ac:dyDescent="0.2">
      <c r="B171" s="110">
        <f t="shared" si="0"/>
        <v>2048</v>
      </c>
      <c r="C171" s="111">
        <f>[34]С2.5!$AG$11</f>
        <v>0</v>
      </c>
    </row>
    <row r="172" spans="2:3" hidden="1" x14ac:dyDescent="0.2">
      <c r="B172" s="110">
        <f t="shared" si="0"/>
        <v>2049</v>
      </c>
      <c r="C172" s="111">
        <f>[34]С2.5!$AH$11</f>
        <v>0</v>
      </c>
    </row>
    <row r="173" spans="2:3" hidden="1" x14ac:dyDescent="0.2">
      <c r="B173" s="110">
        <f t="shared" si="0"/>
        <v>2050</v>
      </c>
      <c r="C173" s="111">
        <f>[34]С2.5!$AI$11</f>
        <v>0</v>
      </c>
    </row>
    <row r="174" spans="2:3" hidden="1" x14ac:dyDescent="0.2">
      <c r="B174" s="110">
        <f t="shared" si="0"/>
        <v>2051</v>
      </c>
      <c r="C174" s="111">
        <f>[34]С2.5!$AJ$11</f>
        <v>0</v>
      </c>
    </row>
    <row r="175" spans="2:3" hidden="1" x14ac:dyDescent="0.2">
      <c r="B175" s="110">
        <f t="shared" si="0"/>
        <v>2052</v>
      </c>
      <c r="C175" s="111">
        <f>[34]С2.5!$AK$11</f>
        <v>0</v>
      </c>
    </row>
    <row r="176" spans="2:3" hidden="1" x14ac:dyDescent="0.2">
      <c r="B176" s="110">
        <f t="shared" si="0"/>
        <v>2053</v>
      </c>
      <c r="C176" s="111">
        <f>[34]С2.5!$AL$11</f>
        <v>0</v>
      </c>
    </row>
    <row r="177" spans="2:3" hidden="1" x14ac:dyDescent="0.2">
      <c r="B177" s="110">
        <f t="shared" si="0"/>
        <v>2054</v>
      </c>
      <c r="C177" s="111">
        <f>[34]С2.5!$AM$11</f>
        <v>0</v>
      </c>
    </row>
    <row r="178" spans="2:3" hidden="1" x14ac:dyDescent="0.2">
      <c r="B178" s="110">
        <f t="shared" si="0"/>
        <v>2055</v>
      </c>
      <c r="C178" s="111">
        <f>[34]С2.5!$AN$11</f>
        <v>0</v>
      </c>
    </row>
    <row r="179" spans="2:3" hidden="1" x14ac:dyDescent="0.2">
      <c r="B179" s="110">
        <f t="shared" si="0"/>
        <v>2056</v>
      </c>
      <c r="C179" s="111">
        <f>[34]С2.5!$AO$11</f>
        <v>0</v>
      </c>
    </row>
    <row r="180" spans="2:3" hidden="1" x14ac:dyDescent="0.2">
      <c r="B180" s="110">
        <f t="shared" si="0"/>
        <v>2057</v>
      </c>
      <c r="C180" s="111">
        <f>[34]С2.5!$AP$11</f>
        <v>0</v>
      </c>
    </row>
    <row r="181" spans="2:3" hidden="1" x14ac:dyDescent="0.2">
      <c r="B181" s="110">
        <f t="shared" si="0"/>
        <v>2058</v>
      </c>
      <c r="C181" s="111">
        <f>[34]С2.5!$AQ$11</f>
        <v>0</v>
      </c>
    </row>
    <row r="182" spans="2:3" hidden="1" x14ac:dyDescent="0.2">
      <c r="B182" s="110">
        <f t="shared" si="0"/>
        <v>2059</v>
      </c>
      <c r="C182" s="111">
        <f>[34]С2.5!$AR$11</f>
        <v>0</v>
      </c>
    </row>
    <row r="183" spans="2:3" hidden="1" x14ac:dyDescent="0.2">
      <c r="B183" s="110">
        <f t="shared" si="0"/>
        <v>2060</v>
      </c>
      <c r="C183" s="111">
        <f>[34]С2.5!$AS$11</f>
        <v>0</v>
      </c>
    </row>
    <row r="184" spans="2:3" hidden="1" x14ac:dyDescent="0.2">
      <c r="B184" s="110">
        <f t="shared" si="0"/>
        <v>2061</v>
      </c>
      <c r="C184" s="111">
        <f>[34]С2.5!$AT$11</f>
        <v>0</v>
      </c>
    </row>
    <row r="185" spans="2:3" hidden="1" x14ac:dyDescent="0.2">
      <c r="B185" s="110">
        <f t="shared" si="0"/>
        <v>2062</v>
      </c>
      <c r="C185" s="111">
        <f>[34]С2.5!$AU$11</f>
        <v>0</v>
      </c>
    </row>
    <row r="186" spans="2:3" hidden="1" x14ac:dyDescent="0.2">
      <c r="B186" s="110">
        <f t="shared" si="0"/>
        <v>2063</v>
      </c>
      <c r="C186" s="111">
        <f>[34]С2.5!$AV$11</f>
        <v>0</v>
      </c>
    </row>
    <row r="187" spans="2:3" hidden="1" x14ac:dyDescent="0.2">
      <c r="B187" s="110">
        <f t="shared" si="0"/>
        <v>2064</v>
      </c>
      <c r="C187" s="111">
        <f>[34]С2.5!$AW$11</f>
        <v>0</v>
      </c>
    </row>
    <row r="188" spans="2:3" hidden="1" x14ac:dyDescent="0.2">
      <c r="B188" s="110">
        <f t="shared" si="0"/>
        <v>2065</v>
      </c>
      <c r="C188" s="111">
        <f>[34]С2.5!$AX$11</f>
        <v>0</v>
      </c>
    </row>
    <row r="189" spans="2:3" hidden="1" x14ac:dyDescent="0.2">
      <c r="B189" s="110">
        <f t="shared" si="0"/>
        <v>2066</v>
      </c>
      <c r="C189" s="111">
        <f>[34]С2.5!$AY$11</f>
        <v>0</v>
      </c>
    </row>
    <row r="190" spans="2:3" hidden="1" x14ac:dyDescent="0.2">
      <c r="B190" s="110">
        <f t="shared" si="0"/>
        <v>2067</v>
      </c>
      <c r="C190" s="111">
        <f>[34]С2.5!$AZ$11</f>
        <v>0</v>
      </c>
    </row>
    <row r="191" spans="2:3" hidden="1" x14ac:dyDescent="0.2">
      <c r="B191" s="110">
        <f t="shared" si="0"/>
        <v>2068</v>
      </c>
      <c r="C191" s="111">
        <f>[34]С2.5!$BA$11</f>
        <v>0</v>
      </c>
    </row>
    <row r="192" spans="2:3" hidden="1" x14ac:dyDescent="0.2">
      <c r="B192" s="110">
        <f t="shared" si="0"/>
        <v>2069</v>
      </c>
      <c r="C192" s="111">
        <f>[34]С2.5!$BB$11</f>
        <v>0</v>
      </c>
    </row>
    <row r="193" spans="2:3" hidden="1" x14ac:dyDescent="0.2">
      <c r="B193" s="110">
        <f t="shared" si="0"/>
        <v>2070</v>
      </c>
      <c r="C193" s="111">
        <f>[34]С2.5!$BC$11</f>
        <v>0</v>
      </c>
    </row>
    <row r="194" spans="2:3" hidden="1" x14ac:dyDescent="0.2">
      <c r="B194" s="110">
        <f t="shared" si="0"/>
        <v>2071</v>
      </c>
      <c r="C194" s="111">
        <f>[34]С2.5!$BD$11</f>
        <v>0</v>
      </c>
    </row>
    <row r="195" spans="2:3" hidden="1" x14ac:dyDescent="0.2">
      <c r="B195" s="110">
        <f t="shared" si="0"/>
        <v>2072</v>
      </c>
      <c r="C195" s="111">
        <f>[34]С2.5!$BE$11</f>
        <v>0</v>
      </c>
    </row>
    <row r="196" spans="2:3" hidden="1" x14ac:dyDescent="0.2">
      <c r="B196" s="110">
        <f t="shared" si="0"/>
        <v>2073</v>
      </c>
      <c r="C196" s="111">
        <f>[34]С2.5!$BF$11</f>
        <v>0</v>
      </c>
    </row>
    <row r="197" spans="2:3" hidden="1" x14ac:dyDescent="0.2">
      <c r="B197" s="110">
        <f t="shared" si="0"/>
        <v>2074</v>
      </c>
      <c r="C197" s="111">
        <f>[34]С2.5!$BG$11</f>
        <v>0</v>
      </c>
    </row>
    <row r="198" spans="2:3" hidden="1" x14ac:dyDescent="0.2">
      <c r="B198" s="110">
        <f t="shared" si="0"/>
        <v>2075</v>
      </c>
      <c r="C198" s="111">
        <f>[34]С2.5!$BH$11</f>
        <v>0</v>
      </c>
    </row>
    <row r="199" spans="2:3" hidden="1" x14ac:dyDescent="0.2">
      <c r="B199" s="110">
        <f t="shared" si="0"/>
        <v>2076</v>
      </c>
      <c r="C199" s="111">
        <f>[34]С2.5!$BI$11</f>
        <v>0</v>
      </c>
    </row>
    <row r="200" spans="2:3" hidden="1" x14ac:dyDescent="0.2">
      <c r="B200" s="110">
        <f t="shared" si="0"/>
        <v>2077</v>
      </c>
      <c r="C200" s="111">
        <f>[34]С2.5!$BJ$11</f>
        <v>0</v>
      </c>
    </row>
    <row r="201" spans="2:3" hidden="1" x14ac:dyDescent="0.2">
      <c r="B201" s="110">
        <f t="shared" si="0"/>
        <v>2078</v>
      </c>
      <c r="C201" s="111">
        <f>[34]С2.5!$BK$11</f>
        <v>0</v>
      </c>
    </row>
    <row r="202" spans="2:3" hidden="1" x14ac:dyDescent="0.2">
      <c r="B202" s="110">
        <f t="shared" si="0"/>
        <v>2079</v>
      </c>
      <c r="C202" s="111">
        <f>[34]С2.5!$BL$11</f>
        <v>0</v>
      </c>
    </row>
    <row r="203" spans="2:3" hidden="1" x14ac:dyDescent="0.2">
      <c r="B203" s="110">
        <f t="shared" si="0"/>
        <v>2080</v>
      </c>
      <c r="C203" s="111">
        <f>[34]С2.5!$BM$11</f>
        <v>0</v>
      </c>
    </row>
    <row r="204" spans="2:3" hidden="1" x14ac:dyDescent="0.2">
      <c r="B204" s="110">
        <f t="shared" si="0"/>
        <v>2081</v>
      </c>
      <c r="C204" s="111">
        <f>[34]С2.5!$BN$11</f>
        <v>0</v>
      </c>
    </row>
    <row r="205" spans="2:3" hidden="1" x14ac:dyDescent="0.2">
      <c r="B205" s="110">
        <f t="shared" si="0"/>
        <v>2082</v>
      </c>
      <c r="C205" s="111">
        <f>[34]С2.5!$BO$11</f>
        <v>0</v>
      </c>
    </row>
    <row r="206" spans="2:3" hidden="1" x14ac:dyDescent="0.2">
      <c r="B206" s="110">
        <f t="shared" si="0"/>
        <v>2083</v>
      </c>
      <c r="C206" s="111">
        <f>[34]С2.5!$BP$11</f>
        <v>0</v>
      </c>
    </row>
    <row r="207" spans="2:3" hidden="1" x14ac:dyDescent="0.2">
      <c r="B207" s="110">
        <f t="shared" si="0"/>
        <v>2084</v>
      </c>
      <c r="C207" s="111">
        <f>[34]С2.5!$BQ$11</f>
        <v>0</v>
      </c>
    </row>
    <row r="208" spans="2:3" hidden="1" x14ac:dyDescent="0.2">
      <c r="B208" s="110">
        <f t="shared" si="0"/>
        <v>2085</v>
      </c>
      <c r="C208" s="111">
        <f>[34]С2.5!$BR$11</f>
        <v>0</v>
      </c>
    </row>
    <row r="209" spans="2:3" hidden="1" x14ac:dyDescent="0.2">
      <c r="B209" s="110">
        <f t="shared" ref="B209:B223" si="1">B208+1</f>
        <v>2086</v>
      </c>
      <c r="C209" s="111">
        <f>[34]С2.5!$BS$11</f>
        <v>0</v>
      </c>
    </row>
    <row r="210" spans="2:3" hidden="1" x14ac:dyDescent="0.2">
      <c r="B210" s="110">
        <f t="shared" si="1"/>
        <v>2087</v>
      </c>
      <c r="C210" s="111">
        <f>[34]С2.5!$BT$11</f>
        <v>0</v>
      </c>
    </row>
    <row r="211" spans="2:3" hidden="1" x14ac:dyDescent="0.2">
      <c r="B211" s="110">
        <f t="shared" si="1"/>
        <v>2088</v>
      </c>
      <c r="C211" s="111">
        <f>[34]С2.5!$BU$11</f>
        <v>0</v>
      </c>
    </row>
    <row r="212" spans="2:3" hidden="1" x14ac:dyDescent="0.2">
      <c r="B212" s="110">
        <f t="shared" si="1"/>
        <v>2089</v>
      </c>
      <c r="C212" s="111">
        <f>[34]С2.5!$BV$11</f>
        <v>0</v>
      </c>
    </row>
    <row r="213" spans="2:3" hidden="1" x14ac:dyDescent="0.2">
      <c r="B213" s="110">
        <f t="shared" si="1"/>
        <v>2090</v>
      </c>
      <c r="C213" s="111">
        <f>[34]С2.5!$BW$11</f>
        <v>0</v>
      </c>
    </row>
    <row r="214" spans="2:3" hidden="1" x14ac:dyDescent="0.2">
      <c r="B214" s="110">
        <f t="shared" si="1"/>
        <v>2091</v>
      </c>
      <c r="C214" s="111">
        <f>[34]С2.5!$BX$11</f>
        <v>0</v>
      </c>
    </row>
    <row r="215" spans="2:3" hidden="1" x14ac:dyDescent="0.2">
      <c r="B215" s="110">
        <f t="shared" si="1"/>
        <v>2092</v>
      </c>
      <c r="C215" s="111">
        <f>[34]С2.5!$BY$11</f>
        <v>0</v>
      </c>
    </row>
    <row r="216" spans="2:3" hidden="1" x14ac:dyDescent="0.2">
      <c r="B216" s="110">
        <f t="shared" si="1"/>
        <v>2093</v>
      </c>
      <c r="C216" s="111">
        <f>[34]С2.5!$BZ$11</f>
        <v>0</v>
      </c>
    </row>
    <row r="217" spans="2:3" hidden="1" x14ac:dyDescent="0.2">
      <c r="B217" s="110">
        <f t="shared" si="1"/>
        <v>2094</v>
      </c>
      <c r="C217" s="111">
        <f>[34]С2.5!$CA$11</f>
        <v>0</v>
      </c>
    </row>
    <row r="218" spans="2:3" hidden="1" x14ac:dyDescent="0.2">
      <c r="B218" s="110">
        <f t="shared" si="1"/>
        <v>2095</v>
      </c>
      <c r="C218" s="111">
        <f>[34]С2.5!$CB$11</f>
        <v>0</v>
      </c>
    </row>
    <row r="219" spans="2:3" hidden="1" x14ac:dyDescent="0.2">
      <c r="B219" s="110">
        <f t="shared" si="1"/>
        <v>2096</v>
      </c>
      <c r="C219" s="111">
        <f>[34]С2.5!$CC$11</f>
        <v>0</v>
      </c>
    </row>
    <row r="220" spans="2:3" hidden="1" x14ac:dyDescent="0.2">
      <c r="B220" s="110">
        <f t="shared" si="1"/>
        <v>2097</v>
      </c>
      <c r="C220" s="111">
        <f>[34]С2.5!$CD$11</f>
        <v>0</v>
      </c>
    </row>
    <row r="221" spans="2:3" hidden="1" x14ac:dyDescent="0.2">
      <c r="B221" s="110">
        <f t="shared" si="1"/>
        <v>2098</v>
      </c>
      <c r="C221" s="111">
        <f>[34]С2.5!$CE$11</f>
        <v>0</v>
      </c>
    </row>
    <row r="222" spans="2:3" hidden="1" x14ac:dyDescent="0.2">
      <c r="B222" s="110">
        <f t="shared" si="1"/>
        <v>2099</v>
      </c>
      <c r="C222" s="111">
        <f>[34]С2.5!$CF$11</f>
        <v>0</v>
      </c>
    </row>
    <row r="223" spans="2:3" ht="13.5" hidden="1" thickBot="1" x14ac:dyDescent="0.25">
      <c r="B223" s="112">
        <f t="shared" si="1"/>
        <v>2100</v>
      </c>
      <c r="C223" s="113">
        <f>[34]С2.5!$CG$11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11" sqref="B11"/>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[35]И1!D13</f>
        <v>Субъект Российской Федерации</v>
      </c>
      <c r="C4" s="10" t="str">
        <f>[35]И1!E13</f>
        <v>Новосибирская область</v>
      </c>
    </row>
    <row r="5" spans="1:3" ht="46.9" customHeight="1" x14ac:dyDescent="0.2">
      <c r="A5" s="8"/>
      <c r="B5" s="9" t="str">
        <f>[35]И1!D14</f>
        <v>Тип муниципального образования (выберите из списка)</v>
      </c>
      <c r="C5" s="10" t="str">
        <f>[35]И1!E14</f>
        <v xml:space="preserve">село Гусельниково, Искитимский муниципальный район </v>
      </c>
    </row>
    <row r="6" spans="1:3" ht="38.25" x14ac:dyDescent="0.2">
      <c r="A6" s="8"/>
      <c r="B6" s="9" t="str">
        <f>IF([35]И1!E15="","",[35]И1!D15)</f>
        <v/>
      </c>
      <c r="C6" s="10" t="str">
        <f>IF([35]И1!E15="","",[35]И1!E15)</f>
        <v>деревня Гилево, Искитимский муниципальный район</v>
      </c>
    </row>
    <row r="7" spans="1:3" x14ac:dyDescent="0.2">
      <c r="A7" s="8"/>
      <c r="B7" s="9" t="str">
        <f>[35]И1!D16</f>
        <v>Код ОКТМО</v>
      </c>
      <c r="C7" s="11" t="str">
        <f>[35]И1!E16</f>
        <v>(50615410101)</v>
      </c>
    </row>
    <row r="8" spans="1:3" x14ac:dyDescent="0.2">
      <c r="A8" s="8"/>
      <c r="B8" s="12" t="str">
        <f>[35]И1!D17</f>
        <v>Система теплоснабжения</v>
      </c>
      <c r="C8" s="13">
        <f>[35]И1!E17</f>
        <v>0</v>
      </c>
    </row>
    <row r="9" spans="1:3" x14ac:dyDescent="0.2">
      <c r="A9" s="8"/>
      <c r="B9" s="9" t="str">
        <f>[35]И1!D8</f>
        <v>Период регулирования (i)-й</v>
      </c>
      <c r="C9" s="14">
        <f>[35]И1!E8</f>
        <v>2025</v>
      </c>
    </row>
    <row r="10" spans="1:3" x14ac:dyDescent="0.2">
      <c r="A10" s="8"/>
      <c r="B10" s="9" t="str">
        <f>[35]И1!D9</f>
        <v>Период регулирования (i-1)-й</v>
      </c>
      <c r="C10" s="14">
        <f>[35]И1!E9</f>
        <v>2024</v>
      </c>
    </row>
    <row r="11" spans="1:3" x14ac:dyDescent="0.2">
      <c r="A11" s="8"/>
      <c r="B11" s="9" t="str">
        <f>[35]И1!D10</f>
        <v>Период регулирования (i-2)-й</v>
      </c>
      <c r="C11" s="14">
        <f>[35]И1!E10</f>
        <v>2023</v>
      </c>
    </row>
    <row r="12" spans="1:3" x14ac:dyDescent="0.2">
      <c r="A12" s="8"/>
      <c r="B12" s="9" t="str">
        <f>[35]И1!D11</f>
        <v>Базовый год (б)</v>
      </c>
      <c r="C12" s="14">
        <f>[35]И1!E11</f>
        <v>2019</v>
      </c>
    </row>
    <row r="13" spans="1:3" ht="38.25" x14ac:dyDescent="0.2">
      <c r="A13" s="8"/>
      <c r="B13" s="9" t="str">
        <f>[35]И1!D18</f>
        <v>Вид топлива, использование которого преобладает в системе теплоснабжения</v>
      </c>
      <c r="C13" s="15" t="str">
        <f>[35]С1.1!E13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5569.8037992738682</v>
      </c>
    </row>
    <row r="18" spans="1:3" ht="42.75" x14ac:dyDescent="0.2">
      <c r="A18" s="22" t="s">
        <v>8</v>
      </c>
      <c r="B18" s="25" t="s">
        <v>9</v>
      </c>
      <c r="C18" s="26">
        <f>[35]С1!F12</f>
        <v>958.24669124268542</v>
      </c>
    </row>
    <row r="19" spans="1:3" ht="42.75" x14ac:dyDescent="0.2">
      <c r="A19" s="22" t="s">
        <v>10</v>
      </c>
      <c r="B19" s="25" t="s">
        <v>11</v>
      </c>
      <c r="C19" s="26">
        <f>[35]С2!F12</f>
        <v>3063.2235383547568</v>
      </c>
    </row>
    <row r="20" spans="1:3" ht="30" x14ac:dyDescent="0.2">
      <c r="A20" s="22" t="s">
        <v>12</v>
      </c>
      <c r="B20" s="25" t="s">
        <v>13</v>
      </c>
      <c r="C20" s="26">
        <f>[35]С3!F12</f>
        <v>917.89815316767874</v>
      </c>
    </row>
    <row r="21" spans="1:3" ht="42.75" x14ac:dyDescent="0.2">
      <c r="A21" s="22" t="s">
        <v>14</v>
      </c>
      <c r="B21" s="25" t="s">
        <v>15</v>
      </c>
      <c r="C21" s="26">
        <f>[35]С4!F12</f>
        <v>521.22357730729868</v>
      </c>
    </row>
    <row r="22" spans="1:3" ht="30" x14ac:dyDescent="0.2">
      <c r="A22" s="22" t="s">
        <v>16</v>
      </c>
      <c r="B22" s="25" t="s">
        <v>17</v>
      </c>
      <c r="C22" s="26">
        <f>[35]С5!F12</f>
        <v>109.2118392014484</v>
      </c>
    </row>
    <row r="23" spans="1:3" ht="43.5" thickBot="1" x14ac:dyDescent="0.25">
      <c r="A23" s="27" t="s">
        <v>18</v>
      </c>
      <c r="B23" s="140" t="s">
        <v>19</v>
      </c>
      <c r="C23" s="28" t="str">
        <f>[35]С6!F12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[35]С1.1!E16</f>
        <v>5100</v>
      </c>
    </row>
    <row r="29" spans="1:3" ht="42.75" x14ac:dyDescent="0.2">
      <c r="A29" s="22" t="s">
        <v>10</v>
      </c>
      <c r="B29" s="33" t="s">
        <v>22</v>
      </c>
      <c r="C29" s="34">
        <f>[35]С1.1!E27</f>
        <v>3456.64</v>
      </c>
    </row>
    <row r="30" spans="1:3" ht="17.25" x14ac:dyDescent="0.2">
      <c r="A30" s="22" t="s">
        <v>12</v>
      </c>
      <c r="B30" s="33" t="s">
        <v>23</v>
      </c>
      <c r="C30" s="35">
        <f>[35]С1.1!E19</f>
        <v>1.4E-2</v>
      </c>
    </row>
    <row r="31" spans="1:3" ht="17.25" x14ac:dyDescent="0.2">
      <c r="A31" s="22" t="s">
        <v>14</v>
      </c>
      <c r="B31" s="33" t="s">
        <v>24</v>
      </c>
      <c r="C31" s="35">
        <f>[35]С1.1!E20</f>
        <v>0.04</v>
      </c>
    </row>
    <row r="32" spans="1:3" ht="30" x14ac:dyDescent="0.2">
      <c r="A32" s="22" t="s">
        <v>16</v>
      </c>
      <c r="B32" s="36" t="s">
        <v>25</v>
      </c>
      <c r="C32" s="37">
        <f>[35]С1!F13</f>
        <v>176.4</v>
      </c>
    </row>
    <row r="33" spans="1:3" x14ac:dyDescent="0.2">
      <c r="A33" s="22" t="s">
        <v>18</v>
      </c>
      <c r="B33" s="36" t="s">
        <v>26</v>
      </c>
      <c r="C33" s="38">
        <f>[35]С1!F16</f>
        <v>7000</v>
      </c>
    </row>
    <row r="34" spans="1:3" ht="14.25" x14ac:dyDescent="0.2">
      <c r="A34" s="22" t="s">
        <v>27</v>
      </c>
      <c r="B34" s="39" t="s">
        <v>28</v>
      </c>
      <c r="C34" s="40">
        <f>[35]С1!F17</f>
        <v>0.72857142857142854</v>
      </c>
    </row>
    <row r="35" spans="1:3" ht="15.75" x14ac:dyDescent="0.2">
      <c r="A35" s="41" t="s">
        <v>29</v>
      </c>
      <c r="B35" s="42" t="s">
        <v>30</v>
      </c>
      <c r="C35" s="40">
        <f>[35]С1!F20</f>
        <v>21.588411179999994</v>
      </c>
    </row>
    <row r="36" spans="1:3" ht="15.75" x14ac:dyDescent="0.2">
      <c r="A36" s="41" t="s">
        <v>31</v>
      </c>
      <c r="B36" s="43" t="s">
        <v>32</v>
      </c>
      <c r="C36" s="40">
        <f>[35]С1!F21</f>
        <v>20.818139999999996</v>
      </c>
    </row>
    <row r="37" spans="1:3" ht="14.25" x14ac:dyDescent="0.2">
      <c r="A37" s="41" t="s">
        <v>33</v>
      </c>
      <c r="B37" s="44" t="s">
        <v>34</v>
      </c>
      <c r="C37" s="40">
        <f>[35]С1!F22</f>
        <v>1.0369999999999999</v>
      </c>
    </row>
    <row r="38" spans="1:3" ht="53.25" thickBot="1" x14ac:dyDescent="0.25">
      <c r="A38" s="27" t="s">
        <v>35</v>
      </c>
      <c r="B38" s="45" t="s">
        <v>36</v>
      </c>
      <c r="C38" s="46">
        <f>[35]С1!F23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[35]С2.1!E12</f>
        <v>V</v>
      </c>
    </row>
    <row r="42" spans="1:3" ht="25.5" x14ac:dyDescent="0.2">
      <c r="A42" s="22" t="s">
        <v>41</v>
      </c>
      <c r="B42" s="33" t="s">
        <v>42</v>
      </c>
      <c r="C42" s="51" t="str">
        <f>[35]С2.1!E13</f>
        <v>6 и менее баллов</v>
      </c>
    </row>
    <row r="43" spans="1:3" ht="25.5" x14ac:dyDescent="0.2">
      <c r="A43" s="22" t="s">
        <v>43</v>
      </c>
      <c r="B43" s="33" t="s">
        <v>44</v>
      </c>
      <c r="C43" s="51" t="str">
        <f>[35]С2.1!E14</f>
        <v>от 200 до 500</v>
      </c>
    </row>
    <row r="44" spans="1:3" ht="25.5" x14ac:dyDescent="0.2">
      <c r="A44" s="22" t="s">
        <v>45</v>
      </c>
      <c r="B44" s="33" t="s">
        <v>46</v>
      </c>
      <c r="C44" s="52" t="str">
        <f>[35]С2.1!E15</f>
        <v>нет</v>
      </c>
    </row>
    <row r="45" spans="1:3" ht="30" x14ac:dyDescent="0.2">
      <c r="A45" s="22" t="s">
        <v>47</v>
      </c>
      <c r="B45" s="33" t="s">
        <v>48</v>
      </c>
      <c r="C45" s="34">
        <f>[35]С2!F18</f>
        <v>38910.02669467502</v>
      </c>
    </row>
    <row r="46" spans="1:3" ht="30" x14ac:dyDescent="0.2">
      <c r="A46" s="22" t="s">
        <v>49</v>
      </c>
      <c r="B46" s="53" t="s">
        <v>50</v>
      </c>
      <c r="C46" s="34">
        <f>IF([35]С2!F19&gt;0,[35]С2!F19,[35]С2!F20)</f>
        <v>23441.524932855718</v>
      </c>
    </row>
    <row r="47" spans="1:3" ht="25.5" x14ac:dyDescent="0.2">
      <c r="A47" s="22" t="s">
        <v>51</v>
      </c>
      <c r="B47" s="54" t="s">
        <v>52</v>
      </c>
      <c r="C47" s="34">
        <f>[35]С2.1!E19</f>
        <v>-38</v>
      </c>
    </row>
    <row r="48" spans="1:3" ht="25.5" x14ac:dyDescent="0.2">
      <c r="A48" s="22" t="s">
        <v>53</v>
      </c>
      <c r="B48" s="54" t="s">
        <v>54</v>
      </c>
      <c r="C48" s="34" t="str">
        <f>[35]С2.1!E22</f>
        <v>нет</v>
      </c>
    </row>
    <row r="49" spans="1:3" ht="38.25" x14ac:dyDescent="0.2">
      <c r="A49" s="22" t="s">
        <v>55</v>
      </c>
      <c r="B49" s="55" t="s">
        <v>56</v>
      </c>
      <c r="C49" s="34">
        <f>[35]С2.2!E10</f>
        <v>1287</v>
      </c>
    </row>
    <row r="50" spans="1:3" ht="25.5" x14ac:dyDescent="0.2">
      <c r="A50" s="22" t="s">
        <v>57</v>
      </c>
      <c r="B50" s="56" t="s">
        <v>58</v>
      </c>
      <c r="C50" s="34">
        <f>[35]С2.2!E12</f>
        <v>5.97</v>
      </c>
    </row>
    <row r="51" spans="1:3" ht="52.5" x14ac:dyDescent="0.2">
      <c r="A51" s="22" t="s">
        <v>59</v>
      </c>
      <c r="B51" s="57" t="s">
        <v>60</v>
      </c>
      <c r="C51" s="34">
        <f>[35]С2.2!E13</f>
        <v>1</v>
      </c>
    </row>
    <row r="52" spans="1:3" ht="27.75" x14ac:dyDescent="0.2">
      <c r="A52" s="22" t="s">
        <v>61</v>
      </c>
      <c r="B52" s="56" t="s">
        <v>62</v>
      </c>
      <c r="C52" s="34">
        <f>[35]С2.2!E14</f>
        <v>12104</v>
      </c>
    </row>
    <row r="53" spans="1:3" ht="25.5" x14ac:dyDescent="0.2">
      <c r="A53" s="22" t="s">
        <v>63</v>
      </c>
      <c r="B53" s="57" t="s">
        <v>64</v>
      </c>
      <c r="C53" s="35">
        <f>[35]С2.2!E15</f>
        <v>4.8000000000000001E-2</v>
      </c>
    </row>
    <row r="54" spans="1:3" x14ac:dyDescent="0.2">
      <c r="A54" s="22" t="s">
        <v>65</v>
      </c>
      <c r="B54" s="57" t="s">
        <v>66</v>
      </c>
      <c r="C54" s="34">
        <f>[35]С2.2!E16</f>
        <v>1</v>
      </c>
    </row>
    <row r="55" spans="1:3" ht="15.75" x14ac:dyDescent="0.2">
      <c r="A55" s="22" t="s">
        <v>67</v>
      </c>
      <c r="B55" s="58" t="s">
        <v>68</v>
      </c>
      <c r="C55" s="34">
        <f>[35]С2!F21</f>
        <v>1</v>
      </c>
    </row>
    <row r="56" spans="1:3" ht="30" x14ac:dyDescent="0.2">
      <c r="A56" s="59" t="s">
        <v>69</v>
      </c>
      <c r="B56" s="33" t="s">
        <v>70</v>
      </c>
      <c r="C56" s="34">
        <f>[35]С2!F13</f>
        <v>203708.97017230222</v>
      </c>
    </row>
    <row r="57" spans="1:3" ht="30" x14ac:dyDescent="0.2">
      <c r="A57" s="59" t="s">
        <v>71</v>
      </c>
      <c r="B57" s="58" t="s">
        <v>72</v>
      </c>
      <c r="C57" s="34">
        <f>[35]С2!F14</f>
        <v>113455</v>
      </c>
    </row>
    <row r="58" spans="1:3" ht="15.75" x14ac:dyDescent="0.2">
      <c r="A58" s="59" t="s">
        <v>73</v>
      </c>
      <c r="B58" s="60" t="s">
        <v>74</v>
      </c>
      <c r="C58" s="40">
        <f>[35]С2!F15</f>
        <v>1.071</v>
      </c>
    </row>
    <row r="59" spans="1:3" ht="15.75" x14ac:dyDescent="0.2">
      <c r="A59" s="59" t="s">
        <v>75</v>
      </c>
      <c r="B59" s="60" t="s">
        <v>76</v>
      </c>
      <c r="C59" s="40">
        <f>[35]С2!F16</f>
        <v>1</v>
      </c>
    </row>
    <row r="60" spans="1:3" ht="17.25" x14ac:dyDescent="0.2">
      <c r="A60" s="59" t="s">
        <v>77</v>
      </c>
      <c r="B60" s="58" t="s">
        <v>78</v>
      </c>
      <c r="C60" s="34">
        <f>[35]С2!F17</f>
        <v>1.01</v>
      </c>
    </row>
    <row r="61" spans="1:3" s="63" customFormat="1" ht="14.25" x14ac:dyDescent="0.2">
      <c r="A61" s="59" t="s">
        <v>79</v>
      </c>
      <c r="B61" s="61" t="s">
        <v>80</v>
      </c>
      <c r="C61" s="62">
        <f>[35]С2!F33</f>
        <v>10</v>
      </c>
    </row>
    <row r="62" spans="1:3" ht="30" x14ac:dyDescent="0.2">
      <c r="A62" s="59" t="s">
        <v>81</v>
      </c>
      <c r="B62" s="64" t="s">
        <v>82</v>
      </c>
      <c r="C62" s="34">
        <f>[35]С2!F26</f>
        <v>3082.0508637929142</v>
      </c>
    </row>
    <row r="63" spans="1:3" ht="17.25" x14ac:dyDescent="0.2">
      <c r="A63" s="59" t="s">
        <v>83</v>
      </c>
      <c r="B63" s="53" t="s">
        <v>84</v>
      </c>
      <c r="C63" s="34">
        <f>[35]С2!F27</f>
        <v>0.44209422600000003</v>
      </c>
    </row>
    <row r="64" spans="1:3" ht="17.25" x14ac:dyDescent="0.2">
      <c r="A64" s="59" t="s">
        <v>85</v>
      </c>
      <c r="B64" s="58" t="s">
        <v>86</v>
      </c>
      <c r="C64" s="62">
        <f>[35]С2!F28</f>
        <v>4200</v>
      </c>
    </row>
    <row r="65" spans="1:3" ht="42.75" x14ac:dyDescent="0.2">
      <c r="A65" s="59" t="s">
        <v>87</v>
      </c>
      <c r="B65" s="33" t="s">
        <v>88</v>
      </c>
      <c r="C65" s="34">
        <f>[35]С2!F22</f>
        <v>42890.921752741691</v>
      </c>
    </row>
    <row r="66" spans="1:3" ht="30" x14ac:dyDescent="0.2">
      <c r="A66" s="59" t="s">
        <v>89</v>
      </c>
      <c r="B66" s="60" t="s">
        <v>90</v>
      </c>
      <c r="C66" s="34">
        <f>[35]С2!F23</f>
        <v>1990</v>
      </c>
    </row>
    <row r="67" spans="1:3" ht="30" x14ac:dyDescent="0.2">
      <c r="A67" s="59" t="s">
        <v>91</v>
      </c>
      <c r="B67" s="53" t="s">
        <v>92</v>
      </c>
      <c r="C67" s="34">
        <f>[35]С2.1!E27</f>
        <v>14307.876789999998</v>
      </c>
    </row>
    <row r="68" spans="1:3" ht="38.25" x14ac:dyDescent="0.2">
      <c r="A68" s="59" t="s">
        <v>93</v>
      </c>
      <c r="B68" s="65" t="s">
        <v>94</v>
      </c>
      <c r="C68" s="52">
        <f>[35]С2.3!E21</f>
        <v>0</v>
      </c>
    </row>
    <row r="69" spans="1:3" ht="25.5" x14ac:dyDescent="0.2">
      <c r="A69" s="59" t="s">
        <v>95</v>
      </c>
      <c r="B69" s="66" t="s">
        <v>96</v>
      </c>
      <c r="C69" s="67">
        <f>[35]С2.3!E11</f>
        <v>9.89</v>
      </c>
    </row>
    <row r="70" spans="1:3" ht="25.5" x14ac:dyDescent="0.2">
      <c r="A70" s="59" t="s">
        <v>97</v>
      </c>
      <c r="B70" s="66" t="s">
        <v>98</v>
      </c>
      <c r="C70" s="62">
        <f>[35]С2.3!E13</f>
        <v>300</v>
      </c>
    </row>
    <row r="71" spans="1:3" ht="25.5" x14ac:dyDescent="0.2">
      <c r="A71" s="59" t="s">
        <v>99</v>
      </c>
      <c r="B71" s="65" t="s">
        <v>100</v>
      </c>
      <c r="C71" s="68">
        <f>IF([35]С2.3!E22&gt;0,[35]С2.3!E22,[35]С2.3!E14)</f>
        <v>61211</v>
      </c>
    </row>
    <row r="72" spans="1:3" ht="38.25" x14ac:dyDescent="0.2">
      <c r="A72" s="59" t="s">
        <v>101</v>
      </c>
      <c r="B72" s="65" t="s">
        <v>102</v>
      </c>
      <c r="C72" s="68">
        <f>IF([35]С2.3!E23&gt;0,[35]С2.3!E23,[35]С2.3!E15)</f>
        <v>45675</v>
      </c>
    </row>
    <row r="73" spans="1:3" ht="30" x14ac:dyDescent="0.2">
      <c r="A73" s="59" t="s">
        <v>103</v>
      </c>
      <c r="B73" s="53" t="s">
        <v>104</v>
      </c>
      <c r="C73" s="34">
        <f>[35]С2.1!E28</f>
        <v>9541.9567200000001</v>
      </c>
    </row>
    <row r="74" spans="1:3" ht="38.25" x14ac:dyDescent="0.2">
      <c r="A74" s="59" t="s">
        <v>105</v>
      </c>
      <c r="B74" s="65" t="s">
        <v>106</v>
      </c>
      <c r="C74" s="52">
        <f>[35]С2.3!E25</f>
        <v>0</v>
      </c>
    </row>
    <row r="75" spans="1:3" ht="25.5" x14ac:dyDescent="0.2">
      <c r="A75" s="59" t="s">
        <v>107</v>
      </c>
      <c r="B75" s="66" t="s">
        <v>108</v>
      </c>
      <c r="C75" s="67">
        <f>[35]С2.3!E12</f>
        <v>0.56000000000000005</v>
      </c>
    </row>
    <row r="76" spans="1:3" ht="25.5" x14ac:dyDescent="0.2">
      <c r="A76" s="59" t="s">
        <v>109</v>
      </c>
      <c r="B76" s="66" t="s">
        <v>98</v>
      </c>
      <c r="C76" s="62">
        <f>[35]С2.3!E13</f>
        <v>300</v>
      </c>
    </row>
    <row r="77" spans="1:3" ht="25.5" x14ac:dyDescent="0.2">
      <c r="A77" s="59" t="s">
        <v>110</v>
      </c>
      <c r="B77" s="69" t="s">
        <v>111</v>
      </c>
      <c r="C77" s="68">
        <f>IF([35]С2.3!E26&gt;0,[35]С2.3!E26,[35]С2.3!E16)</f>
        <v>65637</v>
      </c>
    </row>
    <row r="78" spans="1:3" ht="38.25" x14ac:dyDescent="0.2">
      <c r="A78" s="59" t="s">
        <v>112</v>
      </c>
      <c r="B78" s="69" t="s">
        <v>113</v>
      </c>
      <c r="C78" s="68">
        <f>IF([35]С2.3!E27&gt;0,[35]С2.3!E27,[35]С2.3!E17)</f>
        <v>31684</v>
      </c>
    </row>
    <row r="79" spans="1:3" ht="17.25" x14ac:dyDescent="0.2">
      <c r="A79" s="59" t="s">
        <v>114</v>
      </c>
      <c r="B79" s="33" t="s">
        <v>115</v>
      </c>
      <c r="C79" s="35">
        <f>[35]С2!F29</f>
        <v>0.17804631770487722</v>
      </c>
    </row>
    <row r="80" spans="1:3" ht="30" x14ac:dyDescent="0.2">
      <c r="A80" s="59" t="s">
        <v>116</v>
      </c>
      <c r="B80" s="53" t="s">
        <v>117</v>
      </c>
      <c r="C80" s="70">
        <f>[35]С2!F30</f>
        <v>0.1652189781021898</v>
      </c>
    </row>
    <row r="81" spans="1:3" ht="17.25" x14ac:dyDescent="0.2">
      <c r="A81" s="59" t="s">
        <v>118</v>
      </c>
      <c r="B81" s="71" t="s">
        <v>119</v>
      </c>
      <c r="C81" s="35">
        <f>[35]С2!F31</f>
        <v>0.13880000000000001</v>
      </c>
    </row>
    <row r="82" spans="1:3" s="63" customFormat="1" ht="18" thickBot="1" x14ac:dyDescent="0.25">
      <c r="A82" s="72" t="s">
        <v>120</v>
      </c>
      <c r="B82" s="73" t="s">
        <v>121</v>
      </c>
      <c r="C82" s="74">
        <f>[35]С2!F32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[35]С3!F14</f>
        <v>14912.207299372252</v>
      </c>
    </row>
    <row r="86" spans="1:3" s="63" customFormat="1" ht="42.75" x14ac:dyDescent="0.2">
      <c r="A86" s="77" t="s">
        <v>126</v>
      </c>
      <c r="B86" s="53" t="s">
        <v>127</v>
      </c>
      <c r="C86" s="78">
        <f>[35]С3!F15</f>
        <v>0.25</v>
      </c>
    </row>
    <row r="87" spans="1:3" s="63" customFormat="1" ht="14.25" x14ac:dyDescent="0.2">
      <c r="A87" s="77" t="s">
        <v>128</v>
      </c>
      <c r="B87" s="79" t="s">
        <v>129</v>
      </c>
      <c r="C87" s="62">
        <f>[35]С3!F18</f>
        <v>15</v>
      </c>
    </row>
    <row r="88" spans="1:3" s="63" customFormat="1" ht="17.25" x14ac:dyDescent="0.2">
      <c r="A88" s="77" t="s">
        <v>130</v>
      </c>
      <c r="B88" s="33" t="s">
        <v>131</v>
      </c>
      <c r="C88" s="34">
        <f>[35]С3!F19</f>
        <v>4187.478806422544</v>
      </c>
    </row>
    <row r="89" spans="1:3" s="63" customFormat="1" ht="55.5" x14ac:dyDescent="0.2">
      <c r="A89" s="77" t="s">
        <v>132</v>
      </c>
      <c r="B89" s="53" t="s">
        <v>133</v>
      </c>
      <c r="C89" s="80">
        <f>[35]С3!F20</f>
        <v>2.1999999999999999E-2</v>
      </c>
    </row>
    <row r="90" spans="1:3" s="63" customFormat="1" ht="14.25" x14ac:dyDescent="0.2">
      <c r="A90" s="77" t="s">
        <v>134</v>
      </c>
      <c r="B90" s="58" t="s">
        <v>80</v>
      </c>
      <c r="C90" s="62">
        <f>[35]С3!F21</f>
        <v>10</v>
      </c>
    </row>
    <row r="91" spans="1:3" s="63" customFormat="1" ht="17.25" x14ac:dyDescent="0.2">
      <c r="A91" s="77" t="s">
        <v>135</v>
      </c>
      <c r="B91" s="33" t="s">
        <v>136</v>
      </c>
      <c r="C91" s="34">
        <f>[35]С3!F22</f>
        <v>9.2461525913787437</v>
      </c>
    </row>
    <row r="92" spans="1:3" s="63" customFormat="1" ht="55.5" x14ac:dyDescent="0.2">
      <c r="A92" s="77" t="s">
        <v>137</v>
      </c>
      <c r="B92" s="53" t="s">
        <v>138</v>
      </c>
      <c r="C92" s="80">
        <f>[35]С3!F23</f>
        <v>3.0000000000000001E-3</v>
      </c>
    </row>
    <row r="93" spans="1:3" s="63" customFormat="1" ht="27.75" thickBot="1" x14ac:dyDescent="0.25">
      <c r="A93" s="81" t="s">
        <v>139</v>
      </c>
      <c r="B93" s="82" t="s">
        <v>140</v>
      </c>
      <c r="C93" s="83">
        <f>[35]С3!F24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[35]С4!F16</f>
        <v>1652.5</v>
      </c>
    </row>
    <row r="97" spans="1:3" ht="30" x14ac:dyDescent="0.2">
      <c r="A97" s="59" t="s">
        <v>145</v>
      </c>
      <c r="B97" s="58" t="s">
        <v>146</v>
      </c>
      <c r="C97" s="34">
        <f>[35]С4!F17</f>
        <v>73547</v>
      </c>
    </row>
    <row r="98" spans="1:3" ht="17.25" x14ac:dyDescent="0.2">
      <c r="A98" s="59" t="s">
        <v>147</v>
      </c>
      <c r="B98" s="58" t="s">
        <v>148</v>
      </c>
      <c r="C98" s="40">
        <f>[35]С4!F18</f>
        <v>0.02</v>
      </c>
    </row>
    <row r="99" spans="1:3" ht="30" x14ac:dyDescent="0.2">
      <c r="A99" s="59" t="s">
        <v>149</v>
      </c>
      <c r="B99" s="58" t="s">
        <v>150</v>
      </c>
      <c r="C99" s="34">
        <f>[35]С4!F19</f>
        <v>12104</v>
      </c>
    </row>
    <row r="100" spans="1:3" ht="31.5" x14ac:dyDescent="0.2">
      <c r="A100" s="59" t="s">
        <v>151</v>
      </c>
      <c r="B100" s="58" t="s">
        <v>152</v>
      </c>
      <c r="C100" s="40">
        <f>[35]С4!F20</f>
        <v>1.4999999999999999E-2</v>
      </c>
    </row>
    <row r="101" spans="1:3" ht="30" x14ac:dyDescent="0.2">
      <c r="A101" s="59" t="s">
        <v>153</v>
      </c>
      <c r="B101" s="33" t="s">
        <v>154</v>
      </c>
      <c r="C101" s="34">
        <f>[35]С4!F21</f>
        <v>1933.1949342509995</v>
      </c>
    </row>
    <row r="102" spans="1:3" ht="24" customHeight="1" x14ac:dyDescent="0.2">
      <c r="A102" s="59" t="s">
        <v>155</v>
      </c>
      <c r="B102" s="53" t="s">
        <v>156</v>
      </c>
      <c r="C102" s="85">
        <f>IF([35]С4.2!F8="да",[35]С4.2!D21,[35]С4.2!D15)</f>
        <v>0</v>
      </c>
    </row>
    <row r="103" spans="1:3" ht="68.25" x14ac:dyDescent="0.2">
      <c r="A103" s="59" t="s">
        <v>157</v>
      </c>
      <c r="B103" s="53" t="s">
        <v>158</v>
      </c>
      <c r="C103" s="34">
        <f>[35]С4!F22</f>
        <v>3.6112641666666665</v>
      </c>
    </row>
    <row r="104" spans="1:3" ht="30" x14ac:dyDescent="0.2">
      <c r="A104" s="59" t="s">
        <v>159</v>
      </c>
      <c r="B104" s="58" t="s">
        <v>160</v>
      </c>
      <c r="C104" s="34">
        <f>[35]С4!F23</f>
        <v>180</v>
      </c>
    </row>
    <row r="105" spans="1:3" ht="14.25" x14ac:dyDescent="0.2">
      <c r="A105" s="59" t="s">
        <v>161</v>
      </c>
      <c r="B105" s="53" t="s">
        <v>162</v>
      </c>
      <c r="C105" s="34">
        <f>[35]С4!F24</f>
        <v>8497.1999999999989</v>
      </c>
    </row>
    <row r="106" spans="1:3" ht="14.25" x14ac:dyDescent="0.2">
      <c r="A106" s="59" t="s">
        <v>163</v>
      </c>
      <c r="B106" s="58" t="s">
        <v>164</v>
      </c>
      <c r="C106" s="40">
        <f>[35]С4!F25</f>
        <v>0.35</v>
      </c>
    </row>
    <row r="107" spans="1:3" ht="17.25" x14ac:dyDescent="0.2">
      <c r="A107" s="59" t="s">
        <v>165</v>
      </c>
      <c r="B107" s="33" t="s">
        <v>166</v>
      </c>
      <c r="C107" s="34">
        <f>[35]С4!F26</f>
        <v>81.757919999999999</v>
      </c>
    </row>
    <row r="108" spans="1:3" ht="25.5" x14ac:dyDescent="0.2">
      <c r="A108" s="59" t="s">
        <v>167</v>
      </c>
      <c r="B108" s="53" t="s">
        <v>94</v>
      </c>
      <c r="C108" s="85">
        <f>[35]С4.3!E16</f>
        <v>0</v>
      </c>
    </row>
    <row r="109" spans="1:3" ht="25.5" x14ac:dyDescent="0.2">
      <c r="A109" s="59" t="s">
        <v>168</v>
      </c>
      <c r="B109" s="53" t="s">
        <v>169</v>
      </c>
      <c r="C109" s="34">
        <f>[35]С4.3!E17</f>
        <v>21.52</v>
      </c>
    </row>
    <row r="110" spans="1:3" ht="38.25" x14ac:dyDescent="0.2">
      <c r="A110" s="59" t="s">
        <v>170</v>
      </c>
      <c r="B110" s="53" t="s">
        <v>106</v>
      </c>
      <c r="C110" s="85">
        <f>[35]С4.3!E18</f>
        <v>0</v>
      </c>
    </row>
    <row r="111" spans="1:3" x14ac:dyDescent="0.2">
      <c r="A111" s="59" t="s">
        <v>171</v>
      </c>
      <c r="B111" s="53" t="s">
        <v>172</v>
      </c>
      <c r="C111" s="34">
        <f>[35]С4.3!E19</f>
        <v>30.82</v>
      </c>
    </row>
    <row r="112" spans="1:3" x14ac:dyDescent="0.2">
      <c r="A112" s="59" t="s">
        <v>173</v>
      </c>
      <c r="B112" s="58" t="s">
        <v>174</v>
      </c>
      <c r="C112" s="34">
        <f>[35]С4.3!E11</f>
        <v>1871</v>
      </c>
    </row>
    <row r="113" spans="1:3" x14ac:dyDescent="0.2">
      <c r="A113" s="59" t="s">
        <v>175</v>
      </c>
      <c r="B113" s="58" t="s">
        <v>176</v>
      </c>
      <c r="C113" s="52">
        <f>[35]С4.3!E12</f>
        <v>1636</v>
      </c>
    </row>
    <row r="114" spans="1:3" x14ac:dyDescent="0.2">
      <c r="A114" s="59" t="s">
        <v>177</v>
      </c>
      <c r="B114" s="58" t="s">
        <v>178</v>
      </c>
      <c r="C114" s="52">
        <f>[35]С4.3!E13</f>
        <v>204</v>
      </c>
    </row>
    <row r="115" spans="1:3" ht="30" x14ac:dyDescent="0.2">
      <c r="A115" s="59" t="s">
        <v>179</v>
      </c>
      <c r="B115" s="33" t="s">
        <v>180</v>
      </c>
      <c r="C115" s="34">
        <f>[35]С4!F27</f>
        <v>1291.2863994686898</v>
      </c>
    </row>
    <row r="116" spans="1:3" ht="25.5" x14ac:dyDescent="0.2">
      <c r="A116" s="59" t="s">
        <v>181</v>
      </c>
      <c r="B116" s="53" t="s">
        <v>182</v>
      </c>
      <c r="C116" s="34">
        <f>[35]С4!F28</f>
        <v>991.77142816335618</v>
      </c>
    </row>
    <row r="117" spans="1:3" ht="42.75" x14ac:dyDescent="0.2">
      <c r="A117" s="59" t="s">
        <v>183</v>
      </c>
      <c r="B117" s="53" t="s">
        <v>184</v>
      </c>
      <c r="C117" s="34">
        <f>[35]С4!F29</f>
        <v>299.51497130533357</v>
      </c>
    </row>
    <row r="118" spans="1:3" ht="30" x14ac:dyDescent="0.2">
      <c r="A118" s="59" t="s">
        <v>185</v>
      </c>
      <c r="B118" s="39" t="s">
        <v>186</v>
      </c>
      <c r="C118" s="34">
        <f>[35]С4!F30</f>
        <v>2620.0126914214875</v>
      </c>
    </row>
    <row r="119" spans="1:3" ht="42.75" x14ac:dyDescent="0.2">
      <c r="A119" s="59" t="s">
        <v>187</v>
      </c>
      <c r="B119" s="86" t="s">
        <v>188</v>
      </c>
      <c r="C119" s="34">
        <f>[35]С4!F33</f>
        <v>1413.4646450978896</v>
      </c>
    </row>
    <row r="120" spans="1:3" ht="30" x14ac:dyDescent="0.2">
      <c r="A120" s="59" t="s">
        <v>189</v>
      </c>
      <c r="B120" s="87" t="s">
        <v>190</v>
      </c>
      <c r="C120" s="34">
        <f>[35]С4!F35</f>
        <v>17.040680999999999</v>
      </c>
    </row>
    <row r="121" spans="1:3" ht="14.25" x14ac:dyDescent="0.2">
      <c r="A121" s="59" t="s">
        <v>191</v>
      </c>
      <c r="B121" s="56" t="s">
        <v>192</v>
      </c>
      <c r="C121" s="34">
        <f>[35]С4!F36</f>
        <v>14319.9</v>
      </c>
    </row>
    <row r="122" spans="1:3" ht="28.5" thickBot="1" x14ac:dyDescent="0.25">
      <c r="A122" s="72" t="s">
        <v>193</v>
      </c>
      <c r="B122" s="88" t="s">
        <v>194</v>
      </c>
      <c r="C122" s="83">
        <f>[35]С4!F37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[35]С5!F17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[35]С2!F37</f>
        <v>20.818139999999996</v>
      </c>
    </row>
    <row r="136" spans="1:3" ht="14.25" x14ac:dyDescent="0.2">
      <c r="A136" s="59" t="s">
        <v>216</v>
      </c>
      <c r="B136" s="101" t="s">
        <v>217</v>
      </c>
      <c r="C136" s="34">
        <f>[35]С2!F38</f>
        <v>7</v>
      </c>
    </row>
    <row r="137" spans="1:3" ht="17.25" x14ac:dyDescent="0.2">
      <c r="A137" s="59" t="s">
        <v>218</v>
      </c>
      <c r="B137" s="101" t="s">
        <v>219</v>
      </c>
      <c r="C137" s="34">
        <f>[35]С2!F40</f>
        <v>0.97</v>
      </c>
    </row>
    <row r="138" spans="1:3" ht="15" thickBot="1" x14ac:dyDescent="0.25">
      <c r="A138" s="72" t="s">
        <v>220</v>
      </c>
      <c r="B138" s="102" t="s">
        <v>221</v>
      </c>
      <c r="C138" s="46">
        <f>[35]С2!F42</f>
        <v>0.35</v>
      </c>
    </row>
    <row r="139" spans="1:3" s="89" customFormat="1" ht="13.5" thickBot="1" x14ac:dyDescent="0.25">
      <c r="A139" s="47"/>
      <c r="B139" s="75"/>
      <c r="C139" s="15"/>
    </row>
    <row r="140" spans="1:3" ht="30" x14ac:dyDescent="0.2">
      <c r="A140" s="84" t="s">
        <v>222</v>
      </c>
      <c r="B140" s="103" t="s">
        <v>223</v>
      </c>
      <c r="C140" s="104">
        <f>[35]С2!F35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[35]С2.5!$E$11</f>
        <v>-2.9000000000000026E-2</v>
      </c>
    </row>
    <row r="144" spans="1:3" x14ac:dyDescent="0.2">
      <c r="A144" s="105"/>
      <c r="B144" s="110">
        <f>B143+1</f>
        <v>2021</v>
      </c>
      <c r="C144" s="111">
        <f>[35]С2.5!$F$11</f>
        <v>0.245</v>
      </c>
    </row>
    <row r="145" spans="1:3" x14ac:dyDescent="0.2">
      <c r="A145" s="105"/>
      <c r="B145" s="110">
        <f t="shared" ref="B145:B208" si="0">B144+1</f>
        <v>2022</v>
      </c>
      <c r="C145" s="111">
        <f>[35]С2.5!$G$11</f>
        <v>0.114</v>
      </c>
    </row>
    <row r="146" spans="1:3" ht="13.5" thickBot="1" x14ac:dyDescent="0.25">
      <c r="A146" s="105"/>
      <c r="B146" s="112">
        <f t="shared" si="0"/>
        <v>2023</v>
      </c>
      <c r="C146" s="113">
        <f>[35]С2.5!$H$11</f>
        <v>0.04</v>
      </c>
    </row>
    <row r="147" spans="1:3" x14ac:dyDescent="0.2">
      <c r="A147" s="105"/>
      <c r="B147" s="114">
        <f t="shared" si="0"/>
        <v>2024</v>
      </c>
      <c r="C147" s="115">
        <f>[35]С2.5!$I$11</f>
        <v>0.11700000000000001</v>
      </c>
    </row>
    <row r="148" spans="1:3" x14ac:dyDescent="0.2">
      <c r="A148" s="105"/>
      <c r="B148" s="110">
        <f t="shared" si="0"/>
        <v>2025</v>
      </c>
      <c r="C148" s="111">
        <f>[35]С2.5!$J$11</f>
        <v>6.0999999999999999E-2</v>
      </c>
    </row>
    <row r="149" spans="1:3" hidden="1" x14ac:dyDescent="0.2">
      <c r="A149" s="105"/>
      <c r="B149" s="110">
        <f t="shared" si="0"/>
        <v>2026</v>
      </c>
      <c r="C149" s="111">
        <f>[35]С2.5!$K$11</f>
        <v>3.5813361771260002E-2</v>
      </c>
    </row>
    <row r="150" spans="1:3" hidden="1" x14ac:dyDescent="0.2">
      <c r="A150" s="105"/>
      <c r="B150" s="110">
        <f t="shared" si="0"/>
        <v>2027</v>
      </c>
      <c r="C150" s="111">
        <f>[35]С2.5!$L$11</f>
        <v>3.2682303599220003E-2</v>
      </c>
    </row>
    <row r="151" spans="1:3" hidden="1" x14ac:dyDescent="0.2">
      <c r="A151" s="105"/>
      <c r="B151" s="110">
        <f t="shared" si="0"/>
        <v>2028</v>
      </c>
      <c r="C151" s="111">
        <f>[35]С2.5!$M$11</f>
        <v>0</v>
      </c>
    </row>
    <row r="152" spans="1:3" hidden="1" x14ac:dyDescent="0.2">
      <c r="A152" s="105"/>
      <c r="B152" s="110">
        <f t="shared" si="0"/>
        <v>2029</v>
      </c>
      <c r="C152" s="111">
        <f>[35]С2.5!$N$11</f>
        <v>0</v>
      </c>
    </row>
    <row r="153" spans="1:3" hidden="1" x14ac:dyDescent="0.2">
      <c r="A153" s="105"/>
      <c r="B153" s="110">
        <f t="shared" si="0"/>
        <v>2030</v>
      </c>
      <c r="C153" s="111">
        <f>[35]С2.5!$O$11</f>
        <v>0</v>
      </c>
    </row>
    <row r="154" spans="1:3" hidden="1" x14ac:dyDescent="0.2">
      <c r="A154" s="105"/>
      <c r="B154" s="110">
        <f t="shared" si="0"/>
        <v>2031</v>
      </c>
      <c r="C154" s="111">
        <f>[35]С2.5!$P$11</f>
        <v>0</v>
      </c>
    </row>
    <row r="155" spans="1:3" hidden="1" x14ac:dyDescent="0.2">
      <c r="A155" s="89"/>
      <c r="B155" s="110">
        <f t="shared" si="0"/>
        <v>2032</v>
      </c>
      <c r="C155" s="111">
        <f>[35]С2.5!$Q$11</f>
        <v>0</v>
      </c>
    </row>
    <row r="156" spans="1:3" hidden="1" x14ac:dyDescent="0.2">
      <c r="A156" s="89"/>
      <c r="B156" s="110">
        <f t="shared" si="0"/>
        <v>2033</v>
      </c>
      <c r="C156" s="111">
        <f>[35]С2.5!$R$11</f>
        <v>0</v>
      </c>
    </row>
    <row r="157" spans="1:3" hidden="1" x14ac:dyDescent="0.2">
      <c r="B157" s="110">
        <f t="shared" si="0"/>
        <v>2034</v>
      </c>
      <c r="C157" s="111">
        <f>[35]С2.5!$S$11</f>
        <v>0</v>
      </c>
    </row>
    <row r="158" spans="1:3" hidden="1" x14ac:dyDescent="0.2">
      <c r="B158" s="110">
        <f t="shared" si="0"/>
        <v>2035</v>
      </c>
      <c r="C158" s="111">
        <f>[35]С2.5!$T$11</f>
        <v>0</v>
      </c>
    </row>
    <row r="159" spans="1:3" hidden="1" x14ac:dyDescent="0.2">
      <c r="B159" s="110">
        <f t="shared" si="0"/>
        <v>2036</v>
      </c>
      <c r="C159" s="111">
        <f>[35]С2.5!$U$11</f>
        <v>0</v>
      </c>
    </row>
    <row r="160" spans="1:3" hidden="1" x14ac:dyDescent="0.2">
      <c r="B160" s="110">
        <f t="shared" si="0"/>
        <v>2037</v>
      </c>
      <c r="C160" s="111">
        <f>[35]С2.5!$V$11</f>
        <v>0</v>
      </c>
    </row>
    <row r="161" spans="2:3" hidden="1" x14ac:dyDescent="0.2">
      <c r="B161" s="110">
        <f t="shared" si="0"/>
        <v>2038</v>
      </c>
      <c r="C161" s="111">
        <f>[35]С2.5!$W$11</f>
        <v>0</v>
      </c>
    </row>
    <row r="162" spans="2:3" hidden="1" x14ac:dyDescent="0.2">
      <c r="B162" s="110">
        <f t="shared" si="0"/>
        <v>2039</v>
      </c>
      <c r="C162" s="111">
        <f>[35]С2.5!$X$11</f>
        <v>0</v>
      </c>
    </row>
    <row r="163" spans="2:3" hidden="1" x14ac:dyDescent="0.2">
      <c r="B163" s="110">
        <f t="shared" si="0"/>
        <v>2040</v>
      </c>
      <c r="C163" s="111">
        <f>[35]С2.5!$Y$11</f>
        <v>0</v>
      </c>
    </row>
    <row r="164" spans="2:3" hidden="1" x14ac:dyDescent="0.2">
      <c r="B164" s="110">
        <f t="shared" si="0"/>
        <v>2041</v>
      </c>
      <c r="C164" s="111">
        <f>[35]С2.5!$Z$11</f>
        <v>0</v>
      </c>
    </row>
    <row r="165" spans="2:3" hidden="1" x14ac:dyDescent="0.2">
      <c r="B165" s="110">
        <f t="shared" si="0"/>
        <v>2042</v>
      </c>
      <c r="C165" s="111">
        <f>[35]С2.5!$AA$11</f>
        <v>0</v>
      </c>
    </row>
    <row r="166" spans="2:3" hidden="1" x14ac:dyDescent="0.2">
      <c r="B166" s="110">
        <f t="shared" si="0"/>
        <v>2043</v>
      </c>
      <c r="C166" s="111">
        <f>[35]С2.5!$AB$11</f>
        <v>0</v>
      </c>
    </row>
    <row r="167" spans="2:3" hidden="1" x14ac:dyDescent="0.2">
      <c r="B167" s="110">
        <f t="shared" si="0"/>
        <v>2044</v>
      </c>
      <c r="C167" s="111">
        <f>[35]С2.5!$AC$11</f>
        <v>0</v>
      </c>
    </row>
    <row r="168" spans="2:3" hidden="1" x14ac:dyDescent="0.2">
      <c r="B168" s="110">
        <f t="shared" si="0"/>
        <v>2045</v>
      </c>
      <c r="C168" s="111">
        <f>[35]С2.5!$AD$11</f>
        <v>0</v>
      </c>
    </row>
    <row r="169" spans="2:3" hidden="1" x14ac:dyDescent="0.2">
      <c r="B169" s="110">
        <f t="shared" si="0"/>
        <v>2046</v>
      </c>
      <c r="C169" s="111">
        <f>[35]С2.5!$AE$11</f>
        <v>0</v>
      </c>
    </row>
    <row r="170" spans="2:3" hidden="1" x14ac:dyDescent="0.2">
      <c r="B170" s="110">
        <f t="shared" si="0"/>
        <v>2047</v>
      </c>
      <c r="C170" s="111">
        <f>[35]С2.5!$AF$11</f>
        <v>0</v>
      </c>
    </row>
    <row r="171" spans="2:3" hidden="1" x14ac:dyDescent="0.2">
      <c r="B171" s="110">
        <f t="shared" si="0"/>
        <v>2048</v>
      </c>
      <c r="C171" s="111">
        <f>[35]С2.5!$AG$11</f>
        <v>0</v>
      </c>
    </row>
    <row r="172" spans="2:3" hidden="1" x14ac:dyDescent="0.2">
      <c r="B172" s="110">
        <f t="shared" si="0"/>
        <v>2049</v>
      </c>
      <c r="C172" s="111">
        <f>[35]С2.5!$AH$11</f>
        <v>0</v>
      </c>
    </row>
    <row r="173" spans="2:3" hidden="1" x14ac:dyDescent="0.2">
      <c r="B173" s="110">
        <f t="shared" si="0"/>
        <v>2050</v>
      </c>
      <c r="C173" s="111">
        <f>[35]С2.5!$AI$11</f>
        <v>0</v>
      </c>
    </row>
    <row r="174" spans="2:3" hidden="1" x14ac:dyDescent="0.2">
      <c r="B174" s="110">
        <f t="shared" si="0"/>
        <v>2051</v>
      </c>
      <c r="C174" s="111">
        <f>[35]С2.5!$AJ$11</f>
        <v>0</v>
      </c>
    </row>
    <row r="175" spans="2:3" hidden="1" x14ac:dyDescent="0.2">
      <c r="B175" s="110">
        <f t="shared" si="0"/>
        <v>2052</v>
      </c>
      <c r="C175" s="111">
        <f>[35]С2.5!$AK$11</f>
        <v>0</v>
      </c>
    </row>
    <row r="176" spans="2:3" hidden="1" x14ac:dyDescent="0.2">
      <c r="B176" s="110">
        <f t="shared" si="0"/>
        <v>2053</v>
      </c>
      <c r="C176" s="111">
        <f>[35]С2.5!$AL$11</f>
        <v>0</v>
      </c>
    </row>
    <row r="177" spans="2:3" hidden="1" x14ac:dyDescent="0.2">
      <c r="B177" s="110">
        <f t="shared" si="0"/>
        <v>2054</v>
      </c>
      <c r="C177" s="111">
        <f>[35]С2.5!$AM$11</f>
        <v>0</v>
      </c>
    </row>
    <row r="178" spans="2:3" hidden="1" x14ac:dyDescent="0.2">
      <c r="B178" s="110">
        <f t="shared" si="0"/>
        <v>2055</v>
      </c>
      <c r="C178" s="111">
        <f>[35]С2.5!$AN$11</f>
        <v>0</v>
      </c>
    </row>
    <row r="179" spans="2:3" hidden="1" x14ac:dyDescent="0.2">
      <c r="B179" s="110">
        <f t="shared" si="0"/>
        <v>2056</v>
      </c>
      <c r="C179" s="111">
        <f>[35]С2.5!$AO$11</f>
        <v>0</v>
      </c>
    </row>
    <row r="180" spans="2:3" hidden="1" x14ac:dyDescent="0.2">
      <c r="B180" s="110">
        <f t="shared" si="0"/>
        <v>2057</v>
      </c>
      <c r="C180" s="111">
        <f>[35]С2.5!$AP$11</f>
        <v>0</v>
      </c>
    </row>
    <row r="181" spans="2:3" hidden="1" x14ac:dyDescent="0.2">
      <c r="B181" s="110">
        <f t="shared" si="0"/>
        <v>2058</v>
      </c>
      <c r="C181" s="111">
        <f>[35]С2.5!$AQ$11</f>
        <v>0</v>
      </c>
    </row>
    <row r="182" spans="2:3" hidden="1" x14ac:dyDescent="0.2">
      <c r="B182" s="110">
        <f t="shared" si="0"/>
        <v>2059</v>
      </c>
      <c r="C182" s="111">
        <f>[35]С2.5!$AR$11</f>
        <v>0</v>
      </c>
    </row>
    <row r="183" spans="2:3" hidden="1" x14ac:dyDescent="0.2">
      <c r="B183" s="110">
        <f t="shared" si="0"/>
        <v>2060</v>
      </c>
      <c r="C183" s="111">
        <f>[35]С2.5!$AS$11</f>
        <v>0</v>
      </c>
    </row>
    <row r="184" spans="2:3" hidden="1" x14ac:dyDescent="0.2">
      <c r="B184" s="110">
        <f t="shared" si="0"/>
        <v>2061</v>
      </c>
      <c r="C184" s="111">
        <f>[35]С2.5!$AT$11</f>
        <v>0</v>
      </c>
    </row>
    <row r="185" spans="2:3" hidden="1" x14ac:dyDescent="0.2">
      <c r="B185" s="110">
        <f t="shared" si="0"/>
        <v>2062</v>
      </c>
      <c r="C185" s="111">
        <f>[35]С2.5!$AU$11</f>
        <v>0</v>
      </c>
    </row>
    <row r="186" spans="2:3" hidden="1" x14ac:dyDescent="0.2">
      <c r="B186" s="110">
        <f t="shared" si="0"/>
        <v>2063</v>
      </c>
      <c r="C186" s="111">
        <f>[35]С2.5!$AV$11</f>
        <v>0</v>
      </c>
    </row>
    <row r="187" spans="2:3" hidden="1" x14ac:dyDescent="0.2">
      <c r="B187" s="110">
        <f t="shared" si="0"/>
        <v>2064</v>
      </c>
      <c r="C187" s="111">
        <f>[35]С2.5!$AW$11</f>
        <v>0</v>
      </c>
    </row>
    <row r="188" spans="2:3" hidden="1" x14ac:dyDescent="0.2">
      <c r="B188" s="110">
        <f t="shared" si="0"/>
        <v>2065</v>
      </c>
      <c r="C188" s="111">
        <f>[35]С2.5!$AX$11</f>
        <v>0</v>
      </c>
    </row>
    <row r="189" spans="2:3" hidden="1" x14ac:dyDescent="0.2">
      <c r="B189" s="110">
        <f t="shared" si="0"/>
        <v>2066</v>
      </c>
      <c r="C189" s="111">
        <f>[35]С2.5!$AY$11</f>
        <v>0</v>
      </c>
    </row>
    <row r="190" spans="2:3" hidden="1" x14ac:dyDescent="0.2">
      <c r="B190" s="110">
        <f t="shared" si="0"/>
        <v>2067</v>
      </c>
      <c r="C190" s="111">
        <f>[35]С2.5!$AZ$11</f>
        <v>0</v>
      </c>
    </row>
    <row r="191" spans="2:3" hidden="1" x14ac:dyDescent="0.2">
      <c r="B191" s="110">
        <f t="shared" si="0"/>
        <v>2068</v>
      </c>
      <c r="C191" s="111">
        <f>[35]С2.5!$BA$11</f>
        <v>0</v>
      </c>
    </row>
    <row r="192" spans="2:3" hidden="1" x14ac:dyDescent="0.2">
      <c r="B192" s="110">
        <f t="shared" si="0"/>
        <v>2069</v>
      </c>
      <c r="C192" s="111">
        <f>[35]С2.5!$BB$11</f>
        <v>0</v>
      </c>
    </row>
    <row r="193" spans="2:3" hidden="1" x14ac:dyDescent="0.2">
      <c r="B193" s="110">
        <f t="shared" si="0"/>
        <v>2070</v>
      </c>
      <c r="C193" s="111">
        <f>[35]С2.5!$BC$11</f>
        <v>0</v>
      </c>
    </row>
    <row r="194" spans="2:3" hidden="1" x14ac:dyDescent="0.2">
      <c r="B194" s="110">
        <f t="shared" si="0"/>
        <v>2071</v>
      </c>
      <c r="C194" s="111">
        <f>[35]С2.5!$BD$11</f>
        <v>0</v>
      </c>
    </row>
    <row r="195" spans="2:3" hidden="1" x14ac:dyDescent="0.2">
      <c r="B195" s="110">
        <f t="shared" si="0"/>
        <v>2072</v>
      </c>
      <c r="C195" s="111">
        <f>[35]С2.5!$BE$11</f>
        <v>0</v>
      </c>
    </row>
    <row r="196" spans="2:3" hidden="1" x14ac:dyDescent="0.2">
      <c r="B196" s="110">
        <f t="shared" si="0"/>
        <v>2073</v>
      </c>
      <c r="C196" s="111">
        <f>[35]С2.5!$BF$11</f>
        <v>0</v>
      </c>
    </row>
    <row r="197" spans="2:3" hidden="1" x14ac:dyDescent="0.2">
      <c r="B197" s="110">
        <f t="shared" si="0"/>
        <v>2074</v>
      </c>
      <c r="C197" s="111">
        <f>[35]С2.5!$BG$11</f>
        <v>0</v>
      </c>
    </row>
    <row r="198" spans="2:3" hidden="1" x14ac:dyDescent="0.2">
      <c r="B198" s="110">
        <f t="shared" si="0"/>
        <v>2075</v>
      </c>
      <c r="C198" s="111">
        <f>[35]С2.5!$BH$11</f>
        <v>0</v>
      </c>
    </row>
    <row r="199" spans="2:3" hidden="1" x14ac:dyDescent="0.2">
      <c r="B199" s="110">
        <f t="shared" si="0"/>
        <v>2076</v>
      </c>
      <c r="C199" s="111">
        <f>[35]С2.5!$BI$11</f>
        <v>0</v>
      </c>
    </row>
    <row r="200" spans="2:3" hidden="1" x14ac:dyDescent="0.2">
      <c r="B200" s="110">
        <f t="shared" si="0"/>
        <v>2077</v>
      </c>
      <c r="C200" s="111">
        <f>[35]С2.5!$BJ$11</f>
        <v>0</v>
      </c>
    </row>
    <row r="201" spans="2:3" hidden="1" x14ac:dyDescent="0.2">
      <c r="B201" s="110">
        <f t="shared" si="0"/>
        <v>2078</v>
      </c>
      <c r="C201" s="111">
        <f>[35]С2.5!$BK$11</f>
        <v>0</v>
      </c>
    </row>
    <row r="202" spans="2:3" hidden="1" x14ac:dyDescent="0.2">
      <c r="B202" s="110">
        <f t="shared" si="0"/>
        <v>2079</v>
      </c>
      <c r="C202" s="111">
        <f>[35]С2.5!$BL$11</f>
        <v>0</v>
      </c>
    </row>
    <row r="203" spans="2:3" hidden="1" x14ac:dyDescent="0.2">
      <c r="B203" s="110">
        <f t="shared" si="0"/>
        <v>2080</v>
      </c>
      <c r="C203" s="111">
        <f>[35]С2.5!$BM$11</f>
        <v>0</v>
      </c>
    </row>
    <row r="204" spans="2:3" hidden="1" x14ac:dyDescent="0.2">
      <c r="B204" s="110">
        <f t="shared" si="0"/>
        <v>2081</v>
      </c>
      <c r="C204" s="111">
        <f>[35]С2.5!$BN$11</f>
        <v>0</v>
      </c>
    </row>
    <row r="205" spans="2:3" hidden="1" x14ac:dyDescent="0.2">
      <c r="B205" s="110">
        <f t="shared" si="0"/>
        <v>2082</v>
      </c>
      <c r="C205" s="111">
        <f>[35]С2.5!$BO$11</f>
        <v>0</v>
      </c>
    </row>
    <row r="206" spans="2:3" hidden="1" x14ac:dyDescent="0.2">
      <c r="B206" s="110">
        <f t="shared" si="0"/>
        <v>2083</v>
      </c>
      <c r="C206" s="111">
        <f>[35]С2.5!$BP$11</f>
        <v>0</v>
      </c>
    </row>
    <row r="207" spans="2:3" hidden="1" x14ac:dyDescent="0.2">
      <c r="B207" s="110">
        <f t="shared" si="0"/>
        <v>2084</v>
      </c>
      <c r="C207" s="111">
        <f>[35]С2.5!$BQ$11</f>
        <v>0</v>
      </c>
    </row>
    <row r="208" spans="2:3" hidden="1" x14ac:dyDescent="0.2">
      <c r="B208" s="110">
        <f t="shared" si="0"/>
        <v>2085</v>
      </c>
      <c r="C208" s="111">
        <f>[35]С2.5!$BR$11</f>
        <v>0</v>
      </c>
    </row>
    <row r="209" spans="2:3" hidden="1" x14ac:dyDescent="0.2">
      <c r="B209" s="110">
        <f t="shared" ref="B209:B223" si="1">B208+1</f>
        <v>2086</v>
      </c>
      <c r="C209" s="111">
        <f>[35]С2.5!$BS$11</f>
        <v>0</v>
      </c>
    </row>
    <row r="210" spans="2:3" hidden="1" x14ac:dyDescent="0.2">
      <c r="B210" s="110">
        <f t="shared" si="1"/>
        <v>2087</v>
      </c>
      <c r="C210" s="111">
        <f>[35]С2.5!$BT$11</f>
        <v>0</v>
      </c>
    </row>
    <row r="211" spans="2:3" hidden="1" x14ac:dyDescent="0.2">
      <c r="B211" s="110">
        <f t="shared" si="1"/>
        <v>2088</v>
      </c>
      <c r="C211" s="111">
        <f>[35]С2.5!$BU$11</f>
        <v>0</v>
      </c>
    </row>
    <row r="212" spans="2:3" hidden="1" x14ac:dyDescent="0.2">
      <c r="B212" s="110">
        <f t="shared" si="1"/>
        <v>2089</v>
      </c>
      <c r="C212" s="111">
        <f>[35]С2.5!$BV$11</f>
        <v>0</v>
      </c>
    </row>
    <row r="213" spans="2:3" hidden="1" x14ac:dyDescent="0.2">
      <c r="B213" s="110">
        <f t="shared" si="1"/>
        <v>2090</v>
      </c>
      <c r="C213" s="111">
        <f>[35]С2.5!$BW$11</f>
        <v>0</v>
      </c>
    </row>
    <row r="214" spans="2:3" hidden="1" x14ac:dyDescent="0.2">
      <c r="B214" s="110">
        <f t="shared" si="1"/>
        <v>2091</v>
      </c>
      <c r="C214" s="111">
        <f>[35]С2.5!$BX$11</f>
        <v>0</v>
      </c>
    </row>
    <row r="215" spans="2:3" hidden="1" x14ac:dyDescent="0.2">
      <c r="B215" s="110">
        <f t="shared" si="1"/>
        <v>2092</v>
      </c>
      <c r="C215" s="111">
        <f>[35]С2.5!$BY$11</f>
        <v>0</v>
      </c>
    </row>
    <row r="216" spans="2:3" hidden="1" x14ac:dyDescent="0.2">
      <c r="B216" s="110">
        <f t="shared" si="1"/>
        <v>2093</v>
      </c>
      <c r="C216" s="111">
        <f>[35]С2.5!$BZ$11</f>
        <v>0</v>
      </c>
    </row>
    <row r="217" spans="2:3" hidden="1" x14ac:dyDescent="0.2">
      <c r="B217" s="110">
        <f t="shared" si="1"/>
        <v>2094</v>
      </c>
      <c r="C217" s="111">
        <f>[35]С2.5!$CA$11</f>
        <v>0</v>
      </c>
    </row>
    <row r="218" spans="2:3" hidden="1" x14ac:dyDescent="0.2">
      <c r="B218" s="110">
        <f t="shared" si="1"/>
        <v>2095</v>
      </c>
      <c r="C218" s="111">
        <f>[35]С2.5!$CB$11</f>
        <v>0</v>
      </c>
    </row>
    <row r="219" spans="2:3" hidden="1" x14ac:dyDescent="0.2">
      <c r="B219" s="110">
        <f t="shared" si="1"/>
        <v>2096</v>
      </c>
      <c r="C219" s="111">
        <f>[35]С2.5!$CC$11</f>
        <v>0</v>
      </c>
    </row>
    <row r="220" spans="2:3" hidden="1" x14ac:dyDescent="0.2">
      <c r="B220" s="110">
        <f t="shared" si="1"/>
        <v>2097</v>
      </c>
      <c r="C220" s="111">
        <f>[35]С2.5!$CD$11</f>
        <v>0</v>
      </c>
    </row>
    <row r="221" spans="2:3" hidden="1" x14ac:dyDescent="0.2">
      <c r="B221" s="110">
        <f t="shared" si="1"/>
        <v>2098</v>
      </c>
      <c r="C221" s="111">
        <f>[35]С2.5!$CE$11</f>
        <v>0</v>
      </c>
    </row>
    <row r="222" spans="2:3" hidden="1" x14ac:dyDescent="0.2">
      <c r="B222" s="110">
        <f t="shared" si="1"/>
        <v>2099</v>
      </c>
      <c r="C222" s="111">
        <f>[35]С2.5!$CF$11</f>
        <v>0</v>
      </c>
    </row>
    <row r="223" spans="2:3" ht="13.5" hidden="1" thickBot="1" x14ac:dyDescent="0.25">
      <c r="B223" s="112">
        <f t="shared" si="1"/>
        <v>2100</v>
      </c>
      <c r="C223" s="113">
        <f>[35]С2.5!$CG$11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4" sqref="F4"/>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[26]И1!D13</f>
        <v>Субъект Российской Федерации</v>
      </c>
      <c r="C4" s="10" t="str">
        <f>[26]И1!E13</f>
        <v>Новосибирская область</v>
      </c>
    </row>
    <row r="5" spans="1:3" ht="48.6" customHeight="1" x14ac:dyDescent="0.2">
      <c r="A5" s="8"/>
      <c r="B5" s="9" t="str">
        <f>[26]И1!D14</f>
        <v>Тип муниципального образования (выберите из списка)</v>
      </c>
      <c r="C5" s="10" t="str">
        <f>[26]И1!E14</f>
        <v>поселок Агролес, Искитимский муниципальный район</v>
      </c>
    </row>
    <row r="6" spans="1:3" x14ac:dyDescent="0.2">
      <c r="A6" s="8"/>
      <c r="B6" s="9" t="str">
        <f>IF([26]И1!E15="","",[26]И1!D15)</f>
        <v/>
      </c>
      <c r="C6" s="7" t="str">
        <f>IF([26]И1!E15="","",[26]И1!E15)</f>
        <v/>
      </c>
    </row>
    <row r="7" spans="1:3" x14ac:dyDescent="0.2">
      <c r="A7" s="8"/>
      <c r="B7" s="9" t="str">
        <f>[26]И1!D16</f>
        <v>Код ОКТМО</v>
      </c>
      <c r="C7" s="11" t="str">
        <f>[26]И1!E16</f>
        <v xml:space="preserve"> (50615417101)</v>
      </c>
    </row>
    <row r="8" spans="1:3" x14ac:dyDescent="0.2">
      <c r="A8" s="8"/>
      <c r="B8" s="12" t="str">
        <f>[26]И1!D17</f>
        <v>Система теплоснабжения</v>
      </c>
      <c r="C8" s="13">
        <f>[26]И1!E17</f>
        <v>0</v>
      </c>
    </row>
    <row r="9" spans="1:3" x14ac:dyDescent="0.2">
      <c r="A9" s="8"/>
      <c r="B9" s="9" t="str">
        <f>[26]И1!D8</f>
        <v>Период регулирования (i)-й</v>
      </c>
      <c r="C9" s="14">
        <f>[26]И1!E8</f>
        <v>2025</v>
      </c>
    </row>
    <row r="10" spans="1:3" x14ac:dyDescent="0.2">
      <c r="A10" s="8"/>
      <c r="B10" s="9" t="str">
        <f>[26]И1!D9</f>
        <v>Период регулирования (i-1)-й</v>
      </c>
      <c r="C10" s="14">
        <f>[26]И1!E9</f>
        <v>2024</v>
      </c>
    </row>
    <row r="11" spans="1:3" x14ac:dyDescent="0.2">
      <c r="A11" s="8"/>
      <c r="B11" s="9" t="str">
        <f>[26]И1!D10</f>
        <v>Период регулирования (i-2)-й</v>
      </c>
      <c r="C11" s="14">
        <f>[26]И1!E10</f>
        <v>2023</v>
      </c>
    </row>
    <row r="12" spans="1:3" x14ac:dyDescent="0.2">
      <c r="A12" s="8"/>
      <c r="B12" s="9" t="str">
        <f>[26]И1!D11</f>
        <v>Базовый год (б)</v>
      </c>
      <c r="C12" s="14">
        <f>[26]И1!E11</f>
        <v>2019</v>
      </c>
    </row>
    <row r="13" spans="1:3" x14ac:dyDescent="0.2">
      <c r="A13" s="8"/>
      <c r="B13" s="9" t="str">
        <f>[26]И1!D18</f>
        <v>Вид топлива, использование которого преобладает в системе теплоснабжения</v>
      </c>
      <c r="C13" s="15" t="str">
        <f>[26]И1!E18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4216.3281465159562</v>
      </c>
    </row>
    <row r="18" spans="1:3" ht="42.75" x14ac:dyDescent="0.2">
      <c r="A18" s="22" t="s">
        <v>8</v>
      </c>
      <c r="B18" s="25" t="s">
        <v>9</v>
      </c>
      <c r="C18" s="26">
        <f>[26]С1!F12</f>
        <v>1201.0642791911237</v>
      </c>
    </row>
    <row r="19" spans="1:3" ht="42.75" x14ac:dyDescent="0.2">
      <c r="A19" s="22" t="s">
        <v>10</v>
      </c>
      <c r="B19" s="25" t="s">
        <v>11</v>
      </c>
      <c r="C19" s="26">
        <f>[26]С2!F12</f>
        <v>2049.7946392543367</v>
      </c>
    </row>
    <row r="20" spans="1:3" ht="30" x14ac:dyDescent="0.2">
      <c r="A20" s="22" t="s">
        <v>12</v>
      </c>
      <c r="B20" s="25" t="s">
        <v>13</v>
      </c>
      <c r="C20" s="26">
        <f>[26]С3!F12</f>
        <v>613.3572799725365</v>
      </c>
    </row>
    <row r="21" spans="1:3" ht="42.75" x14ac:dyDescent="0.2">
      <c r="A21" s="22" t="s">
        <v>14</v>
      </c>
      <c r="B21" s="25" t="s">
        <v>228</v>
      </c>
      <c r="C21" s="26">
        <f>[26]С4!F12</f>
        <v>269.43884718588168</v>
      </c>
    </row>
    <row r="22" spans="1:3" ht="33" customHeight="1" x14ac:dyDescent="0.2">
      <c r="A22" s="22" t="s">
        <v>16</v>
      </c>
      <c r="B22" s="25" t="s">
        <v>229</v>
      </c>
      <c r="C22" s="26">
        <f>[26]С5!F12</f>
        <v>82.673100912077572</v>
      </c>
    </row>
    <row r="23" spans="1:3" ht="45.75" customHeight="1" thickBot="1" x14ac:dyDescent="0.25">
      <c r="A23" s="27" t="s">
        <v>18</v>
      </c>
      <c r="B23" s="140" t="s">
        <v>230</v>
      </c>
      <c r="C23" s="28">
        <f>[26]С6!F12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[26]С1.1!E16</f>
        <v>7900</v>
      </c>
    </row>
    <row r="29" spans="1:3" ht="42.75" x14ac:dyDescent="0.2">
      <c r="A29" s="22" t="s">
        <v>10</v>
      </c>
      <c r="B29" s="33" t="s">
        <v>232</v>
      </c>
      <c r="C29" s="34">
        <f>[26]С1.1!E32</f>
        <v>6213.94</v>
      </c>
    </row>
    <row r="30" spans="1:3" ht="38.25" x14ac:dyDescent="0.2">
      <c r="A30" s="22" t="s">
        <v>233</v>
      </c>
      <c r="B30" s="33" t="s">
        <v>234</v>
      </c>
      <c r="C30" s="85" t="str">
        <f>[26]С1.1!E25</f>
        <v>ООО "Газпром газораспределение Томск"</v>
      </c>
    </row>
    <row r="31" spans="1:3" ht="38.25" x14ac:dyDescent="0.2">
      <c r="A31" s="22" t="s">
        <v>235</v>
      </c>
      <c r="B31" s="33" t="str">
        <f>[26]С1.1!D26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[26]С1.1!E26</f>
        <v>5099</v>
      </c>
    </row>
    <row r="32" spans="1:3" ht="25.5" x14ac:dyDescent="0.2">
      <c r="A32" s="22" t="s">
        <v>236</v>
      </c>
      <c r="B32" s="33" t="str">
        <f>[26]С1.1!D27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[26]С1.1!E27</f>
        <v>740.38</v>
      </c>
    </row>
    <row r="33" spans="1:3" ht="25.5" x14ac:dyDescent="0.2">
      <c r="A33" s="22" t="s">
        <v>237</v>
      </c>
      <c r="B33" s="33" t="str">
        <f>[26]С1.1!D28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[26]С1.1!E28</f>
        <v>144.72999999999999</v>
      </c>
    </row>
    <row r="34" spans="1:3" ht="38.25" x14ac:dyDescent="0.2">
      <c r="A34" s="22" t="s">
        <v>238</v>
      </c>
      <c r="B34" s="33" t="str">
        <f>[26]С1.1!D29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[26]С1.1!E29</f>
        <v>229.83</v>
      </c>
    </row>
    <row r="35" spans="1:3" ht="17.25" x14ac:dyDescent="0.2">
      <c r="A35" s="22" t="s">
        <v>12</v>
      </c>
      <c r="B35" s="33" t="s">
        <v>23</v>
      </c>
      <c r="C35" s="35">
        <f>[26]С1.1!E20</f>
        <v>0.112</v>
      </c>
    </row>
    <row r="36" spans="1:3" ht="17.25" x14ac:dyDescent="0.2">
      <c r="A36" s="22" t="s">
        <v>14</v>
      </c>
      <c r="B36" s="33" t="s">
        <v>24</v>
      </c>
      <c r="C36" s="35">
        <f>[26]С1.1!E21</f>
        <v>0.21299999999999999</v>
      </c>
    </row>
    <row r="37" spans="1:3" ht="30" x14ac:dyDescent="0.2">
      <c r="A37" s="22" t="s">
        <v>16</v>
      </c>
      <c r="B37" s="36" t="s">
        <v>239</v>
      </c>
      <c r="C37" s="121">
        <f>[26]С1!F13</f>
        <v>156.1</v>
      </c>
    </row>
    <row r="38" spans="1:3" x14ac:dyDescent="0.2">
      <c r="A38" s="22" t="s">
        <v>18</v>
      </c>
      <c r="B38" s="36" t="s">
        <v>26</v>
      </c>
      <c r="C38" s="38">
        <f>[26]С1!F16</f>
        <v>7000</v>
      </c>
    </row>
    <row r="39" spans="1:3" ht="14.25" x14ac:dyDescent="0.2">
      <c r="A39" s="122" t="s">
        <v>27</v>
      </c>
      <c r="B39" s="39" t="s">
        <v>240</v>
      </c>
      <c r="C39" s="40">
        <f>[26]С1!F17</f>
        <v>1.1285714285714286</v>
      </c>
    </row>
    <row r="40" spans="1:3" ht="15.75" x14ac:dyDescent="0.2">
      <c r="A40" s="123" t="s">
        <v>29</v>
      </c>
      <c r="B40" s="42" t="s">
        <v>30</v>
      </c>
      <c r="C40" s="40">
        <f>[26]С1!F20</f>
        <v>22.307053372799995</v>
      </c>
    </row>
    <row r="41" spans="1:3" ht="15.75" x14ac:dyDescent="0.2">
      <c r="A41" s="123" t="s">
        <v>31</v>
      </c>
      <c r="B41" s="43" t="s">
        <v>32</v>
      </c>
      <c r="C41" s="40">
        <f>[26]С1!F21</f>
        <v>21.531904799999996</v>
      </c>
    </row>
    <row r="42" spans="1:3" ht="14.25" x14ac:dyDescent="0.2">
      <c r="A42" s="123" t="s">
        <v>33</v>
      </c>
      <c r="B42" s="44" t="s">
        <v>34</v>
      </c>
      <c r="C42" s="40">
        <f>[26]С1!F22</f>
        <v>1.036</v>
      </c>
    </row>
    <row r="43" spans="1:3" ht="53.25" thickBot="1" x14ac:dyDescent="0.25">
      <c r="A43" s="27" t="s">
        <v>35</v>
      </c>
      <c r="B43" s="45" t="s">
        <v>36</v>
      </c>
      <c r="C43" s="46" t="str">
        <f>[26]С1!F23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[26]С2.1!E12</f>
        <v>V</v>
      </c>
    </row>
    <row r="47" spans="1:3" ht="25.5" x14ac:dyDescent="0.2">
      <c r="A47" s="22" t="s">
        <v>41</v>
      </c>
      <c r="B47" s="33" t="s">
        <v>42</v>
      </c>
      <c r="C47" s="51" t="str">
        <f>[26]С2.1!E13</f>
        <v>6 и менее баллов</v>
      </c>
    </row>
    <row r="48" spans="1:3" ht="25.5" x14ac:dyDescent="0.2">
      <c r="A48" s="22" t="s">
        <v>43</v>
      </c>
      <c r="B48" s="33" t="s">
        <v>241</v>
      </c>
      <c r="C48" s="51" t="str">
        <f>[26]С2.1!E14</f>
        <v>от 200 до 500</v>
      </c>
    </row>
    <row r="49" spans="1:3" ht="25.5" x14ac:dyDescent="0.2">
      <c r="A49" s="22" t="s">
        <v>45</v>
      </c>
      <c r="B49" s="33" t="s">
        <v>242</v>
      </c>
      <c r="C49" s="52" t="str">
        <f>[26]С2.1!E15</f>
        <v>нет</v>
      </c>
    </row>
    <row r="50" spans="1:3" ht="30" x14ac:dyDescent="0.2">
      <c r="A50" s="22" t="s">
        <v>47</v>
      </c>
      <c r="B50" s="33" t="s">
        <v>48</v>
      </c>
      <c r="C50" s="34">
        <f>[26]С2!F18</f>
        <v>38910.02669467502</v>
      </c>
    </row>
    <row r="51" spans="1:3" ht="30" x14ac:dyDescent="0.2">
      <c r="A51" s="22" t="s">
        <v>49</v>
      </c>
      <c r="B51" s="53" t="s">
        <v>50</v>
      </c>
      <c r="C51" s="34">
        <f>IF([26]С2!F19&gt;0,[26]С2!F19,[26]С2!F20)</f>
        <v>23441.524932855718</v>
      </c>
    </row>
    <row r="52" spans="1:3" ht="25.5" x14ac:dyDescent="0.2">
      <c r="A52" s="22" t="s">
        <v>51</v>
      </c>
      <c r="B52" s="54" t="s">
        <v>52</v>
      </c>
      <c r="C52" s="34">
        <f>[26]С2.1!E20</f>
        <v>-38</v>
      </c>
    </row>
    <row r="53" spans="1:3" ht="25.5" x14ac:dyDescent="0.2">
      <c r="A53" s="22" t="s">
        <v>53</v>
      </c>
      <c r="B53" s="54" t="s">
        <v>54</v>
      </c>
      <c r="C53" s="34" t="str">
        <f>[26]С2.1!E23</f>
        <v>нет</v>
      </c>
    </row>
    <row r="54" spans="1:3" ht="38.25" x14ac:dyDescent="0.2">
      <c r="A54" s="22" t="s">
        <v>55</v>
      </c>
      <c r="B54" s="55" t="s">
        <v>56</v>
      </c>
      <c r="C54" s="34">
        <f>[26]С2.2!E10</f>
        <v>1287</v>
      </c>
    </row>
    <row r="55" spans="1:3" ht="25.5" x14ac:dyDescent="0.2">
      <c r="A55" s="22" t="s">
        <v>57</v>
      </c>
      <c r="B55" s="56" t="s">
        <v>58</v>
      </c>
      <c r="C55" s="34">
        <f>[26]С2.2!E12</f>
        <v>5.97</v>
      </c>
    </row>
    <row r="56" spans="1:3" ht="52.5" x14ac:dyDescent="0.2">
      <c r="A56" s="22" t="s">
        <v>59</v>
      </c>
      <c r="B56" s="57" t="s">
        <v>60</v>
      </c>
      <c r="C56" s="34">
        <f>[26]С2.2!E13</f>
        <v>1</v>
      </c>
    </row>
    <row r="57" spans="1:3" ht="27.75" x14ac:dyDescent="0.2">
      <c r="A57" s="22" t="s">
        <v>61</v>
      </c>
      <c r="B57" s="56" t="s">
        <v>62</v>
      </c>
      <c r="C57" s="34">
        <f>[26]С2.2!E14</f>
        <v>12104</v>
      </c>
    </row>
    <row r="58" spans="1:3" ht="25.5" x14ac:dyDescent="0.2">
      <c r="A58" s="22" t="s">
        <v>63</v>
      </c>
      <c r="B58" s="57" t="s">
        <v>64</v>
      </c>
      <c r="C58" s="35">
        <f>[26]С2.2!E15</f>
        <v>4.8000000000000001E-2</v>
      </c>
    </row>
    <row r="59" spans="1:3" x14ac:dyDescent="0.2">
      <c r="A59" s="22" t="s">
        <v>65</v>
      </c>
      <c r="B59" s="57" t="s">
        <v>66</v>
      </c>
      <c r="C59" s="124">
        <f>[26]С2.2!E16</f>
        <v>1</v>
      </c>
    </row>
    <row r="60" spans="1:3" ht="15.75" x14ac:dyDescent="0.2">
      <c r="A60" s="22" t="s">
        <v>67</v>
      </c>
      <c r="B60" s="58" t="s">
        <v>68</v>
      </c>
      <c r="C60" s="34">
        <f>[26]С2!F21</f>
        <v>1</v>
      </c>
    </row>
    <row r="61" spans="1:3" ht="30" x14ac:dyDescent="0.2">
      <c r="A61" s="59" t="s">
        <v>69</v>
      </c>
      <c r="B61" s="33" t="s">
        <v>243</v>
      </c>
      <c r="C61" s="34">
        <f>[26]С2!F13</f>
        <v>116526.45062105893</v>
      </c>
    </row>
    <row r="62" spans="1:3" ht="30" x14ac:dyDescent="0.2">
      <c r="A62" s="59" t="s">
        <v>71</v>
      </c>
      <c r="B62" s="60" t="s">
        <v>244</v>
      </c>
      <c r="C62" s="34">
        <f>[26]С2!F14</f>
        <v>64899</v>
      </c>
    </row>
    <row r="63" spans="1:3" ht="15.75" x14ac:dyDescent="0.2">
      <c r="A63" s="59" t="s">
        <v>73</v>
      </c>
      <c r="B63" s="60" t="s">
        <v>74</v>
      </c>
      <c r="C63" s="40">
        <f>[26]С2!F15</f>
        <v>1.071</v>
      </c>
    </row>
    <row r="64" spans="1:3" ht="15.75" x14ac:dyDescent="0.2">
      <c r="A64" s="59" t="s">
        <v>75</v>
      </c>
      <c r="B64" s="60" t="s">
        <v>76</v>
      </c>
      <c r="C64" s="125">
        <f>[26]С2!F16</f>
        <v>1</v>
      </c>
    </row>
    <row r="65" spans="1:3" ht="17.25" x14ac:dyDescent="0.2">
      <c r="A65" s="59" t="s">
        <v>77</v>
      </c>
      <c r="B65" s="60" t="s">
        <v>78</v>
      </c>
      <c r="C65" s="126">
        <f>[26]С2!F17</f>
        <v>1.01</v>
      </c>
    </row>
    <row r="66" spans="1:3" s="63" customFormat="1" ht="14.25" x14ac:dyDescent="0.2">
      <c r="A66" s="59" t="s">
        <v>79</v>
      </c>
      <c r="B66" s="61" t="s">
        <v>80</v>
      </c>
      <c r="C66" s="62">
        <f>[26]С2!F35</f>
        <v>10</v>
      </c>
    </row>
    <row r="67" spans="1:3" ht="30" x14ac:dyDescent="0.2">
      <c r="A67" s="59" t="s">
        <v>81</v>
      </c>
      <c r="B67" s="64" t="s">
        <v>82</v>
      </c>
      <c r="C67" s="34">
        <f>[26]С2!F28</f>
        <v>366.91081711820414</v>
      </c>
    </row>
    <row r="68" spans="1:3" ht="17.25" x14ac:dyDescent="0.2">
      <c r="A68" s="59" t="s">
        <v>83</v>
      </c>
      <c r="B68" s="53" t="s">
        <v>245</v>
      </c>
      <c r="C68" s="40">
        <f>[26]С2!F29</f>
        <v>0.44209422600000003</v>
      </c>
    </row>
    <row r="69" spans="1:3" ht="17.25" x14ac:dyDescent="0.2">
      <c r="A69" s="59" t="s">
        <v>85</v>
      </c>
      <c r="B69" s="58" t="s">
        <v>246</v>
      </c>
      <c r="C69" s="62">
        <f>[26]С2!F30</f>
        <v>500</v>
      </c>
    </row>
    <row r="70" spans="1:3" ht="42.75" x14ac:dyDescent="0.2">
      <c r="A70" s="59" t="s">
        <v>87</v>
      </c>
      <c r="B70" s="33" t="s">
        <v>247</v>
      </c>
      <c r="C70" s="34">
        <f>[26]С2!F22</f>
        <v>43932.649760529566</v>
      </c>
    </row>
    <row r="71" spans="1:3" ht="30" x14ac:dyDescent="0.2">
      <c r="A71" s="59" t="s">
        <v>89</v>
      </c>
      <c r="B71" s="60" t="s">
        <v>248</v>
      </c>
      <c r="C71" s="34">
        <f>[26]С2!F23</f>
        <v>21</v>
      </c>
    </row>
    <row r="72" spans="1:3" ht="30" x14ac:dyDescent="0.2">
      <c r="A72" s="59" t="s">
        <v>91</v>
      </c>
      <c r="B72" s="53" t="s">
        <v>92</v>
      </c>
      <c r="C72" s="34">
        <f>[26]С2.1!E28</f>
        <v>14036.09995</v>
      </c>
    </row>
    <row r="73" spans="1:3" ht="38.25" x14ac:dyDescent="0.2">
      <c r="A73" s="59" t="s">
        <v>93</v>
      </c>
      <c r="B73" s="65" t="s">
        <v>94</v>
      </c>
      <c r="C73" s="52">
        <f>[26]С2.3!E21</f>
        <v>0</v>
      </c>
    </row>
    <row r="74" spans="1:3" ht="25.5" x14ac:dyDescent="0.2">
      <c r="A74" s="59" t="s">
        <v>95</v>
      </c>
      <c r="B74" s="66" t="s">
        <v>96</v>
      </c>
      <c r="C74" s="67">
        <f>[26]С2.3!E11</f>
        <v>5.45</v>
      </c>
    </row>
    <row r="75" spans="1:3" ht="25.5" x14ac:dyDescent="0.2">
      <c r="A75" s="59" t="s">
        <v>97</v>
      </c>
      <c r="B75" s="66" t="s">
        <v>98</v>
      </c>
      <c r="C75" s="62">
        <f>[26]С2.3!E13</f>
        <v>300</v>
      </c>
    </row>
    <row r="76" spans="1:3" ht="25.5" x14ac:dyDescent="0.2">
      <c r="A76" s="59" t="s">
        <v>99</v>
      </c>
      <c r="B76" s="65" t="s">
        <v>100</v>
      </c>
      <c r="C76" s="68">
        <f>IF([26]С2.3!E22&gt;0,[26]С2.3!E22,[26]С2.3!E14)</f>
        <v>61211</v>
      </c>
    </row>
    <row r="77" spans="1:3" ht="38.25" x14ac:dyDescent="0.2">
      <c r="A77" s="59" t="s">
        <v>101</v>
      </c>
      <c r="B77" s="65" t="s">
        <v>102</v>
      </c>
      <c r="C77" s="68">
        <f>IF([26]С2.3!E23&gt;0,[26]С2.3!E23,[26]С2.3!E15)</f>
        <v>45675</v>
      </c>
    </row>
    <row r="78" spans="1:3" ht="30" x14ac:dyDescent="0.2">
      <c r="A78" s="59" t="s">
        <v>103</v>
      </c>
      <c r="B78" s="53" t="s">
        <v>104</v>
      </c>
      <c r="C78" s="34">
        <f>[26]С2.1!E29</f>
        <v>9518.3274000000001</v>
      </c>
    </row>
    <row r="79" spans="1:3" ht="38.25" x14ac:dyDescent="0.2">
      <c r="A79" s="59" t="s">
        <v>105</v>
      </c>
      <c r="B79" s="65" t="s">
        <v>106</v>
      </c>
      <c r="C79" s="52">
        <f>[26]С2.3!E25</f>
        <v>0</v>
      </c>
    </row>
    <row r="80" spans="1:3" ht="25.5" x14ac:dyDescent="0.2">
      <c r="A80" s="59" t="s">
        <v>107</v>
      </c>
      <c r="B80" s="66" t="s">
        <v>108</v>
      </c>
      <c r="C80" s="67">
        <f>[26]С2.3!E12</f>
        <v>0.2</v>
      </c>
    </row>
    <row r="81" spans="1:3" ht="25.5" x14ac:dyDescent="0.2">
      <c r="A81" s="59" t="s">
        <v>109</v>
      </c>
      <c r="B81" s="66" t="s">
        <v>98</v>
      </c>
      <c r="C81" s="62">
        <f>[26]С2.3!E13</f>
        <v>300</v>
      </c>
    </row>
    <row r="82" spans="1:3" ht="25.5" x14ac:dyDescent="0.2">
      <c r="A82" s="59" t="s">
        <v>110</v>
      </c>
      <c r="B82" s="69" t="s">
        <v>111</v>
      </c>
      <c r="C82" s="68">
        <f>IF([26]С2.3!E26&gt;0,[26]С2.3!E26,[26]С2.3!E16)</f>
        <v>65637</v>
      </c>
    </row>
    <row r="83" spans="1:3" ht="38.25" x14ac:dyDescent="0.2">
      <c r="A83" s="59" t="s">
        <v>112</v>
      </c>
      <c r="B83" s="69" t="s">
        <v>113</v>
      </c>
      <c r="C83" s="68">
        <f>IF([26]С2.3!E27&gt;0,[26]С2.3!E27,[26]С2.3!E17)</f>
        <v>31684</v>
      </c>
    </row>
    <row r="84" spans="1:3" ht="30" x14ac:dyDescent="0.2">
      <c r="A84" s="59" t="s">
        <v>249</v>
      </c>
      <c r="B84" s="60" t="s">
        <v>250</v>
      </c>
      <c r="C84" s="68">
        <f>IF([26]С2.1!E19&gt;0,[26]С2.1!E19,[26]С2!F26)</f>
        <v>2892</v>
      </c>
    </row>
    <row r="85" spans="1:3" ht="17.25" x14ac:dyDescent="0.2">
      <c r="A85" s="59" t="s">
        <v>114</v>
      </c>
      <c r="B85" s="33" t="s">
        <v>115</v>
      </c>
      <c r="C85" s="35">
        <f>[26]С2!F31</f>
        <v>0.17804631770487722</v>
      </c>
    </row>
    <row r="86" spans="1:3" ht="30" x14ac:dyDescent="0.2">
      <c r="A86" s="59" t="s">
        <v>116</v>
      </c>
      <c r="B86" s="53" t="s">
        <v>117</v>
      </c>
      <c r="C86" s="70">
        <f>[26]С2!F32</f>
        <v>0.1652189781021898</v>
      </c>
    </row>
    <row r="87" spans="1:3" ht="17.25" x14ac:dyDescent="0.2">
      <c r="A87" s="59" t="s">
        <v>118</v>
      </c>
      <c r="B87" s="71" t="s">
        <v>119</v>
      </c>
      <c r="C87" s="35">
        <f>[26]С2!F33</f>
        <v>0.13880000000000001</v>
      </c>
    </row>
    <row r="88" spans="1:3" s="63" customFormat="1" ht="18" thickBot="1" x14ac:dyDescent="0.25">
      <c r="A88" s="72" t="s">
        <v>120</v>
      </c>
      <c r="B88" s="73" t="s">
        <v>121</v>
      </c>
      <c r="C88" s="74">
        <f>[26]С2!F34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[26]С3!F14</f>
        <v>10281.56929785238</v>
      </c>
    </row>
    <row r="92" spans="1:3" s="63" customFormat="1" ht="42.75" x14ac:dyDescent="0.2">
      <c r="A92" s="77" t="s">
        <v>126</v>
      </c>
      <c r="B92" s="53" t="s">
        <v>127</v>
      </c>
      <c r="C92" s="78">
        <f>[26]С3!F15</f>
        <v>0.25</v>
      </c>
    </row>
    <row r="93" spans="1:3" s="63" customFormat="1" ht="14.25" x14ac:dyDescent="0.2">
      <c r="A93" s="77" t="s">
        <v>128</v>
      </c>
      <c r="B93" s="79" t="s">
        <v>129</v>
      </c>
      <c r="C93" s="62">
        <f>[26]С3!F18</f>
        <v>15</v>
      </c>
    </row>
    <row r="94" spans="1:3" s="63" customFormat="1" ht="17.25" x14ac:dyDescent="0.2">
      <c r="A94" s="77" t="s">
        <v>130</v>
      </c>
      <c r="B94" s="33" t="s">
        <v>131</v>
      </c>
      <c r="C94" s="34">
        <f>[26]С3!F19</f>
        <v>2924.0805304518653</v>
      </c>
    </row>
    <row r="95" spans="1:3" s="63" customFormat="1" ht="55.5" x14ac:dyDescent="0.2">
      <c r="A95" s="77" t="s">
        <v>132</v>
      </c>
      <c r="B95" s="53" t="s">
        <v>133</v>
      </c>
      <c r="C95" s="80">
        <f>[26]С3!F20</f>
        <v>2.1999999999999999E-2</v>
      </c>
    </row>
    <row r="96" spans="1:3" s="63" customFormat="1" ht="14.25" x14ac:dyDescent="0.2">
      <c r="A96" s="77" t="s">
        <v>134</v>
      </c>
      <c r="B96" s="58" t="s">
        <v>80</v>
      </c>
      <c r="C96" s="62">
        <f>[26]С3!F21</f>
        <v>10</v>
      </c>
    </row>
    <row r="97" spans="1:3" s="63" customFormat="1" ht="17.25" x14ac:dyDescent="0.2">
      <c r="A97" s="77" t="s">
        <v>135</v>
      </c>
      <c r="B97" s="33" t="s">
        <v>136</v>
      </c>
      <c r="C97" s="34">
        <f>[26]С3!F22</f>
        <v>1.1007324513546124</v>
      </c>
    </row>
    <row r="98" spans="1:3" s="63" customFormat="1" ht="55.5" x14ac:dyDescent="0.2">
      <c r="A98" s="77" t="s">
        <v>137</v>
      </c>
      <c r="B98" s="53" t="s">
        <v>138</v>
      </c>
      <c r="C98" s="80">
        <f>[26]С3!F23</f>
        <v>3.0000000000000001E-3</v>
      </c>
    </row>
    <row r="99" spans="1:3" s="63" customFormat="1" ht="30.75" thickBot="1" x14ac:dyDescent="0.25">
      <c r="A99" s="81" t="s">
        <v>139</v>
      </c>
      <c r="B99" s="82" t="s">
        <v>82</v>
      </c>
      <c r="C99" s="83">
        <f>[26]С3!F24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[26]С4!F16</f>
        <v>832.33500000000004</v>
      </c>
    </row>
    <row r="103" spans="1:3" ht="30" x14ac:dyDescent="0.2">
      <c r="A103" s="59" t="s">
        <v>145</v>
      </c>
      <c r="B103" s="58" t="s">
        <v>252</v>
      </c>
      <c r="C103" s="34">
        <f>[26]С4!F17</f>
        <v>43385</v>
      </c>
    </row>
    <row r="104" spans="1:3" ht="17.25" x14ac:dyDescent="0.2">
      <c r="A104" s="59" t="s">
        <v>147</v>
      </c>
      <c r="B104" s="58" t="s">
        <v>148</v>
      </c>
      <c r="C104" s="40">
        <f>[26]С4!F18</f>
        <v>1.4999999999999999E-2</v>
      </c>
    </row>
    <row r="105" spans="1:3" ht="30" x14ac:dyDescent="0.2">
      <c r="A105" s="59" t="s">
        <v>149</v>
      </c>
      <c r="B105" s="58" t="s">
        <v>150</v>
      </c>
      <c r="C105" s="34">
        <f>[26]С4!F19</f>
        <v>12104</v>
      </c>
    </row>
    <row r="106" spans="1:3" ht="31.5" x14ac:dyDescent="0.2">
      <c r="A106" s="59" t="s">
        <v>151</v>
      </c>
      <c r="B106" s="58" t="s">
        <v>152</v>
      </c>
      <c r="C106" s="40">
        <f>[26]С4!F20</f>
        <v>1.4999999999999999E-2</v>
      </c>
    </row>
    <row r="107" spans="1:3" ht="30" x14ac:dyDescent="0.2">
      <c r="A107" s="59" t="s">
        <v>153</v>
      </c>
      <c r="B107" s="33" t="s">
        <v>253</v>
      </c>
      <c r="C107" s="34">
        <f>[26]С4!F21</f>
        <v>1221.9019409821399</v>
      </c>
    </row>
    <row r="108" spans="1:3" ht="45.6" customHeight="1" x14ac:dyDescent="0.2">
      <c r="A108" s="59" t="s">
        <v>155</v>
      </c>
      <c r="B108" s="53" t="s">
        <v>156</v>
      </c>
      <c r="C108" s="85" t="str">
        <f>IF([26]С4.2!F8="да",[26]С4.2!D21,[26]С4.2!D15)</f>
        <v>АО "Новосибирскэнергосбыт"</v>
      </c>
    </row>
    <row r="109" spans="1:3" ht="68.25" customHeight="1" x14ac:dyDescent="0.2">
      <c r="A109" s="59" t="s">
        <v>157</v>
      </c>
      <c r="B109" s="53" t="s">
        <v>158</v>
      </c>
      <c r="C109" s="34">
        <f>[26]С4!F22</f>
        <v>3.6112641666666665</v>
      </c>
    </row>
    <row r="110" spans="1:3" ht="30" x14ac:dyDescent="0.2">
      <c r="A110" s="59" t="s">
        <v>159</v>
      </c>
      <c r="B110" s="58" t="s">
        <v>254</v>
      </c>
      <c r="C110" s="62">
        <f>[26]С4!F23</f>
        <v>110</v>
      </c>
    </row>
    <row r="111" spans="1:3" ht="14.25" x14ac:dyDescent="0.2">
      <c r="A111" s="59" t="s">
        <v>161</v>
      </c>
      <c r="B111" s="53" t="s">
        <v>162</v>
      </c>
      <c r="C111" s="34">
        <f>[26]С4!F24</f>
        <v>8497.1999999999989</v>
      </c>
    </row>
    <row r="112" spans="1:3" ht="14.25" x14ac:dyDescent="0.2">
      <c r="A112" s="59" t="s">
        <v>163</v>
      </c>
      <c r="B112" s="58" t="s">
        <v>164</v>
      </c>
      <c r="C112" s="40">
        <f>[26]С4!F25</f>
        <v>0.36199999999999999</v>
      </c>
    </row>
    <row r="113" spans="1:3" ht="17.25" x14ac:dyDescent="0.2">
      <c r="A113" s="59" t="s">
        <v>165</v>
      </c>
      <c r="B113" s="33" t="s">
        <v>166</v>
      </c>
      <c r="C113" s="34">
        <f>[26]С4!F26</f>
        <v>49.168300000000002</v>
      </c>
    </row>
    <row r="114" spans="1:3" ht="25.5" x14ac:dyDescent="0.2">
      <c r="A114" s="59" t="s">
        <v>167</v>
      </c>
      <c r="B114" s="53" t="s">
        <v>94</v>
      </c>
      <c r="C114" s="85">
        <f>[26]С4.3!E16</f>
        <v>0</v>
      </c>
    </row>
    <row r="115" spans="1:3" ht="25.5" x14ac:dyDescent="0.2">
      <c r="A115" s="59" t="s">
        <v>168</v>
      </c>
      <c r="B115" s="53" t="s">
        <v>169</v>
      </c>
      <c r="C115" s="34">
        <f>[26]С4.3!E17</f>
        <v>24.43</v>
      </c>
    </row>
    <row r="116" spans="1:3" ht="38.25" x14ac:dyDescent="0.2">
      <c r="A116" s="59" t="s">
        <v>170</v>
      </c>
      <c r="B116" s="53" t="s">
        <v>106</v>
      </c>
      <c r="C116" s="85">
        <f>[26]С4.3!E18</f>
        <v>0</v>
      </c>
    </row>
    <row r="117" spans="1:3" x14ac:dyDescent="0.2">
      <c r="A117" s="59" t="s">
        <v>171</v>
      </c>
      <c r="B117" s="53" t="s">
        <v>172</v>
      </c>
      <c r="C117" s="34">
        <f>[26]С4.3!E19</f>
        <v>26.98</v>
      </c>
    </row>
    <row r="118" spans="1:3" x14ac:dyDescent="0.2">
      <c r="A118" s="59" t="s">
        <v>173</v>
      </c>
      <c r="B118" s="58" t="s">
        <v>174</v>
      </c>
      <c r="C118" s="62">
        <f>[26]С4.3!E11</f>
        <v>1871</v>
      </c>
    </row>
    <row r="119" spans="1:3" x14ac:dyDescent="0.2">
      <c r="A119" s="59" t="s">
        <v>175</v>
      </c>
      <c r="B119" s="58" t="s">
        <v>176</v>
      </c>
      <c r="C119" s="52">
        <f>[26]С4.3!E12</f>
        <v>61</v>
      </c>
    </row>
    <row r="120" spans="1:3" x14ac:dyDescent="0.2">
      <c r="A120" s="59" t="s">
        <v>177</v>
      </c>
      <c r="B120" s="58" t="s">
        <v>178</v>
      </c>
      <c r="C120" s="52">
        <f>[26]С4.3!E13</f>
        <v>73</v>
      </c>
    </row>
    <row r="121" spans="1:3" ht="30" x14ac:dyDescent="0.2">
      <c r="A121" s="59" t="s">
        <v>179</v>
      </c>
      <c r="B121" s="33" t="s">
        <v>255</v>
      </c>
      <c r="C121" s="34">
        <f>[26]С4!F27</f>
        <v>904.62444244124072</v>
      </c>
    </row>
    <row r="122" spans="1:3" ht="25.5" x14ac:dyDescent="0.2">
      <c r="A122" s="59" t="s">
        <v>181</v>
      </c>
      <c r="B122" s="53" t="s">
        <v>256</v>
      </c>
      <c r="C122" s="34">
        <f>[26]С4!F28</f>
        <v>694.79603874135228</v>
      </c>
    </row>
    <row r="123" spans="1:3" ht="42.75" x14ac:dyDescent="0.2">
      <c r="A123" s="59" t="s">
        <v>183</v>
      </c>
      <c r="B123" s="53" t="s">
        <v>184</v>
      </c>
      <c r="C123" s="34">
        <f>[26]С4!F29</f>
        <v>209.82840369988838</v>
      </c>
    </row>
    <row r="124" spans="1:3" ht="30.75" thickBot="1" x14ac:dyDescent="0.25">
      <c r="A124" s="72" t="s">
        <v>185</v>
      </c>
      <c r="B124" s="90" t="s">
        <v>186</v>
      </c>
      <c r="C124" s="83">
        <f>[26]С4!F30</f>
        <v>808.57506449830123</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[26]С5!F17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IF([26]С6.1!E11="нет",[26]С6!F13,"")</f>
        <v/>
      </c>
    </row>
    <row r="131" spans="1:3" ht="42.75" x14ac:dyDescent="0.2">
      <c r="A131" s="59" t="s">
        <v>204</v>
      </c>
      <c r="B131" s="86" t="s">
        <v>205</v>
      </c>
      <c r="C131" s="92" t="str">
        <f>IF([26]С6.1!E12="нет",[26]С6.1!E17,"")</f>
        <v/>
      </c>
    </row>
    <row r="132" spans="1:3" ht="68.25" x14ac:dyDescent="0.2">
      <c r="A132" s="59" t="s">
        <v>206</v>
      </c>
      <c r="B132" s="91" t="s">
        <v>207</v>
      </c>
      <c r="C132" s="127" t="str">
        <f>IF([26]С6.1!E18="нет",[26]С6!F19,"")</f>
        <v/>
      </c>
    </row>
    <row r="133" spans="1:3" ht="55.5" x14ac:dyDescent="0.2">
      <c r="A133" s="59" t="s">
        <v>208</v>
      </c>
      <c r="B133" s="86" t="s">
        <v>209</v>
      </c>
      <c r="C133" s="35" t="str">
        <f>IF([26]С6.1!E18="нет",[26]С6.1!E19,"")</f>
        <v/>
      </c>
    </row>
    <row r="134" spans="1:3" ht="61.5" customHeight="1" x14ac:dyDescent="0.2">
      <c r="A134" s="59" t="s">
        <v>210</v>
      </c>
      <c r="B134" s="86" t="s">
        <v>257</v>
      </c>
      <c r="C134" s="35" t="str">
        <f>IF([26]С6.1!E18="нет",[26]С6.1!E22,"")</f>
        <v/>
      </c>
    </row>
    <row r="135" spans="1:3" ht="69" thickBot="1" x14ac:dyDescent="0.25">
      <c r="A135" s="72" t="s">
        <v>212</v>
      </c>
      <c r="B135" s="98" t="s">
        <v>213</v>
      </c>
      <c r="C135" s="74" t="str">
        <f>IF([26]С6.1!E18="нет",[26]С6.1!E23,"")</f>
        <v/>
      </c>
    </row>
    <row r="136" spans="1:3" s="89" customFormat="1" ht="13.5" thickBot="1" x14ac:dyDescent="0.25">
      <c r="A136" s="47"/>
      <c r="B136" s="75"/>
      <c r="C136" s="15"/>
    </row>
    <row r="137" spans="1:3" ht="15.75" x14ac:dyDescent="0.2">
      <c r="A137" s="84" t="s">
        <v>214</v>
      </c>
      <c r="B137" s="99" t="s">
        <v>215</v>
      </c>
      <c r="C137" s="100">
        <f>[26]С2!F39</f>
        <v>21.531904799999996</v>
      </c>
    </row>
    <row r="138" spans="1:3" ht="14.25" x14ac:dyDescent="0.2">
      <c r="A138" s="59" t="s">
        <v>216</v>
      </c>
      <c r="B138" s="58" t="s">
        <v>217</v>
      </c>
      <c r="C138" s="34">
        <f>[26]С2!F40</f>
        <v>7</v>
      </c>
    </row>
    <row r="139" spans="1:3" ht="17.25" x14ac:dyDescent="0.2">
      <c r="A139" s="59" t="s">
        <v>218</v>
      </c>
      <c r="B139" s="58" t="s">
        <v>219</v>
      </c>
      <c r="C139" s="34">
        <f>[26]С2!F42</f>
        <v>0.97</v>
      </c>
    </row>
    <row r="140" spans="1:3" ht="15" thickBot="1" x14ac:dyDescent="0.25">
      <c r="A140" s="72" t="s">
        <v>220</v>
      </c>
      <c r="B140" s="73" t="s">
        <v>221</v>
      </c>
      <c r="C140" s="46">
        <f>[26]С2!F44</f>
        <v>0.36199999999999999</v>
      </c>
    </row>
    <row r="141" spans="1:3" s="89" customFormat="1" ht="13.5" thickBot="1" x14ac:dyDescent="0.25">
      <c r="A141" s="47"/>
      <c r="B141" s="75"/>
      <c r="C141" s="15"/>
    </row>
    <row r="142" spans="1:3" ht="17.25" x14ac:dyDescent="0.2">
      <c r="A142" s="84" t="s">
        <v>222</v>
      </c>
      <c r="B142" s="103" t="s">
        <v>258</v>
      </c>
      <c r="C142" s="128">
        <f>[26]С2!F37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[26]С2.5!$E$11</f>
        <v>-2.9000000000000026E-2</v>
      </c>
    </row>
    <row r="146" spans="1:3" x14ac:dyDescent="0.2">
      <c r="B146" s="131">
        <f>B145+1</f>
        <v>2021</v>
      </c>
      <c r="C146" s="133">
        <f>[26]С2.5!$F$11</f>
        <v>0.245</v>
      </c>
    </row>
    <row r="147" spans="1:3" x14ac:dyDescent="0.2">
      <c r="B147" s="131">
        <f t="shared" ref="B147:B210" si="0">B146+1</f>
        <v>2022</v>
      </c>
      <c r="C147" s="134">
        <f>[26]С2.5!$G$11</f>
        <v>0.114</v>
      </c>
    </row>
    <row r="148" spans="1:3" x14ac:dyDescent="0.2">
      <c r="B148" s="110">
        <f t="shared" si="0"/>
        <v>2023</v>
      </c>
      <c r="C148" s="135">
        <f>[26]С2.5!$H$11</f>
        <v>0.04</v>
      </c>
    </row>
    <row r="149" spans="1:3" x14ac:dyDescent="0.2">
      <c r="B149" s="110">
        <f t="shared" si="0"/>
        <v>2024</v>
      </c>
      <c r="C149" s="135">
        <f>[26]С2.5!$I$11</f>
        <v>0.11700000000000001</v>
      </c>
    </row>
    <row r="150" spans="1:3" ht="13.5" thickBot="1" x14ac:dyDescent="0.25">
      <c r="B150" s="110">
        <f t="shared" si="0"/>
        <v>2025</v>
      </c>
      <c r="C150" s="135">
        <f>[26]С2.5!$J$11</f>
        <v>6.0999999999999999E-2</v>
      </c>
    </row>
    <row r="151" spans="1:3" ht="13.5" hidden="1" thickBot="1" x14ac:dyDescent="0.25">
      <c r="B151" s="110">
        <f t="shared" si="0"/>
        <v>2026</v>
      </c>
      <c r="C151" s="135">
        <f>[26]С2.5!$K$11</f>
        <v>0</v>
      </c>
    </row>
    <row r="152" spans="1:3" ht="13.5" hidden="1" thickBot="1" x14ac:dyDescent="0.25">
      <c r="B152" s="110">
        <f t="shared" si="0"/>
        <v>2027</v>
      </c>
      <c r="C152" s="135">
        <f>[26]С2.5!$L$11</f>
        <v>0</v>
      </c>
    </row>
    <row r="153" spans="1:3" ht="13.5" hidden="1" thickBot="1" x14ac:dyDescent="0.25">
      <c r="B153" s="110">
        <f t="shared" si="0"/>
        <v>2028</v>
      </c>
      <c r="C153" s="135">
        <f>[26]С2.5!$M$11</f>
        <v>0</v>
      </c>
    </row>
    <row r="154" spans="1:3" ht="13.5" hidden="1" thickBot="1" x14ac:dyDescent="0.25">
      <c r="B154" s="110">
        <f t="shared" si="0"/>
        <v>2029</v>
      </c>
      <c r="C154" s="135">
        <f>[26]С2.5!$N$11</f>
        <v>0</v>
      </c>
    </row>
    <row r="155" spans="1:3" ht="13.5" hidden="1" thickBot="1" x14ac:dyDescent="0.25">
      <c r="B155" s="110">
        <f t="shared" si="0"/>
        <v>2030</v>
      </c>
      <c r="C155" s="135">
        <f>[26]С2.5!$O$11</f>
        <v>0</v>
      </c>
    </row>
    <row r="156" spans="1:3" ht="13.5" hidden="1" thickBot="1" x14ac:dyDescent="0.25">
      <c r="B156" s="110">
        <f t="shared" si="0"/>
        <v>2031</v>
      </c>
      <c r="C156" s="135">
        <f>[26]С2.5!$P$11</f>
        <v>0</v>
      </c>
    </row>
    <row r="157" spans="1:3" ht="13.5" hidden="1" thickBot="1" x14ac:dyDescent="0.25">
      <c r="B157" s="110">
        <f t="shared" si="0"/>
        <v>2032</v>
      </c>
      <c r="C157" s="135">
        <f>[26]С2.5!$Q$11</f>
        <v>0</v>
      </c>
    </row>
    <row r="158" spans="1:3" ht="13.5" hidden="1" thickBot="1" x14ac:dyDescent="0.25">
      <c r="B158" s="110">
        <f t="shared" si="0"/>
        <v>2033</v>
      </c>
      <c r="C158" s="135">
        <f>[26]С2.5!$R$11</f>
        <v>0</v>
      </c>
    </row>
    <row r="159" spans="1:3" ht="13.5" hidden="1" thickBot="1" x14ac:dyDescent="0.25">
      <c r="B159" s="110">
        <f t="shared" si="0"/>
        <v>2034</v>
      </c>
      <c r="C159" s="135">
        <f>[26]С2.5!$S$11</f>
        <v>0</v>
      </c>
    </row>
    <row r="160" spans="1:3" ht="13.5" hidden="1" thickBot="1" x14ac:dyDescent="0.25">
      <c r="B160" s="110">
        <f t="shared" si="0"/>
        <v>2035</v>
      </c>
      <c r="C160" s="135">
        <f>[26]С2.5!$T$11</f>
        <v>0</v>
      </c>
    </row>
    <row r="161" spans="2:3" ht="13.5" hidden="1" thickBot="1" x14ac:dyDescent="0.25">
      <c r="B161" s="110">
        <f t="shared" si="0"/>
        <v>2036</v>
      </c>
      <c r="C161" s="135">
        <f>[26]С2.5!$U$11</f>
        <v>0</v>
      </c>
    </row>
    <row r="162" spans="2:3" ht="13.5" hidden="1" thickBot="1" x14ac:dyDescent="0.25">
      <c r="B162" s="110">
        <f t="shared" si="0"/>
        <v>2037</v>
      </c>
      <c r="C162" s="135">
        <f>[26]С2.5!$V$11</f>
        <v>0</v>
      </c>
    </row>
    <row r="163" spans="2:3" ht="13.5" hidden="1" thickBot="1" x14ac:dyDescent="0.25">
      <c r="B163" s="110">
        <f t="shared" si="0"/>
        <v>2038</v>
      </c>
      <c r="C163" s="135">
        <f>[26]С2.5!$W$11</f>
        <v>0</v>
      </c>
    </row>
    <row r="164" spans="2:3" ht="13.5" hidden="1" thickBot="1" x14ac:dyDescent="0.25">
      <c r="B164" s="110">
        <f t="shared" si="0"/>
        <v>2039</v>
      </c>
      <c r="C164" s="135">
        <f>[26]С2.5!$X$11</f>
        <v>0</v>
      </c>
    </row>
    <row r="165" spans="2:3" ht="13.5" hidden="1" thickBot="1" x14ac:dyDescent="0.25">
      <c r="B165" s="110">
        <f t="shared" si="0"/>
        <v>2040</v>
      </c>
      <c r="C165" s="135">
        <f>[26]С2.5!$Y$11</f>
        <v>0</v>
      </c>
    </row>
    <row r="166" spans="2:3" ht="13.5" hidden="1" thickBot="1" x14ac:dyDescent="0.25">
      <c r="B166" s="110">
        <f t="shared" si="0"/>
        <v>2041</v>
      </c>
      <c r="C166" s="135">
        <f>[26]С2.5!$Z$11</f>
        <v>0</v>
      </c>
    </row>
    <row r="167" spans="2:3" ht="13.5" hidden="1" thickBot="1" x14ac:dyDescent="0.25">
      <c r="B167" s="110">
        <f t="shared" si="0"/>
        <v>2042</v>
      </c>
      <c r="C167" s="135">
        <f>[26]С2.5!$AA$11</f>
        <v>0</v>
      </c>
    </row>
    <row r="168" spans="2:3" ht="13.5" hidden="1" thickBot="1" x14ac:dyDescent="0.25">
      <c r="B168" s="110">
        <f t="shared" si="0"/>
        <v>2043</v>
      </c>
      <c r="C168" s="135">
        <f>[26]С2.5!$AB$11</f>
        <v>0</v>
      </c>
    </row>
    <row r="169" spans="2:3" ht="13.5" hidden="1" thickBot="1" x14ac:dyDescent="0.25">
      <c r="B169" s="110">
        <f t="shared" si="0"/>
        <v>2044</v>
      </c>
      <c r="C169" s="135">
        <f>[26]С2.5!$AC$11</f>
        <v>0</v>
      </c>
    </row>
    <row r="170" spans="2:3" ht="13.5" hidden="1" thickBot="1" x14ac:dyDescent="0.25">
      <c r="B170" s="110">
        <f t="shared" si="0"/>
        <v>2045</v>
      </c>
      <c r="C170" s="135">
        <f>[26]С2.5!$AD$11</f>
        <v>0</v>
      </c>
    </row>
    <row r="171" spans="2:3" ht="13.5" hidden="1" thickBot="1" x14ac:dyDescent="0.25">
      <c r="B171" s="110">
        <f t="shared" si="0"/>
        <v>2046</v>
      </c>
      <c r="C171" s="135">
        <f>[26]С2.5!$AE$11</f>
        <v>0</v>
      </c>
    </row>
    <row r="172" spans="2:3" ht="13.5" hidden="1" thickBot="1" x14ac:dyDescent="0.25">
      <c r="B172" s="110">
        <f t="shared" si="0"/>
        <v>2047</v>
      </c>
      <c r="C172" s="135">
        <f>[26]С2.5!$AF$11</f>
        <v>0</v>
      </c>
    </row>
    <row r="173" spans="2:3" ht="13.5" hidden="1" thickBot="1" x14ac:dyDescent="0.25">
      <c r="B173" s="110">
        <f t="shared" si="0"/>
        <v>2048</v>
      </c>
      <c r="C173" s="135">
        <f>[26]С2.5!$AG$11</f>
        <v>0</v>
      </c>
    </row>
    <row r="174" spans="2:3" ht="13.5" hidden="1" thickBot="1" x14ac:dyDescent="0.25">
      <c r="B174" s="110">
        <f t="shared" si="0"/>
        <v>2049</v>
      </c>
      <c r="C174" s="135">
        <f>[26]С2.5!$AH$11</f>
        <v>0</v>
      </c>
    </row>
    <row r="175" spans="2:3" ht="13.5" hidden="1" thickBot="1" x14ac:dyDescent="0.25">
      <c r="B175" s="110">
        <f t="shared" si="0"/>
        <v>2050</v>
      </c>
      <c r="C175" s="135">
        <f>[26]С2.5!$AI$11</f>
        <v>0</v>
      </c>
    </row>
    <row r="176" spans="2:3" ht="13.5" hidden="1" thickBot="1" x14ac:dyDescent="0.25">
      <c r="B176" s="110">
        <f t="shared" si="0"/>
        <v>2051</v>
      </c>
      <c r="C176" s="135">
        <f>[26]С2.5!$AJ$11</f>
        <v>0</v>
      </c>
    </row>
    <row r="177" spans="2:3" ht="13.5" hidden="1" thickBot="1" x14ac:dyDescent="0.25">
      <c r="B177" s="110">
        <f t="shared" si="0"/>
        <v>2052</v>
      </c>
      <c r="C177" s="135">
        <f>[26]С2.5!$AK$11</f>
        <v>0</v>
      </c>
    </row>
    <row r="178" spans="2:3" ht="13.5" hidden="1" thickBot="1" x14ac:dyDescent="0.25">
      <c r="B178" s="110">
        <f t="shared" si="0"/>
        <v>2053</v>
      </c>
      <c r="C178" s="135">
        <f>[26]С2.5!$AL$11</f>
        <v>0</v>
      </c>
    </row>
    <row r="179" spans="2:3" ht="13.5" hidden="1" thickBot="1" x14ac:dyDescent="0.25">
      <c r="B179" s="110">
        <f t="shared" si="0"/>
        <v>2054</v>
      </c>
      <c r="C179" s="135">
        <f>[26]С2.5!$AM$11</f>
        <v>0</v>
      </c>
    </row>
    <row r="180" spans="2:3" ht="13.5" hidden="1" thickBot="1" x14ac:dyDescent="0.25">
      <c r="B180" s="110">
        <f t="shared" si="0"/>
        <v>2055</v>
      </c>
      <c r="C180" s="135">
        <f>[26]С2.5!$AN$11</f>
        <v>0</v>
      </c>
    </row>
    <row r="181" spans="2:3" ht="13.5" hidden="1" thickBot="1" x14ac:dyDescent="0.25">
      <c r="B181" s="110">
        <f t="shared" si="0"/>
        <v>2056</v>
      </c>
      <c r="C181" s="135">
        <f>[26]С2.5!$AO$11</f>
        <v>0</v>
      </c>
    </row>
    <row r="182" spans="2:3" ht="13.5" hidden="1" thickBot="1" x14ac:dyDescent="0.25">
      <c r="B182" s="110">
        <f t="shared" si="0"/>
        <v>2057</v>
      </c>
      <c r="C182" s="135">
        <f>[26]С2.5!$AP$11</f>
        <v>0</v>
      </c>
    </row>
    <row r="183" spans="2:3" ht="13.5" hidden="1" thickBot="1" x14ac:dyDescent="0.25">
      <c r="B183" s="110">
        <f t="shared" si="0"/>
        <v>2058</v>
      </c>
      <c r="C183" s="135">
        <f>[26]С2.5!$AQ$11</f>
        <v>0</v>
      </c>
    </row>
    <row r="184" spans="2:3" ht="13.5" hidden="1" thickBot="1" x14ac:dyDescent="0.25">
      <c r="B184" s="110">
        <f t="shared" si="0"/>
        <v>2059</v>
      </c>
      <c r="C184" s="135">
        <f>[26]С2.5!$AR$11</f>
        <v>0</v>
      </c>
    </row>
    <row r="185" spans="2:3" ht="13.5" hidden="1" thickBot="1" x14ac:dyDescent="0.25">
      <c r="B185" s="110">
        <f t="shared" si="0"/>
        <v>2060</v>
      </c>
      <c r="C185" s="135">
        <f>[26]С2.5!$AS$11</f>
        <v>0</v>
      </c>
    </row>
    <row r="186" spans="2:3" ht="13.5" hidden="1" thickBot="1" x14ac:dyDescent="0.25">
      <c r="B186" s="110">
        <f t="shared" si="0"/>
        <v>2061</v>
      </c>
      <c r="C186" s="135">
        <f>[26]С2.5!$AT$11</f>
        <v>0</v>
      </c>
    </row>
    <row r="187" spans="2:3" ht="13.5" hidden="1" thickBot="1" x14ac:dyDescent="0.25">
      <c r="B187" s="110">
        <f t="shared" si="0"/>
        <v>2062</v>
      </c>
      <c r="C187" s="135">
        <f>[26]С2.5!$AU$11</f>
        <v>0</v>
      </c>
    </row>
    <row r="188" spans="2:3" ht="13.5" hidden="1" thickBot="1" x14ac:dyDescent="0.25">
      <c r="B188" s="110">
        <f t="shared" si="0"/>
        <v>2063</v>
      </c>
      <c r="C188" s="135">
        <f>[26]С2.5!$AV$11</f>
        <v>0</v>
      </c>
    </row>
    <row r="189" spans="2:3" ht="13.5" hidden="1" thickBot="1" x14ac:dyDescent="0.25">
      <c r="B189" s="110">
        <f t="shared" si="0"/>
        <v>2064</v>
      </c>
      <c r="C189" s="135">
        <f>[26]С2.5!$AW$11</f>
        <v>0</v>
      </c>
    </row>
    <row r="190" spans="2:3" ht="13.5" hidden="1" thickBot="1" x14ac:dyDescent="0.25">
      <c r="B190" s="110">
        <f t="shared" si="0"/>
        <v>2065</v>
      </c>
      <c r="C190" s="135">
        <f>[26]С2.5!$AX$11</f>
        <v>0</v>
      </c>
    </row>
    <row r="191" spans="2:3" ht="13.5" hidden="1" thickBot="1" x14ac:dyDescent="0.25">
      <c r="B191" s="110">
        <f t="shared" si="0"/>
        <v>2066</v>
      </c>
      <c r="C191" s="135">
        <f>[26]С2.5!$AY$11</f>
        <v>0</v>
      </c>
    </row>
    <row r="192" spans="2:3" ht="13.5" hidden="1" thickBot="1" x14ac:dyDescent="0.25">
      <c r="B192" s="110">
        <f t="shared" si="0"/>
        <v>2067</v>
      </c>
      <c r="C192" s="135">
        <f>[26]С2.5!$AZ$11</f>
        <v>0</v>
      </c>
    </row>
    <row r="193" spans="2:3" ht="13.5" hidden="1" thickBot="1" x14ac:dyDescent="0.25">
      <c r="B193" s="110">
        <f t="shared" si="0"/>
        <v>2068</v>
      </c>
      <c r="C193" s="135">
        <f>[26]С2.5!$BA$11</f>
        <v>0</v>
      </c>
    </row>
    <row r="194" spans="2:3" ht="13.5" hidden="1" thickBot="1" x14ac:dyDescent="0.25">
      <c r="B194" s="110">
        <f t="shared" si="0"/>
        <v>2069</v>
      </c>
      <c r="C194" s="135">
        <f>[26]С2.5!$BB$11</f>
        <v>0</v>
      </c>
    </row>
    <row r="195" spans="2:3" ht="13.5" hidden="1" thickBot="1" x14ac:dyDescent="0.25">
      <c r="B195" s="110">
        <f t="shared" si="0"/>
        <v>2070</v>
      </c>
      <c r="C195" s="135">
        <f>[26]С2.5!$BC$11</f>
        <v>0</v>
      </c>
    </row>
    <row r="196" spans="2:3" ht="13.5" hidden="1" thickBot="1" x14ac:dyDescent="0.25">
      <c r="B196" s="110">
        <f t="shared" si="0"/>
        <v>2071</v>
      </c>
      <c r="C196" s="135">
        <f>[26]С2.5!$BD$11</f>
        <v>0</v>
      </c>
    </row>
    <row r="197" spans="2:3" ht="13.5" hidden="1" thickBot="1" x14ac:dyDescent="0.25">
      <c r="B197" s="110">
        <f t="shared" si="0"/>
        <v>2072</v>
      </c>
      <c r="C197" s="135">
        <f>[26]С2.5!$BE$11</f>
        <v>0</v>
      </c>
    </row>
    <row r="198" spans="2:3" ht="13.5" hidden="1" thickBot="1" x14ac:dyDescent="0.25">
      <c r="B198" s="110">
        <f t="shared" si="0"/>
        <v>2073</v>
      </c>
      <c r="C198" s="135">
        <f>[26]С2.5!$BF$11</f>
        <v>0</v>
      </c>
    </row>
    <row r="199" spans="2:3" ht="13.5" hidden="1" thickBot="1" x14ac:dyDescent="0.25">
      <c r="B199" s="110">
        <f t="shared" si="0"/>
        <v>2074</v>
      </c>
      <c r="C199" s="135">
        <f>[26]С2.5!$BG$11</f>
        <v>0</v>
      </c>
    </row>
    <row r="200" spans="2:3" ht="13.5" hidden="1" thickBot="1" x14ac:dyDescent="0.25">
      <c r="B200" s="110">
        <f t="shared" si="0"/>
        <v>2075</v>
      </c>
      <c r="C200" s="135">
        <f>[26]С2.5!$BH$11</f>
        <v>0</v>
      </c>
    </row>
    <row r="201" spans="2:3" ht="13.5" hidden="1" thickBot="1" x14ac:dyDescent="0.25">
      <c r="B201" s="110">
        <f t="shared" si="0"/>
        <v>2076</v>
      </c>
      <c r="C201" s="135">
        <f>[26]С2.5!$BI$11</f>
        <v>0</v>
      </c>
    </row>
    <row r="202" spans="2:3" ht="13.5" hidden="1" thickBot="1" x14ac:dyDescent="0.25">
      <c r="B202" s="110">
        <f t="shared" si="0"/>
        <v>2077</v>
      </c>
      <c r="C202" s="135">
        <f>[26]С2.5!$BJ$11</f>
        <v>0</v>
      </c>
    </row>
    <row r="203" spans="2:3" ht="13.5" hidden="1" thickBot="1" x14ac:dyDescent="0.25">
      <c r="B203" s="110">
        <f t="shared" si="0"/>
        <v>2078</v>
      </c>
      <c r="C203" s="135">
        <f>[26]С2.5!$BK$11</f>
        <v>0</v>
      </c>
    </row>
    <row r="204" spans="2:3" ht="13.5" hidden="1" thickBot="1" x14ac:dyDescent="0.25">
      <c r="B204" s="110">
        <f t="shared" si="0"/>
        <v>2079</v>
      </c>
      <c r="C204" s="135">
        <f>[26]С2.5!$BL$11</f>
        <v>0</v>
      </c>
    </row>
    <row r="205" spans="2:3" ht="13.5" hidden="1" thickBot="1" x14ac:dyDescent="0.25">
      <c r="B205" s="110">
        <f t="shared" si="0"/>
        <v>2080</v>
      </c>
      <c r="C205" s="135">
        <f>[26]С2.5!$BM$11</f>
        <v>0</v>
      </c>
    </row>
    <row r="206" spans="2:3" ht="13.5" hidden="1" thickBot="1" x14ac:dyDescent="0.25">
      <c r="B206" s="110">
        <f t="shared" si="0"/>
        <v>2081</v>
      </c>
      <c r="C206" s="135">
        <f>[26]С2.5!$BN$11</f>
        <v>0</v>
      </c>
    </row>
    <row r="207" spans="2:3" ht="13.5" hidden="1" thickBot="1" x14ac:dyDescent="0.25">
      <c r="B207" s="110">
        <f t="shared" si="0"/>
        <v>2082</v>
      </c>
      <c r="C207" s="135">
        <f>[26]С2.5!$BO$11</f>
        <v>0</v>
      </c>
    </row>
    <row r="208" spans="2:3" ht="13.5" hidden="1" thickBot="1" x14ac:dyDescent="0.25">
      <c r="B208" s="110">
        <f t="shared" si="0"/>
        <v>2083</v>
      </c>
      <c r="C208" s="135">
        <f>[26]С2.5!$BP$11</f>
        <v>0</v>
      </c>
    </row>
    <row r="209" spans="2:3" ht="13.5" hidden="1" thickBot="1" x14ac:dyDescent="0.25">
      <c r="B209" s="110">
        <f t="shared" si="0"/>
        <v>2084</v>
      </c>
      <c r="C209" s="135">
        <f>[26]С2.5!$BQ$11</f>
        <v>0</v>
      </c>
    </row>
    <row r="210" spans="2:3" ht="13.5" hidden="1" thickBot="1" x14ac:dyDescent="0.25">
      <c r="B210" s="110">
        <f t="shared" si="0"/>
        <v>2085</v>
      </c>
      <c r="C210" s="135">
        <f>[26]С2.5!$BR$11</f>
        <v>0</v>
      </c>
    </row>
    <row r="211" spans="2:3" ht="13.5" hidden="1" thickBot="1" x14ac:dyDescent="0.25">
      <c r="B211" s="110">
        <f t="shared" ref="B211:B224" si="1">B210+1</f>
        <v>2086</v>
      </c>
      <c r="C211" s="135">
        <f>[26]С2.5!$BS$11</f>
        <v>0</v>
      </c>
    </row>
    <row r="212" spans="2:3" ht="13.5" hidden="1" thickBot="1" x14ac:dyDescent="0.25">
      <c r="B212" s="110">
        <f t="shared" si="1"/>
        <v>2087</v>
      </c>
      <c r="C212" s="135">
        <f>[26]С2.5!$BT$11</f>
        <v>0</v>
      </c>
    </row>
    <row r="213" spans="2:3" ht="13.5" hidden="1" thickBot="1" x14ac:dyDescent="0.25">
      <c r="B213" s="110">
        <f t="shared" si="1"/>
        <v>2088</v>
      </c>
      <c r="C213" s="135">
        <f>[26]С2.5!$BU$11</f>
        <v>0</v>
      </c>
    </row>
    <row r="214" spans="2:3" ht="13.5" hidden="1" thickBot="1" x14ac:dyDescent="0.25">
      <c r="B214" s="110">
        <f t="shared" si="1"/>
        <v>2089</v>
      </c>
      <c r="C214" s="135">
        <f>[26]С2.5!$BV$11</f>
        <v>0</v>
      </c>
    </row>
    <row r="215" spans="2:3" ht="13.5" hidden="1" thickBot="1" x14ac:dyDescent="0.25">
      <c r="B215" s="110">
        <f t="shared" si="1"/>
        <v>2090</v>
      </c>
      <c r="C215" s="135">
        <f>[26]С2.5!$BW$11</f>
        <v>0</v>
      </c>
    </row>
    <row r="216" spans="2:3" ht="13.5" hidden="1" thickBot="1" x14ac:dyDescent="0.25">
      <c r="B216" s="110">
        <f t="shared" si="1"/>
        <v>2091</v>
      </c>
      <c r="C216" s="135">
        <f>[26]С2.5!$BX$11</f>
        <v>0</v>
      </c>
    </row>
    <row r="217" spans="2:3" ht="13.5" hidden="1" thickBot="1" x14ac:dyDescent="0.25">
      <c r="B217" s="110">
        <f t="shared" si="1"/>
        <v>2092</v>
      </c>
      <c r="C217" s="135">
        <f>[26]С2.5!$BY$11</f>
        <v>0</v>
      </c>
    </row>
    <row r="218" spans="2:3" ht="13.5" hidden="1" thickBot="1" x14ac:dyDescent="0.25">
      <c r="B218" s="110">
        <f t="shared" si="1"/>
        <v>2093</v>
      </c>
      <c r="C218" s="135">
        <f>[26]С2.5!$BZ$11</f>
        <v>0</v>
      </c>
    </row>
    <row r="219" spans="2:3" ht="13.5" hidden="1" thickBot="1" x14ac:dyDescent="0.25">
      <c r="B219" s="110">
        <f t="shared" si="1"/>
        <v>2094</v>
      </c>
      <c r="C219" s="135">
        <f>[26]С2.5!$CA$11</f>
        <v>0</v>
      </c>
    </row>
    <row r="220" spans="2:3" ht="13.5" hidden="1" thickBot="1" x14ac:dyDescent="0.25">
      <c r="B220" s="110">
        <f t="shared" si="1"/>
        <v>2095</v>
      </c>
      <c r="C220" s="135">
        <f>[26]С2.5!$CB$11</f>
        <v>0</v>
      </c>
    </row>
    <row r="221" spans="2:3" ht="13.5" hidden="1" thickBot="1" x14ac:dyDescent="0.25">
      <c r="B221" s="110">
        <f t="shared" si="1"/>
        <v>2096</v>
      </c>
      <c r="C221" s="135">
        <f>[26]С2.5!$CC$11</f>
        <v>0</v>
      </c>
    </row>
    <row r="222" spans="2:3" ht="13.5" hidden="1" thickBot="1" x14ac:dyDescent="0.25">
      <c r="B222" s="110">
        <f t="shared" si="1"/>
        <v>2097</v>
      </c>
      <c r="C222" s="135">
        <f>[26]С2.5!$CD$11</f>
        <v>0</v>
      </c>
    </row>
    <row r="223" spans="2:3" ht="13.5" hidden="1" thickBot="1" x14ac:dyDescent="0.25">
      <c r="B223" s="110">
        <f t="shared" si="1"/>
        <v>2098</v>
      </c>
      <c r="C223" s="135">
        <f>[26]С2.5!$CE$11</f>
        <v>0</v>
      </c>
    </row>
    <row r="224" spans="2:3" ht="13.5" hidden="1" thickBot="1" x14ac:dyDescent="0.25">
      <c r="B224" s="110">
        <f t="shared" si="1"/>
        <v>2099</v>
      </c>
      <c r="C224" s="135">
        <f>[26]С2.5!$CF$11</f>
        <v>0</v>
      </c>
    </row>
    <row r="225" spans="2:3" ht="13.5" hidden="1" thickBot="1" x14ac:dyDescent="0.25">
      <c r="B225" s="112">
        <f>B162+1</f>
        <v>2038</v>
      </c>
      <c r="C225" s="136" t="e">
        <f>[26]С2.5!#REF!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B6" sqref="B6"/>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[36]И1!D13</f>
        <v>Субъект Российской Федерации</v>
      </c>
      <c r="C4" s="10" t="str">
        <f>[36]И1!E13</f>
        <v>Новосибирская область</v>
      </c>
    </row>
    <row r="5" spans="1:3" ht="46.9" customHeight="1" x14ac:dyDescent="0.2">
      <c r="A5" s="8"/>
      <c r="B5" s="9" t="str">
        <f>[36]И1!D14</f>
        <v>Тип муниципального образования (выберите из списка)</v>
      </c>
      <c r="C5" s="10" t="str">
        <f>[36]И1!E14</f>
        <v xml:space="preserve">село Легостаево, Искитимский муниципальный район </v>
      </c>
    </row>
    <row r="6" spans="1:3" x14ac:dyDescent="0.2">
      <c r="A6" s="8"/>
      <c r="B6" s="9" t="str">
        <f>IF([36]И1!E15="","",[36]И1!D15)</f>
        <v/>
      </c>
      <c r="C6" s="10" t="str">
        <f>IF([36]И1!E15="","",[36]И1!E15)</f>
        <v/>
      </c>
    </row>
    <row r="7" spans="1:3" x14ac:dyDescent="0.2">
      <c r="A7" s="8"/>
      <c r="B7" s="9" t="str">
        <f>[36]И1!D16</f>
        <v>Код ОКТМО</v>
      </c>
      <c r="C7" s="11" t="str">
        <f>[36]И1!E16</f>
        <v>(50615416101)</v>
      </c>
    </row>
    <row r="8" spans="1:3" x14ac:dyDescent="0.2">
      <c r="A8" s="8"/>
      <c r="B8" s="12" t="str">
        <f>[36]И1!D17</f>
        <v>Система теплоснабжения</v>
      </c>
      <c r="C8" s="13">
        <f>[36]И1!E17</f>
        <v>0</v>
      </c>
    </row>
    <row r="9" spans="1:3" x14ac:dyDescent="0.2">
      <c r="A9" s="8"/>
      <c r="B9" s="9" t="str">
        <f>[36]И1!D8</f>
        <v>Период регулирования (i)-й</v>
      </c>
      <c r="C9" s="14">
        <f>[36]И1!E8</f>
        <v>2025</v>
      </c>
    </row>
    <row r="10" spans="1:3" x14ac:dyDescent="0.2">
      <c r="A10" s="8"/>
      <c r="B10" s="9" t="str">
        <f>[36]И1!D9</f>
        <v>Период регулирования (i-1)-й</v>
      </c>
      <c r="C10" s="14">
        <f>[36]И1!E9</f>
        <v>2024</v>
      </c>
    </row>
    <row r="11" spans="1:3" x14ac:dyDescent="0.2">
      <c r="A11" s="8"/>
      <c r="B11" s="9" t="str">
        <f>[36]И1!D10</f>
        <v>Период регулирования (i-2)-й</v>
      </c>
      <c r="C11" s="14">
        <f>[36]И1!E10</f>
        <v>2023</v>
      </c>
    </row>
    <row r="12" spans="1:3" x14ac:dyDescent="0.2">
      <c r="A12" s="8"/>
      <c r="B12" s="9" t="str">
        <f>[36]И1!D11</f>
        <v>Базовый год (б)</v>
      </c>
      <c r="C12" s="14">
        <f>[36]И1!E11</f>
        <v>2019</v>
      </c>
    </row>
    <row r="13" spans="1:3" ht="38.25" x14ac:dyDescent="0.2">
      <c r="A13" s="8"/>
      <c r="B13" s="9" t="str">
        <f>[36]И1!D18</f>
        <v>Вид топлива, использование которого преобладает в системе теплоснабжения</v>
      </c>
      <c r="C13" s="15" t="str">
        <f>[36]С1.1!E13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5570.6932367610243</v>
      </c>
    </row>
    <row r="18" spans="1:3" ht="42.75" x14ac:dyDescent="0.2">
      <c r="A18" s="22" t="s">
        <v>8</v>
      </c>
      <c r="B18" s="25" t="s">
        <v>9</v>
      </c>
      <c r="C18" s="26">
        <f>[36]С1!F12</f>
        <v>958.24669124268542</v>
      </c>
    </row>
    <row r="19" spans="1:3" ht="42.75" x14ac:dyDescent="0.2">
      <c r="A19" s="22" t="s">
        <v>10</v>
      </c>
      <c r="B19" s="25" t="s">
        <v>11</v>
      </c>
      <c r="C19" s="26">
        <f>[36]С2!F12</f>
        <v>3063.2235383547568</v>
      </c>
    </row>
    <row r="20" spans="1:3" ht="30" x14ac:dyDescent="0.2">
      <c r="A20" s="22" t="s">
        <v>12</v>
      </c>
      <c r="B20" s="25" t="s">
        <v>13</v>
      </c>
      <c r="C20" s="26">
        <f>[36]С3!F12</f>
        <v>917.89815316767874</v>
      </c>
    </row>
    <row r="21" spans="1:3" ht="42.75" x14ac:dyDescent="0.2">
      <c r="A21" s="22" t="s">
        <v>14</v>
      </c>
      <c r="B21" s="25" t="s">
        <v>15</v>
      </c>
      <c r="C21" s="26">
        <f>[36]С4!F12</f>
        <v>522.09557484372624</v>
      </c>
    </row>
    <row r="22" spans="1:3" ht="30" x14ac:dyDescent="0.2">
      <c r="A22" s="22" t="s">
        <v>16</v>
      </c>
      <c r="B22" s="25" t="s">
        <v>17</v>
      </c>
      <c r="C22" s="26">
        <f>[36]С5!F12</f>
        <v>109.22927915217696</v>
      </c>
    </row>
    <row r="23" spans="1:3" ht="43.5" thickBot="1" x14ac:dyDescent="0.25">
      <c r="A23" s="27" t="s">
        <v>18</v>
      </c>
      <c r="B23" s="140" t="s">
        <v>19</v>
      </c>
      <c r="C23" s="28" t="str">
        <f>[36]С6!F12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[36]С1.1!E16</f>
        <v>5100</v>
      </c>
    </row>
    <row r="29" spans="1:3" ht="42.75" x14ac:dyDescent="0.2">
      <c r="A29" s="22" t="s">
        <v>10</v>
      </c>
      <c r="B29" s="33" t="s">
        <v>22</v>
      </c>
      <c r="C29" s="34">
        <f>[36]С1.1!E27</f>
        <v>3456.64</v>
      </c>
    </row>
    <row r="30" spans="1:3" ht="17.25" x14ac:dyDescent="0.2">
      <c r="A30" s="22" t="s">
        <v>12</v>
      </c>
      <c r="B30" s="33" t="s">
        <v>23</v>
      </c>
      <c r="C30" s="35">
        <f>[36]С1.1!E19</f>
        <v>1.4E-2</v>
      </c>
    </row>
    <row r="31" spans="1:3" ht="17.25" x14ac:dyDescent="0.2">
      <c r="A31" s="22" t="s">
        <v>14</v>
      </c>
      <c r="B31" s="33" t="s">
        <v>24</v>
      </c>
      <c r="C31" s="35">
        <f>[36]С1.1!E20</f>
        <v>0.04</v>
      </c>
    </row>
    <row r="32" spans="1:3" ht="30" x14ac:dyDescent="0.2">
      <c r="A32" s="22" t="s">
        <v>16</v>
      </c>
      <c r="B32" s="36" t="s">
        <v>25</v>
      </c>
      <c r="C32" s="37">
        <f>[36]С1!F13</f>
        <v>176.4</v>
      </c>
    </row>
    <row r="33" spans="1:3" x14ac:dyDescent="0.2">
      <c r="A33" s="22" t="s">
        <v>18</v>
      </c>
      <c r="B33" s="36" t="s">
        <v>26</v>
      </c>
      <c r="C33" s="38">
        <f>[36]С1!F16</f>
        <v>7000</v>
      </c>
    </row>
    <row r="34" spans="1:3" ht="14.25" x14ac:dyDescent="0.2">
      <c r="A34" s="22" t="s">
        <v>27</v>
      </c>
      <c r="B34" s="39" t="s">
        <v>28</v>
      </c>
      <c r="C34" s="40">
        <f>[36]С1!F17</f>
        <v>0.72857142857142854</v>
      </c>
    </row>
    <row r="35" spans="1:3" ht="15.75" x14ac:dyDescent="0.2">
      <c r="A35" s="41" t="s">
        <v>29</v>
      </c>
      <c r="B35" s="42" t="s">
        <v>30</v>
      </c>
      <c r="C35" s="40">
        <f>[36]С1!F20</f>
        <v>21.588411179999994</v>
      </c>
    </row>
    <row r="36" spans="1:3" ht="15.75" x14ac:dyDescent="0.2">
      <c r="A36" s="41" t="s">
        <v>31</v>
      </c>
      <c r="B36" s="43" t="s">
        <v>32</v>
      </c>
      <c r="C36" s="40">
        <f>[36]С1!F21</f>
        <v>20.818139999999996</v>
      </c>
    </row>
    <row r="37" spans="1:3" ht="14.25" x14ac:dyDescent="0.2">
      <c r="A37" s="41" t="s">
        <v>33</v>
      </c>
      <c r="B37" s="44" t="s">
        <v>34</v>
      </c>
      <c r="C37" s="40">
        <f>[36]С1!F22</f>
        <v>1.0369999999999999</v>
      </c>
    </row>
    <row r="38" spans="1:3" ht="53.25" thickBot="1" x14ac:dyDescent="0.25">
      <c r="A38" s="27" t="s">
        <v>35</v>
      </c>
      <c r="B38" s="45" t="s">
        <v>36</v>
      </c>
      <c r="C38" s="46">
        <f>[36]С1!F23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[36]С2.1!E12</f>
        <v>V</v>
      </c>
    </row>
    <row r="42" spans="1:3" ht="25.5" x14ac:dyDescent="0.2">
      <c r="A42" s="22" t="s">
        <v>41</v>
      </c>
      <c r="B42" s="33" t="s">
        <v>42</v>
      </c>
      <c r="C42" s="51" t="str">
        <f>[36]С2.1!E13</f>
        <v>6 и менее баллов</v>
      </c>
    </row>
    <row r="43" spans="1:3" ht="25.5" x14ac:dyDescent="0.2">
      <c r="A43" s="22" t="s">
        <v>43</v>
      </c>
      <c r="B43" s="33" t="s">
        <v>44</v>
      </c>
      <c r="C43" s="51" t="str">
        <f>[36]С2.1!E14</f>
        <v>от 200 до 500</v>
      </c>
    </row>
    <row r="44" spans="1:3" ht="25.5" x14ac:dyDescent="0.2">
      <c r="A44" s="22" t="s">
        <v>45</v>
      </c>
      <c r="B44" s="33" t="s">
        <v>46</v>
      </c>
      <c r="C44" s="52" t="str">
        <f>[36]С2.1!E15</f>
        <v>нет</v>
      </c>
    </row>
    <row r="45" spans="1:3" ht="30" x14ac:dyDescent="0.2">
      <c r="A45" s="22" t="s">
        <v>47</v>
      </c>
      <c r="B45" s="33" t="s">
        <v>48</v>
      </c>
      <c r="C45" s="34">
        <f>[36]С2!F18</f>
        <v>38910.02669467502</v>
      </c>
    </row>
    <row r="46" spans="1:3" ht="30" x14ac:dyDescent="0.2">
      <c r="A46" s="22" t="s">
        <v>49</v>
      </c>
      <c r="B46" s="53" t="s">
        <v>50</v>
      </c>
      <c r="C46" s="34">
        <f>IF([36]С2!F19&gt;0,[36]С2!F19,[36]С2!F20)</f>
        <v>23441.524932855718</v>
      </c>
    </row>
    <row r="47" spans="1:3" ht="25.5" x14ac:dyDescent="0.2">
      <c r="A47" s="22" t="s">
        <v>51</v>
      </c>
      <c r="B47" s="54" t="s">
        <v>52</v>
      </c>
      <c r="C47" s="34">
        <f>[36]С2.1!E19</f>
        <v>-38</v>
      </c>
    </row>
    <row r="48" spans="1:3" ht="25.5" x14ac:dyDescent="0.2">
      <c r="A48" s="22" t="s">
        <v>53</v>
      </c>
      <c r="B48" s="54" t="s">
        <v>54</v>
      </c>
      <c r="C48" s="34" t="str">
        <f>[36]С2.1!E22</f>
        <v>нет</v>
      </c>
    </row>
    <row r="49" spans="1:3" ht="38.25" x14ac:dyDescent="0.2">
      <c r="A49" s="22" t="s">
        <v>55</v>
      </c>
      <c r="B49" s="55" t="s">
        <v>56</v>
      </c>
      <c r="C49" s="34">
        <f>[36]С2.2!E10</f>
        <v>1287</v>
      </c>
    </row>
    <row r="50" spans="1:3" ht="25.5" x14ac:dyDescent="0.2">
      <c r="A50" s="22" t="s">
        <v>57</v>
      </c>
      <c r="B50" s="56" t="s">
        <v>58</v>
      </c>
      <c r="C50" s="34">
        <f>[36]С2.2!E12</f>
        <v>5.97</v>
      </c>
    </row>
    <row r="51" spans="1:3" ht="52.5" x14ac:dyDescent="0.2">
      <c r="A51" s="22" t="s">
        <v>59</v>
      </c>
      <c r="B51" s="57" t="s">
        <v>60</v>
      </c>
      <c r="C51" s="34">
        <f>[36]С2.2!E13</f>
        <v>1</v>
      </c>
    </row>
    <row r="52" spans="1:3" ht="27.75" x14ac:dyDescent="0.2">
      <c r="A52" s="22" t="s">
        <v>61</v>
      </c>
      <c r="B52" s="56" t="s">
        <v>62</v>
      </c>
      <c r="C52" s="34">
        <f>[36]С2.2!E14</f>
        <v>12104</v>
      </c>
    </row>
    <row r="53" spans="1:3" ht="25.5" x14ac:dyDescent="0.2">
      <c r="A53" s="22" t="s">
        <v>63</v>
      </c>
      <c r="B53" s="57" t="s">
        <v>64</v>
      </c>
      <c r="C53" s="35">
        <f>[36]С2.2!E15</f>
        <v>4.8000000000000001E-2</v>
      </c>
    </row>
    <row r="54" spans="1:3" x14ac:dyDescent="0.2">
      <c r="A54" s="22" t="s">
        <v>65</v>
      </c>
      <c r="B54" s="57" t="s">
        <v>66</v>
      </c>
      <c r="C54" s="34">
        <f>[36]С2.2!E16</f>
        <v>1</v>
      </c>
    </row>
    <row r="55" spans="1:3" ht="15.75" x14ac:dyDescent="0.2">
      <c r="A55" s="22" t="s">
        <v>67</v>
      </c>
      <c r="B55" s="58" t="s">
        <v>68</v>
      </c>
      <c r="C55" s="34">
        <f>[36]С2!F21</f>
        <v>1</v>
      </c>
    </row>
    <row r="56" spans="1:3" ht="30" x14ac:dyDescent="0.2">
      <c r="A56" s="59" t="s">
        <v>69</v>
      </c>
      <c r="B56" s="33" t="s">
        <v>70</v>
      </c>
      <c r="C56" s="34">
        <f>[36]С2!F13</f>
        <v>203708.97017230222</v>
      </c>
    </row>
    <row r="57" spans="1:3" ht="30" x14ac:dyDescent="0.2">
      <c r="A57" s="59" t="s">
        <v>71</v>
      </c>
      <c r="B57" s="58" t="s">
        <v>72</v>
      </c>
      <c r="C57" s="34">
        <f>[36]С2!F14</f>
        <v>113455</v>
      </c>
    </row>
    <row r="58" spans="1:3" ht="15.75" x14ac:dyDescent="0.2">
      <c r="A58" s="59" t="s">
        <v>73</v>
      </c>
      <c r="B58" s="60" t="s">
        <v>74</v>
      </c>
      <c r="C58" s="40">
        <f>[36]С2!F15</f>
        <v>1.071</v>
      </c>
    </row>
    <row r="59" spans="1:3" ht="15.75" x14ac:dyDescent="0.2">
      <c r="A59" s="59" t="s">
        <v>75</v>
      </c>
      <c r="B59" s="60" t="s">
        <v>76</v>
      </c>
      <c r="C59" s="40">
        <f>[36]С2!F16</f>
        <v>1</v>
      </c>
    </row>
    <row r="60" spans="1:3" ht="17.25" x14ac:dyDescent="0.2">
      <c r="A60" s="59" t="s">
        <v>77</v>
      </c>
      <c r="B60" s="58" t="s">
        <v>78</v>
      </c>
      <c r="C60" s="34">
        <f>[36]С2!F17</f>
        <v>1.01</v>
      </c>
    </row>
    <row r="61" spans="1:3" s="63" customFormat="1" ht="14.25" x14ac:dyDescent="0.2">
      <c r="A61" s="59" t="s">
        <v>79</v>
      </c>
      <c r="B61" s="61" t="s">
        <v>80</v>
      </c>
      <c r="C61" s="62">
        <f>[36]С2!F33</f>
        <v>10</v>
      </c>
    </row>
    <row r="62" spans="1:3" ht="30" x14ac:dyDescent="0.2">
      <c r="A62" s="59" t="s">
        <v>81</v>
      </c>
      <c r="B62" s="64" t="s">
        <v>82</v>
      </c>
      <c r="C62" s="34">
        <f>[36]С2!F26</f>
        <v>3082.0508637929142</v>
      </c>
    </row>
    <row r="63" spans="1:3" ht="17.25" x14ac:dyDescent="0.2">
      <c r="A63" s="59" t="s">
        <v>83</v>
      </c>
      <c r="B63" s="53" t="s">
        <v>84</v>
      </c>
      <c r="C63" s="34">
        <f>[36]С2!F27</f>
        <v>0.44209422600000003</v>
      </c>
    </row>
    <row r="64" spans="1:3" ht="17.25" x14ac:dyDescent="0.2">
      <c r="A64" s="59" t="s">
        <v>85</v>
      </c>
      <c r="B64" s="58" t="s">
        <v>86</v>
      </c>
      <c r="C64" s="62">
        <f>[36]С2!F28</f>
        <v>4200</v>
      </c>
    </row>
    <row r="65" spans="1:3" ht="42.75" x14ac:dyDescent="0.2">
      <c r="A65" s="59" t="s">
        <v>87</v>
      </c>
      <c r="B65" s="33" t="s">
        <v>88</v>
      </c>
      <c r="C65" s="34">
        <f>[36]С2!F22</f>
        <v>42890.921752741691</v>
      </c>
    </row>
    <row r="66" spans="1:3" ht="30" x14ac:dyDescent="0.2">
      <c r="A66" s="59" t="s">
        <v>89</v>
      </c>
      <c r="B66" s="60" t="s">
        <v>90</v>
      </c>
      <c r="C66" s="34">
        <f>[36]С2!F23</f>
        <v>1990</v>
      </c>
    </row>
    <row r="67" spans="1:3" ht="30" x14ac:dyDescent="0.2">
      <c r="A67" s="59" t="s">
        <v>91</v>
      </c>
      <c r="B67" s="53" t="s">
        <v>92</v>
      </c>
      <c r="C67" s="34">
        <f>[36]С2.1!E27</f>
        <v>14307.876789999998</v>
      </c>
    </row>
    <row r="68" spans="1:3" ht="38.25" x14ac:dyDescent="0.2">
      <c r="A68" s="59" t="s">
        <v>93</v>
      </c>
      <c r="B68" s="65" t="s">
        <v>94</v>
      </c>
      <c r="C68" s="52">
        <f>[36]С2.3!E21</f>
        <v>0</v>
      </c>
    </row>
    <row r="69" spans="1:3" ht="25.5" x14ac:dyDescent="0.2">
      <c r="A69" s="59" t="s">
        <v>95</v>
      </c>
      <c r="B69" s="66" t="s">
        <v>96</v>
      </c>
      <c r="C69" s="67">
        <f>[36]С2.3!E11</f>
        <v>9.89</v>
      </c>
    </row>
    <row r="70" spans="1:3" ht="25.5" x14ac:dyDescent="0.2">
      <c r="A70" s="59" t="s">
        <v>97</v>
      </c>
      <c r="B70" s="66" t="s">
        <v>98</v>
      </c>
      <c r="C70" s="62">
        <f>[36]С2.3!E13</f>
        <v>300</v>
      </c>
    </row>
    <row r="71" spans="1:3" ht="25.5" x14ac:dyDescent="0.2">
      <c r="A71" s="59" t="s">
        <v>99</v>
      </c>
      <c r="B71" s="65" t="s">
        <v>100</v>
      </c>
      <c r="C71" s="68">
        <f>IF([36]С2.3!E22&gt;0,[36]С2.3!E22,[36]С2.3!E14)</f>
        <v>61211</v>
      </c>
    </row>
    <row r="72" spans="1:3" ht="38.25" x14ac:dyDescent="0.2">
      <c r="A72" s="59" t="s">
        <v>101</v>
      </c>
      <c r="B72" s="65" t="s">
        <v>102</v>
      </c>
      <c r="C72" s="68">
        <f>IF([36]С2.3!E23&gt;0,[36]С2.3!E23,[36]С2.3!E15)</f>
        <v>45675</v>
      </c>
    </row>
    <row r="73" spans="1:3" ht="30" x14ac:dyDescent="0.2">
      <c r="A73" s="59" t="s">
        <v>103</v>
      </c>
      <c r="B73" s="53" t="s">
        <v>104</v>
      </c>
      <c r="C73" s="34">
        <f>[36]С2.1!E28</f>
        <v>9541.9567200000001</v>
      </c>
    </row>
    <row r="74" spans="1:3" ht="38.25" x14ac:dyDescent="0.2">
      <c r="A74" s="59" t="s">
        <v>105</v>
      </c>
      <c r="B74" s="65" t="s">
        <v>106</v>
      </c>
      <c r="C74" s="52">
        <f>[36]С2.3!E25</f>
        <v>0</v>
      </c>
    </row>
    <row r="75" spans="1:3" ht="25.5" x14ac:dyDescent="0.2">
      <c r="A75" s="59" t="s">
        <v>107</v>
      </c>
      <c r="B75" s="66" t="s">
        <v>108</v>
      </c>
      <c r="C75" s="67">
        <f>[36]С2.3!E12</f>
        <v>0.56000000000000005</v>
      </c>
    </row>
    <row r="76" spans="1:3" ht="25.5" x14ac:dyDescent="0.2">
      <c r="A76" s="59" t="s">
        <v>109</v>
      </c>
      <c r="B76" s="66" t="s">
        <v>98</v>
      </c>
      <c r="C76" s="62">
        <f>[36]С2.3!E13</f>
        <v>300</v>
      </c>
    </row>
    <row r="77" spans="1:3" ht="25.5" x14ac:dyDescent="0.2">
      <c r="A77" s="59" t="s">
        <v>110</v>
      </c>
      <c r="B77" s="69" t="s">
        <v>111</v>
      </c>
      <c r="C77" s="68">
        <f>IF([36]С2.3!E26&gt;0,[36]С2.3!E26,[36]С2.3!E16)</f>
        <v>65637</v>
      </c>
    </row>
    <row r="78" spans="1:3" ht="38.25" x14ac:dyDescent="0.2">
      <c r="A78" s="59" t="s">
        <v>112</v>
      </c>
      <c r="B78" s="69" t="s">
        <v>113</v>
      </c>
      <c r="C78" s="68">
        <f>IF([36]С2.3!E27&gt;0,[36]С2.3!E27,[36]С2.3!E17)</f>
        <v>31684</v>
      </c>
    </row>
    <row r="79" spans="1:3" ht="17.25" x14ac:dyDescent="0.2">
      <c r="A79" s="59" t="s">
        <v>114</v>
      </c>
      <c r="B79" s="33" t="s">
        <v>115</v>
      </c>
      <c r="C79" s="35">
        <f>[36]С2!F29</f>
        <v>0.17804631770487722</v>
      </c>
    </row>
    <row r="80" spans="1:3" ht="30" x14ac:dyDescent="0.2">
      <c r="A80" s="59" t="s">
        <v>116</v>
      </c>
      <c r="B80" s="53" t="s">
        <v>117</v>
      </c>
      <c r="C80" s="70">
        <f>[36]С2!F30</f>
        <v>0.1652189781021898</v>
      </c>
    </row>
    <row r="81" spans="1:3" ht="17.25" x14ac:dyDescent="0.2">
      <c r="A81" s="59" t="s">
        <v>118</v>
      </c>
      <c r="B81" s="71" t="s">
        <v>119</v>
      </c>
      <c r="C81" s="35">
        <f>[36]С2!F31</f>
        <v>0.13880000000000001</v>
      </c>
    </row>
    <row r="82" spans="1:3" s="63" customFormat="1" ht="18" thickBot="1" x14ac:dyDescent="0.25">
      <c r="A82" s="72" t="s">
        <v>120</v>
      </c>
      <c r="B82" s="73" t="s">
        <v>121</v>
      </c>
      <c r="C82" s="74">
        <f>[36]С2!F32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[36]С3!F14</f>
        <v>14912.207299372252</v>
      </c>
    </row>
    <row r="86" spans="1:3" s="63" customFormat="1" ht="42.75" x14ac:dyDescent="0.2">
      <c r="A86" s="77" t="s">
        <v>126</v>
      </c>
      <c r="B86" s="53" t="s">
        <v>127</v>
      </c>
      <c r="C86" s="78">
        <f>[36]С3!F15</f>
        <v>0.25</v>
      </c>
    </row>
    <row r="87" spans="1:3" s="63" customFormat="1" ht="14.25" x14ac:dyDescent="0.2">
      <c r="A87" s="77" t="s">
        <v>128</v>
      </c>
      <c r="B87" s="79" t="s">
        <v>129</v>
      </c>
      <c r="C87" s="62">
        <f>[36]С3!F18</f>
        <v>15</v>
      </c>
    </row>
    <row r="88" spans="1:3" s="63" customFormat="1" ht="17.25" x14ac:dyDescent="0.2">
      <c r="A88" s="77" t="s">
        <v>130</v>
      </c>
      <c r="B88" s="33" t="s">
        <v>131</v>
      </c>
      <c r="C88" s="34">
        <f>[36]С3!F19</f>
        <v>4187.478806422544</v>
      </c>
    </row>
    <row r="89" spans="1:3" s="63" customFormat="1" ht="55.5" x14ac:dyDescent="0.2">
      <c r="A89" s="77" t="s">
        <v>132</v>
      </c>
      <c r="B89" s="53" t="s">
        <v>133</v>
      </c>
      <c r="C89" s="80">
        <f>[36]С3!F20</f>
        <v>2.1999999999999999E-2</v>
      </c>
    </row>
    <row r="90" spans="1:3" s="63" customFormat="1" ht="14.25" x14ac:dyDescent="0.2">
      <c r="A90" s="77" t="s">
        <v>134</v>
      </c>
      <c r="B90" s="58" t="s">
        <v>80</v>
      </c>
      <c r="C90" s="62">
        <f>[36]С3!F21</f>
        <v>10</v>
      </c>
    </row>
    <row r="91" spans="1:3" s="63" customFormat="1" ht="17.25" x14ac:dyDescent="0.2">
      <c r="A91" s="77" t="s">
        <v>135</v>
      </c>
      <c r="B91" s="33" t="s">
        <v>136</v>
      </c>
      <c r="C91" s="34">
        <f>[36]С3!F22</f>
        <v>9.2461525913787437</v>
      </c>
    </row>
    <row r="92" spans="1:3" s="63" customFormat="1" ht="55.5" x14ac:dyDescent="0.2">
      <c r="A92" s="77" t="s">
        <v>137</v>
      </c>
      <c r="B92" s="53" t="s">
        <v>138</v>
      </c>
      <c r="C92" s="80">
        <f>[36]С3!F23</f>
        <v>3.0000000000000001E-3</v>
      </c>
    </row>
    <row r="93" spans="1:3" s="63" customFormat="1" ht="27.75" thickBot="1" x14ac:dyDescent="0.25">
      <c r="A93" s="81" t="s">
        <v>139</v>
      </c>
      <c r="B93" s="82" t="s">
        <v>140</v>
      </c>
      <c r="C93" s="83">
        <f>[36]С3!F24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[36]С4!F16</f>
        <v>1652.5</v>
      </c>
    </row>
    <row r="97" spans="1:3" ht="30" x14ac:dyDescent="0.2">
      <c r="A97" s="59" t="s">
        <v>145</v>
      </c>
      <c r="B97" s="58" t="s">
        <v>146</v>
      </c>
      <c r="C97" s="34">
        <f>[36]С4!F17</f>
        <v>73547</v>
      </c>
    </row>
    <row r="98" spans="1:3" ht="17.25" x14ac:dyDescent="0.2">
      <c r="A98" s="59" t="s">
        <v>147</v>
      </c>
      <c r="B98" s="58" t="s">
        <v>148</v>
      </c>
      <c r="C98" s="40">
        <f>[36]С4!F18</f>
        <v>0.02</v>
      </c>
    </row>
    <row r="99" spans="1:3" ht="30" x14ac:dyDescent="0.2">
      <c r="A99" s="59" t="s">
        <v>149</v>
      </c>
      <c r="B99" s="58" t="s">
        <v>150</v>
      </c>
      <c r="C99" s="34">
        <f>[36]С4!F19</f>
        <v>12104</v>
      </c>
    </row>
    <row r="100" spans="1:3" ht="31.5" x14ac:dyDescent="0.2">
      <c r="A100" s="59" t="s">
        <v>151</v>
      </c>
      <c r="B100" s="58" t="s">
        <v>152</v>
      </c>
      <c r="C100" s="40">
        <f>[36]С4!F20</f>
        <v>1.4999999999999999E-2</v>
      </c>
    </row>
    <row r="101" spans="1:3" ht="30" x14ac:dyDescent="0.2">
      <c r="A101" s="59" t="s">
        <v>153</v>
      </c>
      <c r="B101" s="33" t="s">
        <v>154</v>
      </c>
      <c r="C101" s="34">
        <f>[36]С4!F21</f>
        <v>1933.1949342509995</v>
      </c>
    </row>
    <row r="102" spans="1:3" ht="24" customHeight="1" x14ac:dyDescent="0.2">
      <c r="A102" s="59" t="s">
        <v>155</v>
      </c>
      <c r="B102" s="53" t="s">
        <v>156</v>
      </c>
      <c r="C102" s="85">
        <f>IF([36]С4.2!F8="да",[36]С4.2!D21,[36]С4.2!D15)</f>
        <v>0</v>
      </c>
    </row>
    <row r="103" spans="1:3" ht="68.25" x14ac:dyDescent="0.2">
      <c r="A103" s="59" t="s">
        <v>157</v>
      </c>
      <c r="B103" s="53" t="s">
        <v>158</v>
      </c>
      <c r="C103" s="34">
        <f>[36]С4!F22</f>
        <v>3.6112641666666665</v>
      </c>
    </row>
    <row r="104" spans="1:3" ht="30" x14ac:dyDescent="0.2">
      <c r="A104" s="59" t="s">
        <v>159</v>
      </c>
      <c r="B104" s="58" t="s">
        <v>160</v>
      </c>
      <c r="C104" s="34">
        <f>[36]С4!F23</f>
        <v>180</v>
      </c>
    </row>
    <row r="105" spans="1:3" ht="14.25" x14ac:dyDescent="0.2">
      <c r="A105" s="59" t="s">
        <v>161</v>
      </c>
      <c r="B105" s="53" t="s">
        <v>162</v>
      </c>
      <c r="C105" s="34">
        <f>[36]С4!F24</f>
        <v>8497.1999999999989</v>
      </c>
    </row>
    <row r="106" spans="1:3" ht="14.25" x14ac:dyDescent="0.2">
      <c r="A106" s="59" t="s">
        <v>163</v>
      </c>
      <c r="B106" s="58" t="s">
        <v>164</v>
      </c>
      <c r="C106" s="40">
        <f>[36]С4!F25</f>
        <v>0.35</v>
      </c>
    </row>
    <row r="107" spans="1:3" ht="17.25" x14ac:dyDescent="0.2">
      <c r="A107" s="59" t="s">
        <v>165</v>
      </c>
      <c r="B107" s="33" t="s">
        <v>166</v>
      </c>
      <c r="C107" s="34">
        <f>[36]С4!F26</f>
        <v>92.173709999999986</v>
      </c>
    </row>
    <row r="108" spans="1:3" ht="25.5" x14ac:dyDescent="0.2">
      <c r="A108" s="59" t="s">
        <v>167</v>
      </c>
      <c r="B108" s="53" t="s">
        <v>94</v>
      </c>
      <c r="C108" s="85">
        <f>[36]С4.3!E16</f>
        <v>0</v>
      </c>
    </row>
    <row r="109" spans="1:3" ht="25.5" x14ac:dyDescent="0.2">
      <c r="A109" s="59" t="s">
        <v>168</v>
      </c>
      <c r="B109" s="53" t="s">
        <v>169</v>
      </c>
      <c r="C109" s="34">
        <f>[36]С4.3!E17</f>
        <v>24.49</v>
      </c>
    </row>
    <row r="110" spans="1:3" ht="38.25" x14ac:dyDescent="0.2">
      <c r="A110" s="59" t="s">
        <v>170</v>
      </c>
      <c r="B110" s="53" t="s">
        <v>106</v>
      </c>
      <c r="C110" s="85">
        <f>[36]С4.3!E18</f>
        <v>0</v>
      </c>
    </row>
    <row r="111" spans="1:3" x14ac:dyDescent="0.2">
      <c r="A111" s="59" t="s">
        <v>171</v>
      </c>
      <c r="B111" s="53" t="s">
        <v>172</v>
      </c>
      <c r="C111" s="34">
        <f>[36]С4.3!E19</f>
        <v>30.82</v>
      </c>
    </row>
    <row r="112" spans="1:3" x14ac:dyDescent="0.2">
      <c r="A112" s="59" t="s">
        <v>173</v>
      </c>
      <c r="B112" s="58" t="s">
        <v>174</v>
      </c>
      <c r="C112" s="34">
        <f>[36]С4.3!E11</f>
        <v>1871</v>
      </c>
    </row>
    <row r="113" spans="1:3" x14ac:dyDescent="0.2">
      <c r="A113" s="59" t="s">
        <v>175</v>
      </c>
      <c r="B113" s="58" t="s">
        <v>176</v>
      </c>
      <c r="C113" s="52">
        <f>[36]С4.3!E12</f>
        <v>1636</v>
      </c>
    </row>
    <row r="114" spans="1:3" x14ac:dyDescent="0.2">
      <c r="A114" s="59" t="s">
        <v>177</v>
      </c>
      <c r="B114" s="58" t="s">
        <v>178</v>
      </c>
      <c r="C114" s="52">
        <f>[36]С4.3!E13</f>
        <v>204</v>
      </c>
    </row>
    <row r="115" spans="1:3" ht="30" x14ac:dyDescent="0.2">
      <c r="A115" s="59" t="s">
        <v>179</v>
      </c>
      <c r="B115" s="33" t="s">
        <v>180</v>
      </c>
      <c r="C115" s="34">
        <f>[36]С4!F27</f>
        <v>1291.2863994686898</v>
      </c>
    </row>
    <row r="116" spans="1:3" ht="25.5" x14ac:dyDescent="0.2">
      <c r="A116" s="59" t="s">
        <v>181</v>
      </c>
      <c r="B116" s="53" t="s">
        <v>182</v>
      </c>
      <c r="C116" s="34">
        <f>[36]С4!F28</f>
        <v>991.77142816335618</v>
      </c>
    </row>
    <row r="117" spans="1:3" ht="42.75" x14ac:dyDescent="0.2">
      <c r="A117" s="59" t="s">
        <v>183</v>
      </c>
      <c r="B117" s="53" t="s">
        <v>184</v>
      </c>
      <c r="C117" s="34">
        <f>[36]С4!F29</f>
        <v>299.51497130533357</v>
      </c>
    </row>
    <row r="118" spans="1:3" ht="30" x14ac:dyDescent="0.2">
      <c r="A118" s="59" t="s">
        <v>185</v>
      </c>
      <c r="B118" s="39" t="s">
        <v>186</v>
      </c>
      <c r="C118" s="34">
        <f>[36]С4!F30</f>
        <v>2620.8771374592498</v>
      </c>
    </row>
    <row r="119" spans="1:3" ht="42.75" x14ac:dyDescent="0.2">
      <c r="A119" s="59" t="s">
        <v>187</v>
      </c>
      <c r="B119" s="86" t="s">
        <v>188</v>
      </c>
      <c r="C119" s="34">
        <f>[36]С4!F33</f>
        <v>1413.4646450978896</v>
      </c>
    </row>
    <row r="120" spans="1:3" ht="30" x14ac:dyDescent="0.2">
      <c r="A120" s="59" t="s">
        <v>189</v>
      </c>
      <c r="B120" s="87" t="s">
        <v>190</v>
      </c>
      <c r="C120" s="34">
        <f>[36]С4!F35</f>
        <v>17.040680999999999</v>
      </c>
    </row>
    <row r="121" spans="1:3" ht="14.25" x14ac:dyDescent="0.2">
      <c r="A121" s="59" t="s">
        <v>191</v>
      </c>
      <c r="B121" s="56" t="s">
        <v>192</v>
      </c>
      <c r="C121" s="34">
        <f>[36]С4!F36</f>
        <v>14319.9</v>
      </c>
    </row>
    <row r="122" spans="1:3" ht="28.5" thickBot="1" x14ac:dyDescent="0.25">
      <c r="A122" s="72" t="s">
        <v>193</v>
      </c>
      <c r="B122" s="88" t="s">
        <v>194</v>
      </c>
      <c r="C122" s="83">
        <f>[36]С4!F37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[36]С5!F17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[36]С2!F37</f>
        <v>20.818139999999996</v>
      </c>
    </row>
    <row r="136" spans="1:3" ht="14.25" x14ac:dyDescent="0.2">
      <c r="A136" s="59" t="s">
        <v>216</v>
      </c>
      <c r="B136" s="101" t="s">
        <v>217</v>
      </c>
      <c r="C136" s="34">
        <f>[36]С2!F38</f>
        <v>7</v>
      </c>
    </row>
    <row r="137" spans="1:3" ht="17.25" x14ac:dyDescent="0.2">
      <c r="A137" s="59" t="s">
        <v>218</v>
      </c>
      <c r="B137" s="101" t="s">
        <v>219</v>
      </c>
      <c r="C137" s="34">
        <f>[36]С2!F40</f>
        <v>0.97</v>
      </c>
    </row>
    <row r="138" spans="1:3" ht="15" thickBot="1" x14ac:dyDescent="0.25">
      <c r="A138" s="72" t="s">
        <v>220</v>
      </c>
      <c r="B138" s="102" t="s">
        <v>221</v>
      </c>
      <c r="C138" s="46">
        <f>[36]С2!F42</f>
        <v>0.35</v>
      </c>
    </row>
    <row r="139" spans="1:3" s="89" customFormat="1" ht="13.5" thickBot="1" x14ac:dyDescent="0.25">
      <c r="A139" s="47"/>
      <c r="B139" s="75"/>
      <c r="C139" s="15"/>
    </row>
    <row r="140" spans="1:3" ht="30" x14ac:dyDescent="0.2">
      <c r="A140" s="84" t="s">
        <v>222</v>
      </c>
      <c r="B140" s="103" t="s">
        <v>223</v>
      </c>
      <c r="C140" s="104">
        <f>[36]С2!F35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[36]С2.5!$E$11</f>
        <v>-2.9000000000000026E-2</v>
      </c>
    </row>
    <row r="144" spans="1:3" x14ac:dyDescent="0.2">
      <c r="A144" s="105"/>
      <c r="B144" s="110">
        <f>B143+1</f>
        <v>2021</v>
      </c>
      <c r="C144" s="111">
        <f>[36]С2.5!$F$11</f>
        <v>0.245</v>
      </c>
    </row>
    <row r="145" spans="1:3" x14ac:dyDescent="0.2">
      <c r="A145" s="105"/>
      <c r="B145" s="110">
        <f t="shared" ref="B145:B208" si="0">B144+1</f>
        <v>2022</v>
      </c>
      <c r="C145" s="111">
        <f>[36]С2.5!$G$11</f>
        <v>0.114</v>
      </c>
    </row>
    <row r="146" spans="1:3" ht="13.5" thickBot="1" x14ac:dyDescent="0.25">
      <c r="A146" s="105"/>
      <c r="B146" s="112">
        <f t="shared" si="0"/>
        <v>2023</v>
      </c>
      <c r="C146" s="113">
        <f>[36]С2.5!$H$11</f>
        <v>0.04</v>
      </c>
    </row>
    <row r="147" spans="1:3" x14ac:dyDescent="0.2">
      <c r="A147" s="105"/>
      <c r="B147" s="114">
        <f t="shared" si="0"/>
        <v>2024</v>
      </c>
      <c r="C147" s="115">
        <f>[36]С2.5!$I$11</f>
        <v>0.11700000000000001</v>
      </c>
    </row>
    <row r="148" spans="1:3" x14ac:dyDescent="0.2">
      <c r="A148" s="105"/>
      <c r="B148" s="110">
        <f t="shared" si="0"/>
        <v>2025</v>
      </c>
      <c r="C148" s="111">
        <f>[36]С2.5!$J$11</f>
        <v>6.0999999999999999E-2</v>
      </c>
    </row>
    <row r="149" spans="1:3" hidden="1" x14ac:dyDescent="0.2">
      <c r="A149" s="105"/>
      <c r="B149" s="110">
        <f t="shared" si="0"/>
        <v>2026</v>
      </c>
      <c r="C149" s="111">
        <f>[36]С2.5!$K$11</f>
        <v>3.5813361771260002E-2</v>
      </c>
    </row>
    <row r="150" spans="1:3" hidden="1" x14ac:dyDescent="0.2">
      <c r="A150" s="105"/>
      <c r="B150" s="110">
        <f t="shared" si="0"/>
        <v>2027</v>
      </c>
      <c r="C150" s="111">
        <f>[36]С2.5!$L$11</f>
        <v>3.2682303599220003E-2</v>
      </c>
    </row>
    <row r="151" spans="1:3" hidden="1" x14ac:dyDescent="0.2">
      <c r="A151" s="105"/>
      <c r="B151" s="110">
        <f t="shared" si="0"/>
        <v>2028</v>
      </c>
      <c r="C151" s="111">
        <f>[36]С2.5!$M$11</f>
        <v>0</v>
      </c>
    </row>
    <row r="152" spans="1:3" hidden="1" x14ac:dyDescent="0.2">
      <c r="A152" s="105"/>
      <c r="B152" s="110">
        <f t="shared" si="0"/>
        <v>2029</v>
      </c>
      <c r="C152" s="111">
        <f>[36]С2.5!$N$11</f>
        <v>0</v>
      </c>
    </row>
    <row r="153" spans="1:3" hidden="1" x14ac:dyDescent="0.2">
      <c r="A153" s="105"/>
      <c r="B153" s="110">
        <f t="shared" si="0"/>
        <v>2030</v>
      </c>
      <c r="C153" s="111">
        <f>[36]С2.5!$O$11</f>
        <v>0</v>
      </c>
    </row>
    <row r="154" spans="1:3" hidden="1" x14ac:dyDescent="0.2">
      <c r="A154" s="105"/>
      <c r="B154" s="110">
        <f t="shared" si="0"/>
        <v>2031</v>
      </c>
      <c r="C154" s="111">
        <f>[36]С2.5!$P$11</f>
        <v>0</v>
      </c>
    </row>
    <row r="155" spans="1:3" hidden="1" x14ac:dyDescent="0.2">
      <c r="A155" s="89"/>
      <c r="B155" s="110">
        <f t="shared" si="0"/>
        <v>2032</v>
      </c>
      <c r="C155" s="111">
        <f>[36]С2.5!$Q$11</f>
        <v>0</v>
      </c>
    </row>
    <row r="156" spans="1:3" hidden="1" x14ac:dyDescent="0.2">
      <c r="A156" s="89"/>
      <c r="B156" s="110">
        <f t="shared" si="0"/>
        <v>2033</v>
      </c>
      <c r="C156" s="111">
        <f>[36]С2.5!$R$11</f>
        <v>0</v>
      </c>
    </row>
    <row r="157" spans="1:3" hidden="1" x14ac:dyDescent="0.2">
      <c r="B157" s="110">
        <f t="shared" si="0"/>
        <v>2034</v>
      </c>
      <c r="C157" s="111">
        <f>[36]С2.5!$S$11</f>
        <v>0</v>
      </c>
    </row>
    <row r="158" spans="1:3" hidden="1" x14ac:dyDescent="0.2">
      <c r="B158" s="110">
        <f t="shared" si="0"/>
        <v>2035</v>
      </c>
      <c r="C158" s="111">
        <f>[36]С2.5!$T$11</f>
        <v>0</v>
      </c>
    </row>
    <row r="159" spans="1:3" hidden="1" x14ac:dyDescent="0.2">
      <c r="B159" s="110">
        <f t="shared" si="0"/>
        <v>2036</v>
      </c>
      <c r="C159" s="111">
        <f>[36]С2.5!$U$11</f>
        <v>0</v>
      </c>
    </row>
    <row r="160" spans="1:3" hidden="1" x14ac:dyDescent="0.2">
      <c r="B160" s="110">
        <f t="shared" si="0"/>
        <v>2037</v>
      </c>
      <c r="C160" s="111">
        <f>[36]С2.5!$V$11</f>
        <v>0</v>
      </c>
    </row>
    <row r="161" spans="2:3" hidden="1" x14ac:dyDescent="0.2">
      <c r="B161" s="110">
        <f t="shared" si="0"/>
        <v>2038</v>
      </c>
      <c r="C161" s="111">
        <f>[36]С2.5!$W$11</f>
        <v>0</v>
      </c>
    </row>
    <row r="162" spans="2:3" hidden="1" x14ac:dyDescent="0.2">
      <c r="B162" s="110">
        <f t="shared" si="0"/>
        <v>2039</v>
      </c>
      <c r="C162" s="111">
        <f>[36]С2.5!$X$11</f>
        <v>0</v>
      </c>
    </row>
    <row r="163" spans="2:3" hidden="1" x14ac:dyDescent="0.2">
      <c r="B163" s="110">
        <f t="shared" si="0"/>
        <v>2040</v>
      </c>
      <c r="C163" s="111">
        <f>[36]С2.5!$Y$11</f>
        <v>0</v>
      </c>
    </row>
    <row r="164" spans="2:3" hidden="1" x14ac:dyDescent="0.2">
      <c r="B164" s="110">
        <f t="shared" si="0"/>
        <v>2041</v>
      </c>
      <c r="C164" s="111">
        <f>[36]С2.5!$Z$11</f>
        <v>0</v>
      </c>
    </row>
    <row r="165" spans="2:3" hidden="1" x14ac:dyDescent="0.2">
      <c r="B165" s="110">
        <f t="shared" si="0"/>
        <v>2042</v>
      </c>
      <c r="C165" s="111">
        <f>[36]С2.5!$AA$11</f>
        <v>0</v>
      </c>
    </row>
    <row r="166" spans="2:3" hidden="1" x14ac:dyDescent="0.2">
      <c r="B166" s="110">
        <f t="shared" si="0"/>
        <v>2043</v>
      </c>
      <c r="C166" s="111">
        <f>[36]С2.5!$AB$11</f>
        <v>0</v>
      </c>
    </row>
    <row r="167" spans="2:3" hidden="1" x14ac:dyDescent="0.2">
      <c r="B167" s="110">
        <f t="shared" si="0"/>
        <v>2044</v>
      </c>
      <c r="C167" s="111">
        <f>[36]С2.5!$AC$11</f>
        <v>0</v>
      </c>
    </row>
    <row r="168" spans="2:3" hidden="1" x14ac:dyDescent="0.2">
      <c r="B168" s="110">
        <f t="shared" si="0"/>
        <v>2045</v>
      </c>
      <c r="C168" s="111">
        <f>[36]С2.5!$AD$11</f>
        <v>0</v>
      </c>
    </row>
    <row r="169" spans="2:3" hidden="1" x14ac:dyDescent="0.2">
      <c r="B169" s="110">
        <f t="shared" si="0"/>
        <v>2046</v>
      </c>
      <c r="C169" s="111">
        <f>[36]С2.5!$AE$11</f>
        <v>0</v>
      </c>
    </row>
    <row r="170" spans="2:3" hidden="1" x14ac:dyDescent="0.2">
      <c r="B170" s="110">
        <f t="shared" si="0"/>
        <v>2047</v>
      </c>
      <c r="C170" s="111">
        <f>[36]С2.5!$AF$11</f>
        <v>0</v>
      </c>
    </row>
    <row r="171" spans="2:3" hidden="1" x14ac:dyDescent="0.2">
      <c r="B171" s="110">
        <f t="shared" si="0"/>
        <v>2048</v>
      </c>
      <c r="C171" s="111">
        <f>[36]С2.5!$AG$11</f>
        <v>0</v>
      </c>
    </row>
    <row r="172" spans="2:3" hidden="1" x14ac:dyDescent="0.2">
      <c r="B172" s="110">
        <f t="shared" si="0"/>
        <v>2049</v>
      </c>
      <c r="C172" s="111">
        <f>[36]С2.5!$AH$11</f>
        <v>0</v>
      </c>
    </row>
    <row r="173" spans="2:3" hidden="1" x14ac:dyDescent="0.2">
      <c r="B173" s="110">
        <f t="shared" si="0"/>
        <v>2050</v>
      </c>
      <c r="C173" s="111">
        <f>[36]С2.5!$AI$11</f>
        <v>0</v>
      </c>
    </row>
    <row r="174" spans="2:3" hidden="1" x14ac:dyDescent="0.2">
      <c r="B174" s="110">
        <f t="shared" si="0"/>
        <v>2051</v>
      </c>
      <c r="C174" s="111">
        <f>[36]С2.5!$AJ$11</f>
        <v>0</v>
      </c>
    </row>
    <row r="175" spans="2:3" hidden="1" x14ac:dyDescent="0.2">
      <c r="B175" s="110">
        <f t="shared" si="0"/>
        <v>2052</v>
      </c>
      <c r="C175" s="111">
        <f>[36]С2.5!$AK$11</f>
        <v>0</v>
      </c>
    </row>
    <row r="176" spans="2:3" hidden="1" x14ac:dyDescent="0.2">
      <c r="B176" s="110">
        <f t="shared" si="0"/>
        <v>2053</v>
      </c>
      <c r="C176" s="111">
        <f>[36]С2.5!$AL$11</f>
        <v>0</v>
      </c>
    </row>
    <row r="177" spans="2:3" hidden="1" x14ac:dyDescent="0.2">
      <c r="B177" s="110">
        <f t="shared" si="0"/>
        <v>2054</v>
      </c>
      <c r="C177" s="111">
        <f>[36]С2.5!$AM$11</f>
        <v>0</v>
      </c>
    </row>
    <row r="178" spans="2:3" hidden="1" x14ac:dyDescent="0.2">
      <c r="B178" s="110">
        <f t="shared" si="0"/>
        <v>2055</v>
      </c>
      <c r="C178" s="111">
        <f>[36]С2.5!$AN$11</f>
        <v>0</v>
      </c>
    </row>
    <row r="179" spans="2:3" hidden="1" x14ac:dyDescent="0.2">
      <c r="B179" s="110">
        <f t="shared" si="0"/>
        <v>2056</v>
      </c>
      <c r="C179" s="111">
        <f>[36]С2.5!$AO$11</f>
        <v>0</v>
      </c>
    </row>
    <row r="180" spans="2:3" hidden="1" x14ac:dyDescent="0.2">
      <c r="B180" s="110">
        <f t="shared" si="0"/>
        <v>2057</v>
      </c>
      <c r="C180" s="111">
        <f>[36]С2.5!$AP$11</f>
        <v>0</v>
      </c>
    </row>
    <row r="181" spans="2:3" hidden="1" x14ac:dyDescent="0.2">
      <c r="B181" s="110">
        <f t="shared" si="0"/>
        <v>2058</v>
      </c>
      <c r="C181" s="111">
        <f>[36]С2.5!$AQ$11</f>
        <v>0</v>
      </c>
    </row>
    <row r="182" spans="2:3" hidden="1" x14ac:dyDescent="0.2">
      <c r="B182" s="110">
        <f t="shared" si="0"/>
        <v>2059</v>
      </c>
      <c r="C182" s="111">
        <f>[36]С2.5!$AR$11</f>
        <v>0</v>
      </c>
    </row>
    <row r="183" spans="2:3" hidden="1" x14ac:dyDescent="0.2">
      <c r="B183" s="110">
        <f t="shared" si="0"/>
        <v>2060</v>
      </c>
      <c r="C183" s="111">
        <f>[36]С2.5!$AS$11</f>
        <v>0</v>
      </c>
    </row>
    <row r="184" spans="2:3" hidden="1" x14ac:dyDescent="0.2">
      <c r="B184" s="110">
        <f t="shared" si="0"/>
        <v>2061</v>
      </c>
      <c r="C184" s="111">
        <f>[36]С2.5!$AT$11</f>
        <v>0</v>
      </c>
    </row>
    <row r="185" spans="2:3" hidden="1" x14ac:dyDescent="0.2">
      <c r="B185" s="110">
        <f t="shared" si="0"/>
        <v>2062</v>
      </c>
      <c r="C185" s="111">
        <f>[36]С2.5!$AU$11</f>
        <v>0</v>
      </c>
    </row>
    <row r="186" spans="2:3" hidden="1" x14ac:dyDescent="0.2">
      <c r="B186" s="110">
        <f t="shared" si="0"/>
        <v>2063</v>
      </c>
      <c r="C186" s="111">
        <f>[36]С2.5!$AV$11</f>
        <v>0</v>
      </c>
    </row>
    <row r="187" spans="2:3" hidden="1" x14ac:dyDescent="0.2">
      <c r="B187" s="110">
        <f t="shared" si="0"/>
        <v>2064</v>
      </c>
      <c r="C187" s="111">
        <f>[36]С2.5!$AW$11</f>
        <v>0</v>
      </c>
    </row>
    <row r="188" spans="2:3" hidden="1" x14ac:dyDescent="0.2">
      <c r="B188" s="110">
        <f t="shared" si="0"/>
        <v>2065</v>
      </c>
      <c r="C188" s="111">
        <f>[36]С2.5!$AX$11</f>
        <v>0</v>
      </c>
    </row>
    <row r="189" spans="2:3" hidden="1" x14ac:dyDescent="0.2">
      <c r="B189" s="110">
        <f t="shared" si="0"/>
        <v>2066</v>
      </c>
      <c r="C189" s="111">
        <f>[36]С2.5!$AY$11</f>
        <v>0</v>
      </c>
    </row>
    <row r="190" spans="2:3" hidden="1" x14ac:dyDescent="0.2">
      <c r="B190" s="110">
        <f t="shared" si="0"/>
        <v>2067</v>
      </c>
      <c r="C190" s="111">
        <f>[36]С2.5!$AZ$11</f>
        <v>0</v>
      </c>
    </row>
    <row r="191" spans="2:3" hidden="1" x14ac:dyDescent="0.2">
      <c r="B191" s="110">
        <f t="shared" si="0"/>
        <v>2068</v>
      </c>
      <c r="C191" s="111">
        <f>[36]С2.5!$BA$11</f>
        <v>0</v>
      </c>
    </row>
    <row r="192" spans="2:3" hidden="1" x14ac:dyDescent="0.2">
      <c r="B192" s="110">
        <f t="shared" si="0"/>
        <v>2069</v>
      </c>
      <c r="C192" s="111">
        <f>[36]С2.5!$BB$11</f>
        <v>0</v>
      </c>
    </row>
    <row r="193" spans="2:3" hidden="1" x14ac:dyDescent="0.2">
      <c r="B193" s="110">
        <f t="shared" si="0"/>
        <v>2070</v>
      </c>
      <c r="C193" s="111">
        <f>[36]С2.5!$BC$11</f>
        <v>0</v>
      </c>
    </row>
    <row r="194" spans="2:3" hidden="1" x14ac:dyDescent="0.2">
      <c r="B194" s="110">
        <f t="shared" si="0"/>
        <v>2071</v>
      </c>
      <c r="C194" s="111">
        <f>[36]С2.5!$BD$11</f>
        <v>0</v>
      </c>
    </row>
    <row r="195" spans="2:3" hidden="1" x14ac:dyDescent="0.2">
      <c r="B195" s="110">
        <f t="shared" si="0"/>
        <v>2072</v>
      </c>
      <c r="C195" s="111">
        <f>[36]С2.5!$BE$11</f>
        <v>0</v>
      </c>
    </row>
    <row r="196" spans="2:3" hidden="1" x14ac:dyDescent="0.2">
      <c r="B196" s="110">
        <f t="shared" si="0"/>
        <v>2073</v>
      </c>
      <c r="C196" s="111">
        <f>[36]С2.5!$BF$11</f>
        <v>0</v>
      </c>
    </row>
    <row r="197" spans="2:3" hidden="1" x14ac:dyDescent="0.2">
      <c r="B197" s="110">
        <f t="shared" si="0"/>
        <v>2074</v>
      </c>
      <c r="C197" s="111">
        <f>[36]С2.5!$BG$11</f>
        <v>0</v>
      </c>
    </row>
    <row r="198" spans="2:3" hidden="1" x14ac:dyDescent="0.2">
      <c r="B198" s="110">
        <f t="shared" si="0"/>
        <v>2075</v>
      </c>
      <c r="C198" s="111">
        <f>[36]С2.5!$BH$11</f>
        <v>0</v>
      </c>
    </row>
    <row r="199" spans="2:3" hidden="1" x14ac:dyDescent="0.2">
      <c r="B199" s="110">
        <f t="shared" si="0"/>
        <v>2076</v>
      </c>
      <c r="C199" s="111">
        <f>[36]С2.5!$BI$11</f>
        <v>0</v>
      </c>
    </row>
    <row r="200" spans="2:3" hidden="1" x14ac:dyDescent="0.2">
      <c r="B200" s="110">
        <f t="shared" si="0"/>
        <v>2077</v>
      </c>
      <c r="C200" s="111">
        <f>[36]С2.5!$BJ$11</f>
        <v>0</v>
      </c>
    </row>
    <row r="201" spans="2:3" hidden="1" x14ac:dyDescent="0.2">
      <c r="B201" s="110">
        <f t="shared" si="0"/>
        <v>2078</v>
      </c>
      <c r="C201" s="111">
        <f>[36]С2.5!$BK$11</f>
        <v>0</v>
      </c>
    </row>
    <row r="202" spans="2:3" hidden="1" x14ac:dyDescent="0.2">
      <c r="B202" s="110">
        <f t="shared" si="0"/>
        <v>2079</v>
      </c>
      <c r="C202" s="111">
        <f>[36]С2.5!$BL$11</f>
        <v>0</v>
      </c>
    </row>
    <row r="203" spans="2:3" hidden="1" x14ac:dyDescent="0.2">
      <c r="B203" s="110">
        <f t="shared" si="0"/>
        <v>2080</v>
      </c>
      <c r="C203" s="111">
        <f>[36]С2.5!$BM$11</f>
        <v>0</v>
      </c>
    </row>
    <row r="204" spans="2:3" hidden="1" x14ac:dyDescent="0.2">
      <c r="B204" s="110">
        <f t="shared" si="0"/>
        <v>2081</v>
      </c>
      <c r="C204" s="111">
        <f>[36]С2.5!$BN$11</f>
        <v>0</v>
      </c>
    </row>
    <row r="205" spans="2:3" hidden="1" x14ac:dyDescent="0.2">
      <c r="B205" s="110">
        <f t="shared" si="0"/>
        <v>2082</v>
      </c>
      <c r="C205" s="111">
        <f>[36]С2.5!$BO$11</f>
        <v>0</v>
      </c>
    </row>
    <row r="206" spans="2:3" hidden="1" x14ac:dyDescent="0.2">
      <c r="B206" s="110">
        <f t="shared" si="0"/>
        <v>2083</v>
      </c>
      <c r="C206" s="111">
        <f>[36]С2.5!$BP$11</f>
        <v>0</v>
      </c>
    </row>
    <row r="207" spans="2:3" hidden="1" x14ac:dyDescent="0.2">
      <c r="B207" s="110">
        <f t="shared" si="0"/>
        <v>2084</v>
      </c>
      <c r="C207" s="111">
        <f>[36]С2.5!$BQ$11</f>
        <v>0</v>
      </c>
    </row>
    <row r="208" spans="2:3" hidden="1" x14ac:dyDescent="0.2">
      <c r="B208" s="110">
        <f t="shared" si="0"/>
        <v>2085</v>
      </c>
      <c r="C208" s="111">
        <f>[36]С2.5!$BR$11</f>
        <v>0</v>
      </c>
    </row>
    <row r="209" spans="2:3" hidden="1" x14ac:dyDescent="0.2">
      <c r="B209" s="110">
        <f t="shared" ref="B209:B223" si="1">B208+1</f>
        <v>2086</v>
      </c>
      <c r="C209" s="111">
        <f>[36]С2.5!$BS$11</f>
        <v>0</v>
      </c>
    </row>
    <row r="210" spans="2:3" hidden="1" x14ac:dyDescent="0.2">
      <c r="B210" s="110">
        <f t="shared" si="1"/>
        <v>2087</v>
      </c>
      <c r="C210" s="111">
        <f>[36]С2.5!$BT$11</f>
        <v>0</v>
      </c>
    </row>
    <row r="211" spans="2:3" hidden="1" x14ac:dyDescent="0.2">
      <c r="B211" s="110">
        <f t="shared" si="1"/>
        <v>2088</v>
      </c>
      <c r="C211" s="111">
        <f>[36]С2.5!$BU$11</f>
        <v>0</v>
      </c>
    </row>
    <row r="212" spans="2:3" hidden="1" x14ac:dyDescent="0.2">
      <c r="B212" s="110">
        <f t="shared" si="1"/>
        <v>2089</v>
      </c>
      <c r="C212" s="111">
        <f>[36]С2.5!$BV$11</f>
        <v>0</v>
      </c>
    </row>
    <row r="213" spans="2:3" hidden="1" x14ac:dyDescent="0.2">
      <c r="B213" s="110">
        <f t="shared" si="1"/>
        <v>2090</v>
      </c>
      <c r="C213" s="111">
        <f>[36]С2.5!$BW$11</f>
        <v>0</v>
      </c>
    </row>
    <row r="214" spans="2:3" hidden="1" x14ac:dyDescent="0.2">
      <c r="B214" s="110">
        <f t="shared" si="1"/>
        <v>2091</v>
      </c>
      <c r="C214" s="111">
        <f>[36]С2.5!$BX$11</f>
        <v>0</v>
      </c>
    </row>
    <row r="215" spans="2:3" hidden="1" x14ac:dyDescent="0.2">
      <c r="B215" s="110">
        <f t="shared" si="1"/>
        <v>2092</v>
      </c>
      <c r="C215" s="111">
        <f>[36]С2.5!$BY$11</f>
        <v>0</v>
      </c>
    </row>
    <row r="216" spans="2:3" hidden="1" x14ac:dyDescent="0.2">
      <c r="B216" s="110">
        <f t="shared" si="1"/>
        <v>2093</v>
      </c>
      <c r="C216" s="111">
        <f>[36]С2.5!$BZ$11</f>
        <v>0</v>
      </c>
    </row>
    <row r="217" spans="2:3" hidden="1" x14ac:dyDescent="0.2">
      <c r="B217" s="110">
        <f t="shared" si="1"/>
        <v>2094</v>
      </c>
      <c r="C217" s="111">
        <f>[36]С2.5!$CA$11</f>
        <v>0</v>
      </c>
    </row>
    <row r="218" spans="2:3" hidden="1" x14ac:dyDescent="0.2">
      <c r="B218" s="110">
        <f t="shared" si="1"/>
        <v>2095</v>
      </c>
      <c r="C218" s="111">
        <f>[36]С2.5!$CB$11</f>
        <v>0</v>
      </c>
    </row>
    <row r="219" spans="2:3" hidden="1" x14ac:dyDescent="0.2">
      <c r="B219" s="110">
        <f t="shared" si="1"/>
        <v>2096</v>
      </c>
      <c r="C219" s="111">
        <f>[36]С2.5!$CC$11</f>
        <v>0</v>
      </c>
    </row>
    <row r="220" spans="2:3" hidden="1" x14ac:dyDescent="0.2">
      <c r="B220" s="110">
        <f t="shared" si="1"/>
        <v>2097</v>
      </c>
      <c r="C220" s="111">
        <f>[36]С2.5!$CD$11</f>
        <v>0</v>
      </c>
    </row>
    <row r="221" spans="2:3" hidden="1" x14ac:dyDescent="0.2">
      <c r="B221" s="110">
        <f t="shared" si="1"/>
        <v>2098</v>
      </c>
      <c r="C221" s="111">
        <f>[36]С2.5!$CE$11</f>
        <v>0</v>
      </c>
    </row>
    <row r="222" spans="2:3" hidden="1" x14ac:dyDescent="0.2">
      <c r="B222" s="110">
        <f t="shared" si="1"/>
        <v>2099</v>
      </c>
      <c r="C222" s="111">
        <f>[36]С2.5!$CF$11</f>
        <v>0</v>
      </c>
    </row>
    <row r="223" spans="2:3" ht="13.5" hidden="1" thickBot="1" x14ac:dyDescent="0.25">
      <c r="B223" s="112">
        <f t="shared" si="1"/>
        <v>2100</v>
      </c>
      <c r="C223" s="113">
        <f>[36]С2.5!$CG$11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F5" sqref="F5"/>
    </sheetView>
  </sheetViews>
  <sheetFormatPr defaultRowHeight="12.75" x14ac:dyDescent="0.2"/>
  <cols>
    <col min="1" max="1" width="9.140625" style="2" customWidth="1"/>
    <col min="2" max="2" width="100.5703125" style="2" customWidth="1"/>
    <col min="3" max="3" width="20.85546875" style="7" customWidth="1"/>
    <col min="4" max="247" width="9.140625" style="2"/>
    <col min="248" max="248" width="3.570312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570312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570312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570312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570312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570312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570312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570312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570312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570312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570312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570312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570312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570312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570312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570312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570312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570312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570312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570312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570312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570312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570312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570312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570312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570312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570312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570312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570312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570312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570312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570312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570312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570312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570312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570312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570312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570312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570312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570312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570312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570312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570312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570312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570312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570312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570312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570312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570312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570312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570312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570312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570312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570312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570312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570312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570312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570312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570312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570312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570312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570312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570312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1"/>
      <c r="B1" s="143" t="s">
        <v>0</v>
      </c>
      <c r="C1" s="143"/>
    </row>
    <row r="2" spans="1:3" x14ac:dyDescent="0.2">
      <c r="A2" s="3"/>
      <c r="B2" s="4" t="s">
        <v>1</v>
      </c>
      <c r="C2" s="5">
        <v>45687</v>
      </c>
    </row>
    <row r="3" spans="1:3" x14ac:dyDescent="0.2">
      <c r="A3" s="3"/>
      <c r="B3" s="6" t="s">
        <v>2</v>
      </c>
    </row>
    <row r="4" spans="1:3" ht="25.5" x14ac:dyDescent="0.2">
      <c r="A4" s="8"/>
      <c r="B4" s="9" t="str">
        <f>[37]И1!D13</f>
        <v>Субъект Российской Федерации</v>
      </c>
      <c r="C4" s="10" t="str">
        <f>[37]И1!E13</f>
        <v>Новосибирская область</v>
      </c>
    </row>
    <row r="5" spans="1:3" ht="46.9" customHeight="1" x14ac:dyDescent="0.2">
      <c r="A5" s="8"/>
      <c r="B5" s="9" t="str">
        <f>[37]И1!D14</f>
        <v>Тип муниципального образования (выберите из списка)</v>
      </c>
      <c r="C5" s="10" t="str">
        <f>[37]И1!E14</f>
        <v xml:space="preserve">поселок Листвянский, Искитимский муниципальный район </v>
      </c>
    </row>
    <row r="6" spans="1:3" x14ac:dyDescent="0.2">
      <c r="A6" s="8"/>
      <c r="B6" s="9" t="str">
        <f>IF([37]И1!E15="","",[37]И1!D15)</f>
        <v/>
      </c>
      <c r="C6" s="10" t="str">
        <f>IF([37]И1!E15="","",[37]И1!E15)</f>
        <v/>
      </c>
    </row>
    <row r="7" spans="1:3" x14ac:dyDescent="0.2">
      <c r="A7" s="8"/>
      <c r="B7" s="9" t="str">
        <f>[37]И1!D16</f>
        <v>Код ОКТМО</v>
      </c>
      <c r="C7" s="11" t="str">
        <f>[37]И1!E16</f>
        <v>(50615415101)</v>
      </c>
    </row>
    <row r="8" spans="1:3" x14ac:dyDescent="0.2">
      <c r="A8" s="8"/>
      <c r="B8" s="12" t="str">
        <f>[37]И1!D17</f>
        <v>Система теплоснабжения</v>
      </c>
      <c r="C8" s="13">
        <f>[37]И1!E17</f>
        <v>0</v>
      </c>
    </row>
    <row r="9" spans="1:3" x14ac:dyDescent="0.2">
      <c r="A9" s="8"/>
      <c r="B9" s="9" t="str">
        <f>[37]И1!D8</f>
        <v>Период регулирования (i)-й</v>
      </c>
      <c r="C9" s="14">
        <f>[37]И1!E8</f>
        <v>2025</v>
      </c>
    </row>
    <row r="10" spans="1:3" x14ac:dyDescent="0.2">
      <c r="A10" s="8"/>
      <c r="B10" s="9" t="str">
        <f>[37]И1!D9</f>
        <v>Период регулирования (i-1)-й</v>
      </c>
      <c r="C10" s="14">
        <f>[37]И1!E9</f>
        <v>2024</v>
      </c>
    </row>
    <row r="11" spans="1:3" x14ac:dyDescent="0.2">
      <c r="A11" s="8"/>
      <c r="B11" s="9" t="str">
        <f>[37]И1!D10</f>
        <v>Период регулирования (i-2)-й</v>
      </c>
      <c r="C11" s="14">
        <f>[37]И1!E10</f>
        <v>2023</v>
      </c>
    </row>
    <row r="12" spans="1:3" x14ac:dyDescent="0.2">
      <c r="A12" s="8"/>
      <c r="B12" s="9" t="str">
        <f>[37]И1!D11</f>
        <v>Базовый год (б)</v>
      </c>
      <c r="C12" s="14">
        <f>[37]И1!E11</f>
        <v>2019</v>
      </c>
    </row>
    <row r="13" spans="1:3" ht="38.25" x14ac:dyDescent="0.2">
      <c r="A13" s="8"/>
      <c r="B13" s="9" t="str">
        <f>[37]И1!D18</f>
        <v>Вид топлива, использование которого преобладает в системе теплоснабжения</v>
      </c>
      <c r="C13" s="15" t="str">
        <f>[37]С1.1!E13</f>
        <v>уголь (вид угля не указан в топливном балансе)</v>
      </c>
    </row>
    <row r="14" spans="1:3" ht="31.7" customHeight="1" thickBot="1" x14ac:dyDescent="0.25">
      <c r="A14" s="142" t="s">
        <v>3</v>
      </c>
      <c r="B14" s="142"/>
      <c r="C14" s="14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5569.9625204416106</v>
      </c>
    </row>
    <row r="18" spans="1:3" ht="42.75" x14ac:dyDescent="0.2">
      <c r="A18" s="22" t="s">
        <v>8</v>
      </c>
      <c r="B18" s="25" t="s">
        <v>9</v>
      </c>
      <c r="C18" s="26">
        <f>[37]С1!F12</f>
        <v>958.24669124268542</v>
      </c>
    </row>
    <row r="19" spans="1:3" ht="42.75" x14ac:dyDescent="0.2">
      <c r="A19" s="22" t="s">
        <v>10</v>
      </c>
      <c r="B19" s="25" t="s">
        <v>11</v>
      </c>
      <c r="C19" s="26">
        <f>[37]С2!F12</f>
        <v>3063.2235383547568</v>
      </c>
    </row>
    <row r="20" spans="1:3" ht="30" x14ac:dyDescent="0.2">
      <c r="A20" s="22" t="s">
        <v>12</v>
      </c>
      <c r="B20" s="25" t="s">
        <v>13</v>
      </c>
      <c r="C20" s="26">
        <f>[37]С3!F12</f>
        <v>917.89815316767874</v>
      </c>
    </row>
    <row r="21" spans="1:3" ht="42.75" x14ac:dyDescent="0.2">
      <c r="A21" s="22" t="s">
        <v>14</v>
      </c>
      <c r="B21" s="25" t="s">
        <v>15</v>
      </c>
      <c r="C21" s="26">
        <f>[37]С4!F12</f>
        <v>521.37918629528076</v>
      </c>
    </row>
    <row r="22" spans="1:3" ht="30" x14ac:dyDescent="0.2">
      <c r="A22" s="22" t="s">
        <v>16</v>
      </c>
      <c r="B22" s="25" t="s">
        <v>17</v>
      </c>
      <c r="C22" s="26">
        <f>[37]С5!F12</f>
        <v>109.21495138120805</v>
      </c>
    </row>
    <row r="23" spans="1:3" ht="43.5" thickBot="1" x14ac:dyDescent="0.25">
      <c r="A23" s="27" t="s">
        <v>18</v>
      </c>
      <c r="B23" s="140" t="s">
        <v>19</v>
      </c>
      <c r="C23" s="28" t="str">
        <f>[37]С6!F12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21</v>
      </c>
      <c r="C28" s="34">
        <f>[37]С1.1!E16</f>
        <v>5100</v>
      </c>
    </row>
    <row r="29" spans="1:3" ht="42.75" x14ac:dyDescent="0.2">
      <c r="A29" s="22" t="s">
        <v>10</v>
      </c>
      <c r="B29" s="33" t="s">
        <v>22</v>
      </c>
      <c r="C29" s="34">
        <f>[37]С1.1!E27</f>
        <v>3456.64</v>
      </c>
    </row>
    <row r="30" spans="1:3" ht="17.25" x14ac:dyDescent="0.2">
      <c r="A30" s="22" t="s">
        <v>12</v>
      </c>
      <c r="B30" s="33" t="s">
        <v>23</v>
      </c>
      <c r="C30" s="35">
        <f>[37]С1.1!E19</f>
        <v>1.4E-2</v>
      </c>
    </row>
    <row r="31" spans="1:3" ht="17.25" x14ac:dyDescent="0.2">
      <c r="A31" s="22" t="s">
        <v>14</v>
      </c>
      <c r="B31" s="33" t="s">
        <v>24</v>
      </c>
      <c r="C31" s="35">
        <f>[37]С1.1!E20</f>
        <v>0.04</v>
      </c>
    </row>
    <row r="32" spans="1:3" ht="30" x14ac:dyDescent="0.2">
      <c r="A32" s="22" t="s">
        <v>16</v>
      </c>
      <c r="B32" s="36" t="s">
        <v>25</v>
      </c>
      <c r="C32" s="37">
        <f>[37]С1!F13</f>
        <v>176.4</v>
      </c>
    </row>
    <row r="33" spans="1:3" x14ac:dyDescent="0.2">
      <c r="A33" s="22" t="s">
        <v>18</v>
      </c>
      <c r="B33" s="36" t="s">
        <v>26</v>
      </c>
      <c r="C33" s="38">
        <f>[37]С1!F16</f>
        <v>7000</v>
      </c>
    </row>
    <row r="34" spans="1:3" ht="14.25" x14ac:dyDescent="0.2">
      <c r="A34" s="22" t="s">
        <v>27</v>
      </c>
      <c r="B34" s="39" t="s">
        <v>28</v>
      </c>
      <c r="C34" s="40">
        <f>[37]С1!F17</f>
        <v>0.72857142857142854</v>
      </c>
    </row>
    <row r="35" spans="1:3" ht="15.75" x14ac:dyDescent="0.2">
      <c r="A35" s="41" t="s">
        <v>29</v>
      </c>
      <c r="B35" s="42" t="s">
        <v>30</v>
      </c>
      <c r="C35" s="40">
        <f>[37]С1!F20</f>
        <v>21.588411179999994</v>
      </c>
    </row>
    <row r="36" spans="1:3" ht="15.75" x14ac:dyDescent="0.2">
      <c r="A36" s="41" t="s">
        <v>31</v>
      </c>
      <c r="B36" s="43" t="s">
        <v>32</v>
      </c>
      <c r="C36" s="40">
        <f>[37]С1!F21</f>
        <v>20.818139999999996</v>
      </c>
    </row>
    <row r="37" spans="1:3" ht="14.25" x14ac:dyDescent="0.2">
      <c r="A37" s="41" t="s">
        <v>33</v>
      </c>
      <c r="B37" s="44" t="s">
        <v>34</v>
      </c>
      <c r="C37" s="40">
        <f>[37]С1!F22</f>
        <v>1.0369999999999999</v>
      </c>
    </row>
    <row r="38" spans="1:3" ht="53.25" thickBot="1" x14ac:dyDescent="0.25">
      <c r="A38" s="27" t="s">
        <v>35</v>
      </c>
      <c r="B38" s="45" t="s">
        <v>36</v>
      </c>
      <c r="C38" s="46">
        <f>[37]С1!F23</f>
        <v>1.0469999999999999</v>
      </c>
    </row>
    <row r="39" spans="1:3" ht="13.5" thickBot="1" x14ac:dyDescent="0.25">
      <c r="A39" s="47"/>
      <c r="B39" s="48"/>
      <c r="C39" s="49"/>
    </row>
    <row r="40" spans="1:3" ht="30" customHeight="1" x14ac:dyDescent="0.2">
      <c r="A40" s="50" t="s">
        <v>37</v>
      </c>
      <c r="B40" s="145" t="s">
        <v>38</v>
      </c>
      <c r="C40" s="145"/>
    </row>
    <row r="41" spans="1:3" ht="25.5" x14ac:dyDescent="0.2">
      <c r="A41" s="22" t="s">
        <v>39</v>
      </c>
      <c r="B41" s="36" t="s">
        <v>40</v>
      </c>
      <c r="C41" s="51" t="str">
        <f>[37]С2.1!E12</f>
        <v>V</v>
      </c>
    </row>
    <row r="42" spans="1:3" ht="25.5" x14ac:dyDescent="0.2">
      <c r="A42" s="22" t="s">
        <v>41</v>
      </c>
      <c r="B42" s="33" t="s">
        <v>42</v>
      </c>
      <c r="C42" s="51" t="str">
        <f>[37]С2.1!E13</f>
        <v>6 и менее баллов</v>
      </c>
    </row>
    <row r="43" spans="1:3" ht="25.5" x14ac:dyDescent="0.2">
      <c r="A43" s="22" t="s">
        <v>43</v>
      </c>
      <c r="B43" s="33" t="s">
        <v>44</v>
      </c>
      <c r="C43" s="51" t="str">
        <f>[37]С2.1!E14</f>
        <v>от 200 до 500</v>
      </c>
    </row>
    <row r="44" spans="1:3" ht="25.5" x14ac:dyDescent="0.2">
      <c r="A44" s="22" t="s">
        <v>45</v>
      </c>
      <c r="B44" s="33" t="s">
        <v>46</v>
      </c>
      <c r="C44" s="52" t="str">
        <f>[37]С2.1!E15</f>
        <v>нет</v>
      </c>
    </row>
    <row r="45" spans="1:3" ht="30" x14ac:dyDescent="0.2">
      <c r="A45" s="22" t="s">
        <v>47</v>
      </c>
      <c r="B45" s="33" t="s">
        <v>48</v>
      </c>
      <c r="C45" s="34">
        <f>[37]С2!F18</f>
        <v>38910.02669467502</v>
      </c>
    </row>
    <row r="46" spans="1:3" ht="30" x14ac:dyDescent="0.2">
      <c r="A46" s="22" t="s">
        <v>49</v>
      </c>
      <c r="B46" s="53" t="s">
        <v>50</v>
      </c>
      <c r="C46" s="34">
        <f>IF([37]С2!F19&gt;0,[37]С2!F19,[37]С2!F20)</f>
        <v>23441.524932855718</v>
      </c>
    </row>
    <row r="47" spans="1:3" ht="25.5" x14ac:dyDescent="0.2">
      <c r="A47" s="22" t="s">
        <v>51</v>
      </c>
      <c r="B47" s="54" t="s">
        <v>52</v>
      </c>
      <c r="C47" s="34">
        <f>[37]С2.1!E19</f>
        <v>-38</v>
      </c>
    </row>
    <row r="48" spans="1:3" ht="25.5" x14ac:dyDescent="0.2">
      <c r="A48" s="22" t="s">
        <v>53</v>
      </c>
      <c r="B48" s="54" t="s">
        <v>54</v>
      </c>
      <c r="C48" s="34" t="str">
        <f>[37]С2.1!E22</f>
        <v>нет</v>
      </c>
    </row>
    <row r="49" spans="1:3" ht="38.25" x14ac:dyDescent="0.2">
      <c r="A49" s="22" t="s">
        <v>55</v>
      </c>
      <c r="B49" s="55" t="s">
        <v>56</v>
      </c>
      <c r="C49" s="34">
        <f>[37]С2.2!E10</f>
        <v>1287</v>
      </c>
    </row>
    <row r="50" spans="1:3" ht="25.5" x14ac:dyDescent="0.2">
      <c r="A50" s="22" t="s">
        <v>57</v>
      </c>
      <c r="B50" s="56" t="s">
        <v>58</v>
      </c>
      <c r="C50" s="34">
        <f>[37]С2.2!E12</f>
        <v>5.97</v>
      </c>
    </row>
    <row r="51" spans="1:3" ht="52.5" x14ac:dyDescent="0.2">
      <c r="A51" s="22" t="s">
        <v>59</v>
      </c>
      <c r="B51" s="57" t="s">
        <v>60</v>
      </c>
      <c r="C51" s="34">
        <f>[37]С2.2!E13</f>
        <v>1</v>
      </c>
    </row>
    <row r="52" spans="1:3" ht="27.75" x14ac:dyDescent="0.2">
      <c r="A52" s="22" t="s">
        <v>61</v>
      </c>
      <c r="B52" s="56" t="s">
        <v>62</v>
      </c>
      <c r="C52" s="34">
        <f>[37]С2.2!E14</f>
        <v>12104</v>
      </c>
    </row>
    <row r="53" spans="1:3" ht="25.5" x14ac:dyDescent="0.2">
      <c r="A53" s="22" t="s">
        <v>63</v>
      </c>
      <c r="B53" s="57" t="s">
        <v>64</v>
      </c>
      <c r="C53" s="35">
        <f>[37]С2.2!E15</f>
        <v>4.8000000000000001E-2</v>
      </c>
    </row>
    <row r="54" spans="1:3" x14ac:dyDescent="0.2">
      <c r="A54" s="22" t="s">
        <v>65</v>
      </c>
      <c r="B54" s="57" t="s">
        <v>66</v>
      </c>
      <c r="C54" s="34">
        <f>[37]С2.2!E16</f>
        <v>1</v>
      </c>
    </row>
    <row r="55" spans="1:3" ht="15.75" x14ac:dyDescent="0.2">
      <c r="A55" s="22" t="s">
        <v>67</v>
      </c>
      <c r="B55" s="58" t="s">
        <v>68</v>
      </c>
      <c r="C55" s="34">
        <f>[37]С2!F21</f>
        <v>1</v>
      </c>
    </row>
    <row r="56" spans="1:3" ht="30" x14ac:dyDescent="0.2">
      <c r="A56" s="59" t="s">
        <v>69</v>
      </c>
      <c r="B56" s="33" t="s">
        <v>70</v>
      </c>
      <c r="C56" s="34">
        <f>[37]С2!F13</f>
        <v>203708.97017230222</v>
      </c>
    </row>
    <row r="57" spans="1:3" ht="30" x14ac:dyDescent="0.2">
      <c r="A57" s="59" t="s">
        <v>71</v>
      </c>
      <c r="B57" s="58" t="s">
        <v>72</v>
      </c>
      <c r="C57" s="34">
        <f>[37]С2!F14</f>
        <v>113455</v>
      </c>
    </row>
    <row r="58" spans="1:3" ht="15.75" x14ac:dyDescent="0.2">
      <c r="A58" s="59" t="s">
        <v>73</v>
      </c>
      <c r="B58" s="60" t="s">
        <v>74</v>
      </c>
      <c r="C58" s="40">
        <f>[37]С2!F15</f>
        <v>1.071</v>
      </c>
    </row>
    <row r="59" spans="1:3" ht="15.75" x14ac:dyDescent="0.2">
      <c r="A59" s="59" t="s">
        <v>75</v>
      </c>
      <c r="B59" s="60" t="s">
        <v>76</v>
      </c>
      <c r="C59" s="40">
        <f>[37]С2!F16</f>
        <v>1</v>
      </c>
    </row>
    <row r="60" spans="1:3" ht="17.25" x14ac:dyDescent="0.2">
      <c r="A60" s="59" t="s">
        <v>77</v>
      </c>
      <c r="B60" s="58" t="s">
        <v>78</v>
      </c>
      <c r="C60" s="34">
        <f>[37]С2!F17</f>
        <v>1.01</v>
      </c>
    </row>
    <row r="61" spans="1:3" s="63" customFormat="1" ht="14.25" x14ac:dyDescent="0.2">
      <c r="A61" s="59" t="s">
        <v>79</v>
      </c>
      <c r="B61" s="61" t="s">
        <v>80</v>
      </c>
      <c r="C61" s="62">
        <f>[37]С2!F33</f>
        <v>10</v>
      </c>
    </row>
    <row r="62" spans="1:3" ht="30" x14ac:dyDescent="0.2">
      <c r="A62" s="59" t="s">
        <v>81</v>
      </c>
      <c r="B62" s="64" t="s">
        <v>82</v>
      </c>
      <c r="C62" s="34">
        <f>[37]С2!F26</f>
        <v>3082.0508637929142</v>
      </c>
    </row>
    <row r="63" spans="1:3" ht="17.25" x14ac:dyDescent="0.2">
      <c r="A63" s="59" t="s">
        <v>83</v>
      </c>
      <c r="B63" s="53" t="s">
        <v>84</v>
      </c>
      <c r="C63" s="34">
        <f>[37]С2!F27</f>
        <v>0.44209422600000003</v>
      </c>
    </row>
    <row r="64" spans="1:3" ht="17.25" x14ac:dyDescent="0.2">
      <c r="A64" s="59" t="s">
        <v>85</v>
      </c>
      <c r="B64" s="58" t="s">
        <v>86</v>
      </c>
      <c r="C64" s="62">
        <f>[37]С2!F28</f>
        <v>4200</v>
      </c>
    </row>
    <row r="65" spans="1:3" ht="42.75" x14ac:dyDescent="0.2">
      <c r="A65" s="59" t="s">
        <v>87</v>
      </c>
      <c r="B65" s="33" t="s">
        <v>88</v>
      </c>
      <c r="C65" s="34">
        <f>[37]С2!F22</f>
        <v>42890.921752741691</v>
      </c>
    </row>
    <row r="66" spans="1:3" ht="30" x14ac:dyDescent="0.2">
      <c r="A66" s="59" t="s">
        <v>89</v>
      </c>
      <c r="B66" s="60" t="s">
        <v>90</v>
      </c>
      <c r="C66" s="34">
        <f>[37]С2!F23</f>
        <v>1990</v>
      </c>
    </row>
    <row r="67" spans="1:3" ht="30" x14ac:dyDescent="0.2">
      <c r="A67" s="59" t="s">
        <v>91</v>
      </c>
      <c r="B67" s="53" t="s">
        <v>92</v>
      </c>
      <c r="C67" s="34">
        <f>[37]С2.1!E27</f>
        <v>14307.876789999998</v>
      </c>
    </row>
    <row r="68" spans="1:3" ht="38.25" x14ac:dyDescent="0.2">
      <c r="A68" s="59" t="s">
        <v>93</v>
      </c>
      <c r="B68" s="65" t="s">
        <v>94</v>
      </c>
      <c r="C68" s="52">
        <f>[37]С2.3!E21</f>
        <v>0</v>
      </c>
    </row>
    <row r="69" spans="1:3" ht="25.5" x14ac:dyDescent="0.2">
      <c r="A69" s="59" t="s">
        <v>95</v>
      </c>
      <c r="B69" s="66" t="s">
        <v>96</v>
      </c>
      <c r="C69" s="67">
        <f>[37]С2.3!E11</f>
        <v>9.89</v>
      </c>
    </row>
    <row r="70" spans="1:3" ht="25.5" x14ac:dyDescent="0.2">
      <c r="A70" s="59" t="s">
        <v>97</v>
      </c>
      <c r="B70" s="66" t="s">
        <v>98</v>
      </c>
      <c r="C70" s="62">
        <f>[37]С2.3!E13</f>
        <v>300</v>
      </c>
    </row>
    <row r="71" spans="1:3" ht="25.5" x14ac:dyDescent="0.2">
      <c r="A71" s="59" t="s">
        <v>99</v>
      </c>
      <c r="B71" s="65" t="s">
        <v>100</v>
      </c>
      <c r="C71" s="68">
        <f>IF([37]С2.3!E22&gt;0,[37]С2.3!E22,[37]С2.3!E14)</f>
        <v>61211</v>
      </c>
    </row>
    <row r="72" spans="1:3" ht="38.25" x14ac:dyDescent="0.2">
      <c r="A72" s="59" t="s">
        <v>101</v>
      </c>
      <c r="B72" s="65" t="s">
        <v>102</v>
      </c>
      <c r="C72" s="68">
        <f>IF([37]С2.3!E23&gt;0,[37]С2.3!E23,[37]С2.3!E15)</f>
        <v>45675</v>
      </c>
    </row>
    <row r="73" spans="1:3" ht="30" x14ac:dyDescent="0.2">
      <c r="A73" s="59" t="s">
        <v>103</v>
      </c>
      <c r="B73" s="53" t="s">
        <v>104</v>
      </c>
      <c r="C73" s="34">
        <f>[37]С2.1!E28</f>
        <v>9541.9567200000001</v>
      </c>
    </row>
    <row r="74" spans="1:3" ht="38.25" x14ac:dyDescent="0.2">
      <c r="A74" s="59" t="s">
        <v>105</v>
      </c>
      <c r="B74" s="65" t="s">
        <v>106</v>
      </c>
      <c r="C74" s="52">
        <f>[37]С2.3!E25</f>
        <v>0</v>
      </c>
    </row>
    <row r="75" spans="1:3" ht="25.5" x14ac:dyDescent="0.2">
      <c r="A75" s="59" t="s">
        <v>107</v>
      </c>
      <c r="B75" s="66" t="s">
        <v>108</v>
      </c>
      <c r="C75" s="67">
        <f>[37]С2.3!E12</f>
        <v>0.56000000000000005</v>
      </c>
    </row>
    <row r="76" spans="1:3" ht="25.5" x14ac:dyDescent="0.2">
      <c r="A76" s="59" t="s">
        <v>109</v>
      </c>
      <c r="B76" s="66" t="s">
        <v>98</v>
      </c>
      <c r="C76" s="62">
        <f>[37]С2.3!E13</f>
        <v>300</v>
      </c>
    </row>
    <row r="77" spans="1:3" ht="25.5" x14ac:dyDescent="0.2">
      <c r="A77" s="59" t="s">
        <v>110</v>
      </c>
      <c r="B77" s="69" t="s">
        <v>111</v>
      </c>
      <c r="C77" s="68">
        <f>IF([37]С2.3!E26&gt;0,[37]С2.3!E26,[37]С2.3!E16)</f>
        <v>65637</v>
      </c>
    </row>
    <row r="78" spans="1:3" ht="38.25" x14ac:dyDescent="0.2">
      <c r="A78" s="59" t="s">
        <v>112</v>
      </c>
      <c r="B78" s="69" t="s">
        <v>113</v>
      </c>
      <c r="C78" s="68">
        <f>IF([37]С2.3!E27&gt;0,[37]С2.3!E27,[37]С2.3!E17)</f>
        <v>31684</v>
      </c>
    </row>
    <row r="79" spans="1:3" ht="17.25" x14ac:dyDescent="0.2">
      <c r="A79" s="59" t="s">
        <v>114</v>
      </c>
      <c r="B79" s="33" t="s">
        <v>115</v>
      </c>
      <c r="C79" s="35">
        <f>[37]С2!F29</f>
        <v>0.17804631770487722</v>
      </c>
    </row>
    <row r="80" spans="1:3" ht="30" x14ac:dyDescent="0.2">
      <c r="A80" s="59" t="s">
        <v>116</v>
      </c>
      <c r="B80" s="53" t="s">
        <v>117</v>
      </c>
      <c r="C80" s="70">
        <f>[37]С2!F30</f>
        <v>0.1652189781021898</v>
      </c>
    </row>
    <row r="81" spans="1:3" ht="17.25" x14ac:dyDescent="0.2">
      <c r="A81" s="59" t="s">
        <v>118</v>
      </c>
      <c r="B81" s="71" t="s">
        <v>119</v>
      </c>
      <c r="C81" s="35">
        <f>[37]С2!F31</f>
        <v>0.13880000000000001</v>
      </c>
    </row>
    <row r="82" spans="1:3" s="63" customFormat="1" ht="18" thickBot="1" x14ac:dyDescent="0.25">
      <c r="A82" s="72" t="s">
        <v>120</v>
      </c>
      <c r="B82" s="73" t="s">
        <v>121</v>
      </c>
      <c r="C82" s="74">
        <f>[37]С2!F32</f>
        <v>0.12640000000000001</v>
      </c>
    </row>
    <row r="83" spans="1:3" ht="13.5" thickBot="1" x14ac:dyDescent="0.25">
      <c r="A83" s="47"/>
      <c r="B83" s="75"/>
      <c r="C83" s="15"/>
    </row>
    <row r="84" spans="1:3" s="63" customFormat="1" ht="30" customHeight="1" x14ac:dyDescent="0.2">
      <c r="A84" s="76" t="s">
        <v>122</v>
      </c>
      <c r="B84" s="145" t="s">
        <v>123</v>
      </c>
      <c r="C84" s="145"/>
    </row>
    <row r="85" spans="1:3" s="63" customFormat="1" ht="30" x14ac:dyDescent="0.2">
      <c r="A85" s="77" t="s">
        <v>124</v>
      </c>
      <c r="B85" s="33" t="s">
        <v>125</v>
      </c>
      <c r="C85" s="34">
        <f>[37]С3!F14</f>
        <v>14912.207299372252</v>
      </c>
    </row>
    <row r="86" spans="1:3" s="63" customFormat="1" ht="42.75" x14ac:dyDescent="0.2">
      <c r="A86" s="77" t="s">
        <v>126</v>
      </c>
      <c r="B86" s="53" t="s">
        <v>127</v>
      </c>
      <c r="C86" s="78">
        <f>[37]С3!F15</f>
        <v>0.25</v>
      </c>
    </row>
    <row r="87" spans="1:3" s="63" customFormat="1" ht="14.25" x14ac:dyDescent="0.2">
      <c r="A87" s="77" t="s">
        <v>128</v>
      </c>
      <c r="B87" s="79" t="s">
        <v>129</v>
      </c>
      <c r="C87" s="62">
        <f>[37]С3!F18</f>
        <v>15</v>
      </c>
    </row>
    <row r="88" spans="1:3" s="63" customFormat="1" ht="17.25" x14ac:dyDescent="0.2">
      <c r="A88" s="77" t="s">
        <v>130</v>
      </c>
      <c r="B88" s="33" t="s">
        <v>131</v>
      </c>
      <c r="C88" s="34">
        <f>[37]С3!F19</f>
        <v>4187.478806422544</v>
      </c>
    </row>
    <row r="89" spans="1:3" s="63" customFormat="1" ht="55.5" x14ac:dyDescent="0.2">
      <c r="A89" s="77" t="s">
        <v>132</v>
      </c>
      <c r="B89" s="53" t="s">
        <v>133</v>
      </c>
      <c r="C89" s="80">
        <f>[37]С3!F20</f>
        <v>2.1999999999999999E-2</v>
      </c>
    </row>
    <row r="90" spans="1:3" s="63" customFormat="1" ht="14.25" x14ac:dyDescent="0.2">
      <c r="A90" s="77" t="s">
        <v>134</v>
      </c>
      <c r="B90" s="58" t="s">
        <v>80</v>
      </c>
      <c r="C90" s="62">
        <f>[37]С3!F21</f>
        <v>10</v>
      </c>
    </row>
    <row r="91" spans="1:3" s="63" customFormat="1" ht="17.25" x14ac:dyDescent="0.2">
      <c r="A91" s="77" t="s">
        <v>135</v>
      </c>
      <c r="B91" s="33" t="s">
        <v>136</v>
      </c>
      <c r="C91" s="34">
        <f>[37]С3!F22</f>
        <v>9.2461525913787437</v>
      </c>
    </row>
    <row r="92" spans="1:3" s="63" customFormat="1" ht="55.5" x14ac:dyDescent="0.2">
      <c r="A92" s="77" t="s">
        <v>137</v>
      </c>
      <c r="B92" s="53" t="s">
        <v>138</v>
      </c>
      <c r="C92" s="80">
        <f>[37]С3!F23</f>
        <v>3.0000000000000001E-3</v>
      </c>
    </row>
    <row r="93" spans="1:3" s="63" customFormat="1" ht="27.75" thickBot="1" x14ac:dyDescent="0.25">
      <c r="A93" s="81" t="s">
        <v>139</v>
      </c>
      <c r="B93" s="82" t="s">
        <v>140</v>
      </c>
      <c r="C93" s="83">
        <f>[37]С3!F24</f>
        <v>3082.0508637929142</v>
      </c>
    </row>
    <row r="94" spans="1:3" ht="13.5" thickBot="1" x14ac:dyDescent="0.25">
      <c r="A94" s="47"/>
      <c r="B94" s="75"/>
      <c r="C94" s="15"/>
    </row>
    <row r="95" spans="1:3" ht="30" customHeight="1" x14ac:dyDescent="0.2">
      <c r="A95" s="84" t="s">
        <v>141</v>
      </c>
      <c r="B95" s="145" t="s">
        <v>142</v>
      </c>
      <c r="C95" s="145"/>
    </row>
    <row r="96" spans="1:3" ht="30" x14ac:dyDescent="0.2">
      <c r="A96" s="59" t="s">
        <v>143</v>
      </c>
      <c r="B96" s="33" t="s">
        <v>144</v>
      </c>
      <c r="C96" s="34">
        <f>[37]С4!F16</f>
        <v>1652.5</v>
      </c>
    </row>
    <row r="97" spans="1:3" ht="30" x14ac:dyDescent="0.2">
      <c r="A97" s="59" t="s">
        <v>145</v>
      </c>
      <c r="B97" s="58" t="s">
        <v>146</v>
      </c>
      <c r="C97" s="34">
        <f>[37]С4!F17</f>
        <v>73547</v>
      </c>
    </row>
    <row r="98" spans="1:3" ht="17.25" x14ac:dyDescent="0.2">
      <c r="A98" s="59" t="s">
        <v>147</v>
      </c>
      <c r="B98" s="58" t="s">
        <v>148</v>
      </c>
      <c r="C98" s="40">
        <f>[37]С4!F18</f>
        <v>0.02</v>
      </c>
    </row>
    <row r="99" spans="1:3" ht="30" x14ac:dyDescent="0.2">
      <c r="A99" s="59" t="s">
        <v>149</v>
      </c>
      <c r="B99" s="58" t="s">
        <v>150</v>
      </c>
      <c r="C99" s="34">
        <f>[37]С4!F19</f>
        <v>12104</v>
      </c>
    </row>
    <row r="100" spans="1:3" ht="31.5" x14ac:dyDescent="0.2">
      <c r="A100" s="59" t="s">
        <v>151</v>
      </c>
      <c r="B100" s="58" t="s">
        <v>152</v>
      </c>
      <c r="C100" s="40">
        <f>[37]С4!F20</f>
        <v>1.4999999999999999E-2</v>
      </c>
    </row>
    <row r="101" spans="1:3" ht="30" x14ac:dyDescent="0.2">
      <c r="A101" s="59" t="s">
        <v>153</v>
      </c>
      <c r="B101" s="33" t="s">
        <v>154</v>
      </c>
      <c r="C101" s="34">
        <f>[37]С4!F21</f>
        <v>1933.1949342509995</v>
      </c>
    </row>
    <row r="102" spans="1:3" ht="24" customHeight="1" x14ac:dyDescent="0.2">
      <c r="A102" s="59" t="s">
        <v>155</v>
      </c>
      <c r="B102" s="53" t="s">
        <v>156</v>
      </c>
      <c r="C102" s="85">
        <f>IF([37]С4.2!F8="да",[37]С4.2!D21,[37]С4.2!D15)</f>
        <v>0</v>
      </c>
    </row>
    <row r="103" spans="1:3" ht="68.25" x14ac:dyDescent="0.2">
      <c r="A103" s="59" t="s">
        <v>157</v>
      </c>
      <c r="B103" s="53" t="s">
        <v>158</v>
      </c>
      <c r="C103" s="34">
        <f>[37]С4!F22</f>
        <v>3.6112641666666665</v>
      </c>
    </row>
    <row r="104" spans="1:3" ht="30" x14ac:dyDescent="0.2">
      <c r="A104" s="59" t="s">
        <v>159</v>
      </c>
      <c r="B104" s="58" t="s">
        <v>160</v>
      </c>
      <c r="C104" s="34">
        <f>[37]С4!F23</f>
        <v>180</v>
      </c>
    </row>
    <row r="105" spans="1:3" ht="14.25" x14ac:dyDescent="0.2">
      <c r="A105" s="59" t="s">
        <v>161</v>
      </c>
      <c r="B105" s="53" t="s">
        <v>162</v>
      </c>
      <c r="C105" s="34">
        <f>[37]С4!F24</f>
        <v>8497.1999999999989</v>
      </c>
    </row>
    <row r="106" spans="1:3" ht="14.25" x14ac:dyDescent="0.2">
      <c r="A106" s="59" t="s">
        <v>163</v>
      </c>
      <c r="B106" s="58" t="s">
        <v>164</v>
      </c>
      <c r="C106" s="40">
        <f>[37]С4!F25</f>
        <v>0.35</v>
      </c>
    </row>
    <row r="107" spans="1:3" ht="17.25" x14ac:dyDescent="0.2">
      <c r="A107" s="59" t="s">
        <v>165</v>
      </c>
      <c r="B107" s="33" t="s">
        <v>166</v>
      </c>
      <c r="C107" s="34">
        <f>[37]С4!F26</f>
        <v>83.616630000000001</v>
      </c>
    </row>
    <row r="108" spans="1:3" ht="25.5" x14ac:dyDescent="0.2">
      <c r="A108" s="59" t="s">
        <v>167</v>
      </c>
      <c r="B108" s="53" t="s">
        <v>94</v>
      </c>
      <c r="C108" s="85">
        <f>[37]С4.3!E16</f>
        <v>0</v>
      </c>
    </row>
    <row r="109" spans="1:3" ht="25.5" x14ac:dyDescent="0.2">
      <c r="A109" s="59" t="s">
        <v>168</v>
      </c>
      <c r="B109" s="53" t="s">
        <v>169</v>
      </c>
      <c r="C109" s="34">
        <f>[37]С4.3!E17</f>
        <v>22.05</v>
      </c>
    </row>
    <row r="110" spans="1:3" ht="38.25" x14ac:dyDescent="0.2">
      <c r="A110" s="59" t="s">
        <v>170</v>
      </c>
      <c r="B110" s="53" t="s">
        <v>106</v>
      </c>
      <c r="C110" s="85">
        <f>[37]С4.3!E18</f>
        <v>0</v>
      </c>
    </row>
    <row r="111" spans="1:3" x14ac:dyDescent="0.2">
      <c r="A111" s="59" t="s">
        <v>171</v>
      </c>
      <c r="B111" s="53" t="s">
        <v>172</v>
      </c>
      <c r="C111" s="34">
        <f>[37]С4.3!E19</f>
        <v>30.82</v>
      </c>
    </row>
    <row r="112" spans="1:3" x14ac:dyDescent="0.2">
      <c r="A112" s="59" t="s">
        <v>173</v>
      </c>
      <c r="B112" s="58" t="s">
        <v>174</v>
      </c>
      <c r="C112" s="34">
        <f>[37]С4.3!E11</f>
        <v>1871</v>
      </c>
    </row>
    <row r="113" spans="1:3" x14ac:dyDescent="0.2">
      <c r="A113" s="59" t="s">
        <v>175</v>
      </c>
      <c r="B113" s="58" t="s">
        <v>176</v>
      </c>
      <c r="C113" s="52">
        <f>[37]С4.3!E12</f>
        <v>1636</v>
      </c>
    </row>
    <row r="114" spans="1:3" x14ac:dyDescent="0.2">
      <c r="A114" s="59" t="s">
        <v>177</v>
      </c>
      <c r="B114" s="58" t="s">
        <v>178</v>
      </c>
      <c r="C114" s="52">
        <f>[37]С4.3!E13</f>
        <v>204</v>
      </c>
    </row>
    <row r="115" spans="1:3" ht="30" x14ac:dyDescent="0.2">
      <c r="A115" s="59" t="s">
        <v>179</v>
      </c>
      <c r="B115" s="33" t="s">
        <v>180</v>
      </c>
      <c r="C115" s="34">
        <f>[37]С4!F27</f>
        <v>1291.2863994686898</v>
      </c>
    </row>
    <row r="116" spans="1:3" ht="25.5" x14ac:dyDescent="0.2">
      <c r="A116" s="59" t="s">
        <v>181</v>
      </c>
      <c r="B116" s="53" t="s">
        <v>182</v>
      </c>
      <c r="C116" s="34">
        <f>[37]С4!F28</f>
        <v>991.77142816335618</v>
      </c>
    </row>
    <row r="117" spans="1:3" ht="42.75" x14ac:dyDescent="0.2">
      <c r="A117" s="59" t="s">
        <v>183</v>
      </c>
      <c r="B117" s="53" t="s">
        <v>184</v>
      </c>
      <c r="C117" s="34">
        <f>[37]С4!F29</f>
        <v>299.51497130533357</v>
      </c>
    </row>
    <row r="118" spans="1:3" ht="30" x14ac:dyDescent="0.2">
      <c r="A118" s="59" t="s">
        <v>185</v>
      </c>
      <c r="B118" s="39" t="s">
        <v>186</v>
      </c>
      <c r="C118" s="34">
        <f>[37]С4!F30</f>
        <v>2620.1669528356338</v>
      </c>
    </row>
    <row r="119" spans="1:3" ht="42.75" x14ac:dyDescent="0.2">
      <c r="A119" s="59" t="s">
        <v>187</v>
      </c>
      <c r="B119" s="86" t="s">
        <v>188</v>
      </c>
      <c r="C119" s="34">
        <f>[37]С4!F33</f>
        <v>1413.4646450978896</v>
      </c>
    </row>
    <row r="120" spans="1:3" ht="30" x14ac:dyDescent="0.2">
      <c r="A120" s="59" t="s">
        <v>189</v>
      </c>
      <c r="B120" s="87" t="s">
        <v>190</v>
      </c>
      <c r="C120" s="34">
        <f>[37]С4!F35</f>
        <v>17.040680999999999</v>
      </c>
    </row>
    <row r="121" spans="1:3" ht="14.25" x14ac:dyDescent="0.2">
      <c r="A121" s="59" t="s">
        <v>191</v>
      </c>
      <c r="B121" s="56" t="s">
        <v>192</v>
      </c>
      <c r="C121" s="34">
        <f>[37]С4!F36</f>
        <v>14319.9</v>
      </c>
    </row>
    <row r="122" spans="1:3" ht="28.5" thickBot="1" x14ac:dyDescent="0.25">
      <c r="A122" s="72" t="s">
        <v>193</v>
      </c>
      <c r="B122" s="88" t="s">
        <v>194</v>
      </c>
      <c r="C122" s="83">
        <f>[37]С4!F37</f>
        <v>1.19</v>
      </c>
    </row>
    <row r="123" spans="1:3" s="89" customFormat="1" ht="13.5" thickBot="1" x14ac:dyDescent="0.25">
      <c r="A123" s="47"/>
      <c r="B123" s="75"/>
      <c r="C123" s="15"/>
    </row>
    <row r="124" spans="1:3" s="63" customFormat="1" ht="30" customHeight="1" x14ac:dyDescent="0.2">
      <c r="A124" s="76" t="s">
        <v>195</v>
      </c>
      <c r="B124" s="145" t="s">
        <v>196</v>
      </c>
      <c r="C124" s="145"/>
    </row>
    <row r="125" spans="1:3" ht="16.5" thickBot="1" x14ac:dyDescent="0.25">
      <c r="A125" s="27" t="s">
        <v>197</v>
      </c>
      <c r="B125" s="90" t="s">
        <v>198</v>
      </c>
      <c r="C125" s="83">
        <f>[37]С5!F17</f>
        <v>0.02</v>
      </c>
    </row>
    <row r="126" spans="1:3" s="89" customFormat="1" ht="13.5" thickBot="1" x14ac:dyDescent="0.25">
      <c r="A126" s="47"/>
      <c r="B126" s="75"/>
      <c r="C126" s="15"/>
    </row>
    <row r="127" spans="1:3" ht="42.75" customHeight="1" x14ac:dyDescent="0.2">
      <c r="A127" s="84" t="s">
        <v>199</v>
      </c>
      <c r="B127" s="146" t="s">
        <v>200</v>
      </c>
      <c r="C127" s="146"/>
    </row>
    <row r="128" spans="1:3" ht="68.25" x14ac:dyDescent="0.2">
      <c r="A128" s="59" t="s">
        <v>201</v>
      </c>
      <c r="B128" s="91" t="s">
        <v>202</v>
      </c>
      <c r="C128" s="34" t="s">
        <v>203</v>
      </c>
    </row>
    <row r="129" spans="1:3" ht="42.75" hidden="1" x14ac:dyDescent="0.2">
      <c r="A129" s="59" t="s">
        <v>204</v>
      </c>
      <c r="B129" s="86" t="s">
        <v>205</v>
      </c>
      <c r="C129" s="92"/>
    </row>
    <row r="130" spans="1:3" ht="69" thickBot="1" x14ac:dyDescent="0.25">
      <c r="A130" s="72" t="s">
        <v>206</v>
      </c>
      <c r="B130" s="93" t="s">
        <v>207</v>
      </c>
      <c r="C130" s="94" t="s">
        <v>203</v>
      </c>
    </row>
    <row r="131" spans="1:3" ht="62.25" hidden="1" customHeight="1" x14ac:dyDescent="0.2">
      <c r="A131" s="95" t="s">
        <v>208</v>
      </c>
      <c r="B131" s="96" t="s">
        <v>209</v>
      </c>
      <c r="C131" s="97"/>
    </row>
    <row r="132" spans="1:3" ht="68.25" hidden="1" x14ac:dyDescent="0.2">
      <c r="A132" s="59" t="s">
        <v>210</v>
      </c>
      <c r="B132" s="86" t="s">
        <v>211</v>
      </c>
      <c r="C132" s="35"/>
    </row>
    <row r="133" spans="1:3" ht="69" hidden="1" thickBot="1" x14ac:dyDescent="0.25">
      <c r="A133" s="72" t="s">
        <v>212</v>
      </c>
      <c r="B133" s="98" t="s">
        <v>213</v>
      </c>
      <c r="C133" s="74"/>
    </row>
    <row r="134" spans="1:3" s="89" customFormat="1" ht="13.5" thickBot="1" x14ac:dyDescent="0.25">
      <c r="A134" s="47"/>
      <c r="B134" s="75"/>
      <c r="C134" s="15"/>
    </row>
    <row r="135" spans="1:3" ht="26.25" customHeight="1" x14ac:dyDescent="0.2">
      <c r="A135" s="84" t="s">
        <v>214</v>
      </c>
      <c r="B135" s="99" t="s">
        <v>215</v>
      </c>
      <c r="C135" s="100">
        <f>[37]С2!F37</f>
        <v>20.818139999999996</v>
      </c>
    </row>
    <row r="136" spans="1:3" ht="14.25" x14ac:dyDescent="0.2">
      <c r="A136" s="59" t="s">
        <v>216</v>
      </c>
      <c r="B136" s="101" t="s">
        <v>217</v>
      </c>
      <c r="C136" s="34">
        <f>[37]С2!F38</f>
        <v>7</v>
      </c>
    </row>
    <row r="137" spans="1:3" ht="17.25" x14ac:dyDescent="0.2">
      <c r="A137" s="59" t="s">
        <v>218</v>
      </c>
      <c r="B137" s="101" t="s">
        <v>219</v>
      </c>
      <c r="C137" s="34">
        <f>[37]С2!F40</f>
        <v>0.97</v>
      </c>
    </row>
    <row r="138" spans="1:3" ht="15" thickBot="1" x14ac:dyDescent="0.25">
      <c r="A138" s="72" t="s">
        <v>220</v>
      </c>
      <c r="B138" s="102" t="s">
        <v>221</v>
      </c>
      <c r="C138" s="46">
        <f>[37]С2!F42</f>
        <v>0.35</v>
      </c>
    </row>
    <row r="139" spans="1:3" s="89" customFormat="1" ht="13.5" thickBot="1" x14ac:dyDescent="0.25">
      <c r="A139" s="47"/>
      <c r="B139" s="75"/>
      <c r="C139" s="15"/>
    </row>
    <row r="140" spans="1:3" ht="30" x14ac:dyDescent="0.2">
      <c r="A140" s="84" t="s">
        <v>222</v>
      </c>
      <c r="B140" s="103" t="s">
        <v>223</v>
      </c>
      <c r="C140" s="104">
        <f>[37]С2!F35</f>
        <v>1.6598760876745948</v>
      </c>
    </row>
    <row r="141" spans="1:3" ht="22.7" customHeight="1" thickBot="1" x14ac:dyDescent="0.25">
      <c r="A141" s="72" t="s">
        <v>224</v>
      </c>
      <c r="B141" s="141" t="s">
        <v>225</v>
      </c>
      <c r="C141" s="141"/>
    </row>
    <row r="142" spans="1:3" ht="13.5" thickBot="1" x14ac:dyDescent="0.25">
      <c r="A142" s="105"/>
      <c r="B142" s="106" t="s">
        <v>226</v>
      </c>
      <c r="C142" s="107"/>
    </row>
    <row r="143" spans="1:3" x14ac:dyDescent="0.2">
      <c r="A143" s="105"/>
      <c r="B143" s="108">
        <v>2020</v>
      </c>
      <c r="C143" s="109">
        <f>[37]С2.5!$E$11</f>
        <v>-2.9000000000000026E-2</v>
      </c>
    </row>
    <row r="144" spans="1:3" x14ac:dyDescent="0.2">
      <c r="A144" s="105"/>
      <c r="B144" s="110">
        <f>B143+1</f>
        <v>2021</v>
      </c>
      <c r="C144" s="111">
        <f>[37]С2.5!$F$11</f>
        <v>0.245</v>
      </c>
    </row>
    <row r="145" spans="1:3" x14ac:dyDescent="0.2">
      <c r="A145" s="105"/>
      <c r="B145" s="110">
        <f t="shared" ref="B145:B208" si="0">B144+1</f>
        <v>2022</v>
      </c>
      <c r="C145" s="111">
        <f>[37]С2.5!$G$11</f>
        <v>0.114</v>
      </c>
    </row>
    <row r="146" spans="1:3" ht="13.5" thickBot="1" x14ac:dyDescent="0.25">
      <c r="A146" s="105"/>
      <c r="B146" s="112">
        <f t="shared" si="0"/>
        <v>2023</v>
      </c>
      <c r="C146" s="113">
        <f>[37]С2.5!$H$11</f>
        <v>0.04</v>
      </c>
    </row>
    <row r="147" spans="1:3" x14ac:dyDescent="0.2">
      <c r="A147" s="105"/>
      <c r="B147" s="114">
        <f t="shared" si="0"/>
        <v>2024</v>
      </c>
      <c r="C147" s="115">
        <f>[37]С2.5!$I$11</f>
        <v>0.11700000000000001</v>
      </c>
    </row>
    <row r="148" spans="1:3" x14ac:dyDescent="0.2">
      <c r="A148" s="105"/>
      <c r="B148" s="110">
        <f t="shared" si="0"/>
        <v>2025</v>
      </c>
      <c r="C148" s="111">
        <f>[37]С2.5!$J$11</f>
        <v>6.0999999999999999E-2</v>
      </c>
    </row>
    <row r="149" spans="1:3" hidden="1" x14ac:dyDescent="0.2">
      <c r="A149" s="105"/>
      <c r="B149" s="110">
        <f t="shared" si="0"/>
        <v>2026</v>
      </c>
      <c r="C149" s="111">
        <f>[37]С2.5!$K$11</f>
        <v>3.5813361771260002E-2</v>
      </c>
    </row>
    <row r="150" spans="1:3" hidden="1" x14ac:dyDescent="0.2">
      <c r="A150" s="105"/>
      <c r="B150" s="110">
        <f t="shared" si="0"/>
        <v>2027</v>
      </c>
      <c r="C150" s="111">
        <f>[37]С2.5!$L$11</f>
        <v>3.2682303599220003E-2</v>
      </c>
    </row>
    <row r="151" spans="1:3" hidden="1" x14ac:dyDescent="0.2">
      <c r="A151" s="105"/>
      <c r="B151" s="110">
        <f t="shared" si="0"/>
        <v>2028</v>
      </c>
      <c r="C151" s="111">
        <f>[37]С2.5!$M$11</f>
        <v>0</v>
      </c>
    </row>
    <row r="152" spans="1:3" hidden="1" x14ac:dyDescent="0.2">
      <c r="A152" s="105"/>
      <c r="B152" s="110">
        <f t="shared" si="0"/>
        <v>2029</v>
      </c>
      <c r="C152" s="111">
        <f>[37]С2.5!$N$11</f>
        <v>0</v>
      </c>
    </row>
    <row r="153" spans="1:3" hidden="1" x14ac:dyDescent="0.2">
      <c r="A153" s="105"/>
      <c r="B153" s="110">
        <f t="shared" si="0"/>
        <v>2030</v>
      </c>
      <c r="C153" s="111">
        <f>[37]С2.5!$O$11</f>
        <v>0</v>
      </c>
    </row>
    <row r="154" spans="1:3" hidden="1" x14ac:dyDescent="0.2">
      <c r="A154" s="105"/>
      <c r="B154" s="110">
        <f t="shared" si="0"/>
        <v>2031</v>
      </c>
      <c r="C154" s="111">
        <f>[37]С2.5!$P$11</f>
        <v>0</v>
      </c>
    </row>
    <row r="155" spans="1:3" hidden="1" x14ac:dyDescent="0.2">
      <c r="A155" s="89"/>
      <c r="B155" s="110">
        <f t="shared" si="0"/>
        <v>2032</v>
      </c>
      <c r="C155" s="111">
        <f>[37]С2.5!$Q$11</f>
        <v>0</v>
      </c>
    </row>
    <row r="156" spans="1:3" hidden="1" x14ac:dyDescent="0.2">
      <c r="A156" s="89"/>
      <c r="B156" s="110">
        <f t="shared" si="0"/>
        <v>2033</v>
      </c>
      <c r="C156" s="111">
        <f>[37]С2.5!$R$11</f>
        <v>0</v>
      </c>
    </row>
    <row r="157" spans="1:3" hidden="1" x14ac:dyDescent="0.2">
      <c r="B157" s="110">
        <f t="shared" si="0"/>
        <v>2034</v>
      </c>
      <c r="C157" s="111">
        <f>[37]С2.5!$S$11</f>
        <v>0</v>
      </c>
    </row>
    <row r="158" spans="1:3" hidden="1" x14ac:dyDescent="0.2">
      <c r="B158" s="110">
        <f t="shared" si="0"/>
        <v>2035</v>
      </c>
      <c r="C158" s="111">
        <f>[37]С2.5!$T$11</f>
        <v>0</v>
      </c>
    </row>
    <row r="159" spans="1:3" hidden="1" x14ac:dyDescent="0.2">
      <c r="B159" s="110">
        <f t="shared" si="0"/>
        <v>2036</v>
      </c>
      <c r="C159" s="111">
        <f>[37]С2.5!$U$11</f>
        <v>0</v>
      </c>
    </row>
    <row r="160" spans="1:3" hidden="1" x14ac:dyDescent="0.2">
      <c r="B160" s="110">
        <f t="shared" si="0"/>
        <v>2037</v>
      </c>
      <c r="C160" s="111">
        <f>[37]С2.5!$V$11</f>
        <v>0</v>
      </c>
    </row>
    <row r="161" spans="2:3" hidden="1" x14ac:dyDescent="0.2">
      <c r="B161" s="110">
        <f t="shared" si="0"/>
        <v>2038</v>
      </c>
      <c r="C161" s="111">
        <f>[37]С2.5!$W$11</f>
        <v>0</v>
      </c>
    </row>
    <row r="162" spans="2:3" hidden="1" x14ac:dyDescent="0.2">
      <c r="B162" s="110">
        <f t="shared" si="0"/>
        <v>2039</v>
      </c>
      <c r="C162" s="111">
        <f>[37]С2.5!$X$11</f>
        <v>0</v>
      </c>
    </row>
    <row r="163" spans="2:3" hidden="1" x14ac:dyDescent="0.2">
      <c r="B163" s="110">
        <f t="shared" si="0"/>
        <v>2040</v>
      </c>
      <c r="C163" s="111">
        <f>[37]С2.5!$Y$11</f>
        <v>0</v>
      </c>
    </row>
    <row r="164" spans="2:3" hidden="1" x14ac:dyDescent="0.2">
      <c r="B164" s="110">
        <f t="shared" si="0"/>
        <v>2041</v>
      </c>
      <c r="C164" s="111">
        <f>[37]С2.5!$Z$11</f>
        <v>0</v>
      </c>
    </row>
    <row r="165" spans="2:3" hidden="1" x14ac:dyDescent="0.2">
      <c r="B165" s="110">
        <f t="shared" si="0"/>
        <v>2042</v>
      </c>
      <c r="C165" s="111">
        <f>[37]С2.5!$AA$11</f>
        <v>0</v>
      </c>
    </row>
    <row r="166" spans="2:3" hidden="1" x14ac:dyDescent="0.2">
      <c r="B166" s="110">
        <f t="shared" si="0"/>
        <v>2043</v>
      </c>
      <c r="C166" s="111">
        <f>[37]С2.5!$AB$11</f>
        <v>0</v>
      </c>
    </row>
    <row r="167" spans="2:3" hidden="1" x14ac:dyDescent="0.2">
      <c r="B167" s="110">
        <f t="shared" si="0"/>
        <v>2044</v>
      </c>
      <c r="C167" s="111">
        <f>[37]С2.5!$AC$11</f>
        <v>0</v>
      </c>
    </row>
    <row r="168" spans="2:3" hidden="1" x14ac:dyDescent="0.2">
      <c r="B168" s="110">
        <f t="shared" si="0"/>
        <v>2045</v>
      </c>
      <c r="C168" s="111">
        <f>[37]С2.5!$AD$11</f>
        <v>0</v>
      </c>
    </row>
    <row r="169" spans="2:3" hidden="1" x14ac:dyDescent="0.2">
      <c r="B169" s="110">
        <f t="shared" si="0"/>
        <v>2046</v>
      </c>
      <c r="C169" s="111">
        <f>[37]С2.5!$AE$11</f>
        <v>0</v>
      </c>
    </row>
    <row r="170" spans="2:3" hidden="1" x14ac:dyDescent="0.2">
      <c r="B170" s="110">
        <f t="shared" si="0"/>
        <v>2047</v>
      </c>
      <c r="C170" s="111">
        <f>[37]С2.5!$AF$11</f>
        <v>0</v>
      </c>
    </row>
    <row r="171" spans="2:3" hidden="1" x14ac:dyDescent="0.2">
      <c r="B171" s="110">
        <f t="shared" si="0"/>
        <v>2048</v>
      </c>
      <c r="C171" s="111">
        <f>[37]С2.5!$AG$11</f>
        <v>0</v>
      </c>
    </row>
    <row r="172" spans="2:3" hidden="1" x14ac:dyDescent="0.2">
      <c r="B172" s="110">
        <f t="shared" si="0"/>
        <v>2049</v>
      </c>
      <c r="C172" s="111">
        <f>[37]С2.5!$AH$11</f>
        <v>0</v>
      </c>
    </row>
    <row r="173" spans="2:3" hidden="1" x14ac:dyDescent="0.2">
      <c r="B173" s="110">
        <f t="shared" si="0"/>
        <v>2050</v>
      </c>
      <c r="C173" s="111">
        <f>[37]С2.5!$AI$11</f>
        <v>0</v>
      </c>
    </row>
    <row r="174" spans="2:3" hidden="1" x14ac:dyDescent="0.2">
      <c r="B174" s="110">
        <f t="shared" si="0"/>
        <v>2051</v>
      </c>
      <c r="C174" s="111">
        <f>[37]С2.5!$AJ$11</f>
        <v>0</v>
      </c>
    </row>
    <row r="175" spans="2:3" hidden="1" x14ac:dyDescent="0.2">
      <c r="B175" s="110">
        <f t="shared" si="0"/>
        <v>2052</v>
      </c>
      <c r="C175" s="111">
        <f>[37]С2.5!$AK$11</f>
        <v>0</v>
      </c>
    </row>
    <row r="176" spans="2:3" hidden="1" x14ac:dyDescent="0.2">
      <c r="B176" s="110">
        <f t="shared" si="0"/>
        <v>2053</v>
      </c>
      <c r="C176" s="111">
        <f>[37]С2.5!$AL$11</f>
        <v>0</v>
      </c>
    </row>
    <row r="177" spans="2:3" hidden="1" x14ac:dyDescent="0.2">
      <c r="B177" s="110">
        <f t="shared" si="0"/>
        <v>2054</v>
      </c>
      <c r="C177" s="111">
        <f>[37]С2.5!$AM$11</f>
        <v>0</v>
      </c>
    </row>
    <row r="178" spans="2:3" hidden="1" x14ac:dyDescent="0.2">
      <c r="B178" s="110">
        <f t="shared" si="0"/>
        <v>2055</v>
      </c>
      <c r="C178" s="111">
        <f>[37]С2.5!$AN$11</f>
        <v>0</v>
      </c>
    </row>
    <row r="179" spans="2:3" hidden="1" x14ac:dyDescent="0.2">
      <c r="B179" s="110">
        <f t="shared" si="0"/>
        <v>2056</v>
      </c>
      <c r="C179" s="111">
        <f>[37]С2.5!$AO$11</f>
        <v>0</v>
      </c>
    </row>
    <row r="180" spans="2:3" hidden="1" x14ac:dyDescent="0.2">
      <c r="B180" s="110">
        <f t="shared" si="0"/>
        <v>2057</v>
      </c>
      <c r="C180" s="111">
        <f>[37]С2.5!$AP$11</f>
        <v>0</v>
      </c>
    </row>
    <row r="181" spans="2:3" hidden="1" x14ac:dyDescent="0.2">
      <c r="B181" s="110">
        <f t="shared" si="0"/>
        <v>2058</v>
      </c>
      <c r="C181" s="111">
        <f>[37]С2.5!$AQ$11</f>
        <v>0</v>
      </c>
    </row>
    <row r="182" spans="2:3" hidden="1" x14ac:dyDescent="0.2">
      <c r="B182" s="110">
        <f t="shared" si="0"/>
        <v>2059</v>
      </c>
      <c r="C182" s="111">
        <f>[37]С2.5!$AR$11</f>
        <v>0</v>
      </c>
    </row>
    <row r="183" spans="2:3" hidden="1" x14ac:dyDescent="0.2">
      <c r="B183" s="110">
        <f t="shared" si="0"/>
        <v>2060</v>
      </c>
      <c r="C183" s="111">
        <f>[37]С2.5!$AS$11</f>
        <v>0</v>
      </c>
    </row>
    <row r="184" spans="2:3" hidden="1" x14ac:dyDescent="0.2">
      <c r="B184" s="110">
        <f t="shared" si="0"/>
        <v>2061</v>
      </c>
      <c r="C184" s="111">
        <f>[37]С2.5!$AT$11</f>
        <v>0</v>
      </c>
    </row>
    <row r="185" spans="2:3" hidden="1" x14ac:dyDescent="0.2">
      <c r="B185" s="110">
        <f t="shared" si="0"/>
        <v>2062</v>
      </c>
      <c r="C185" s="111">
        <f>[37]С2.5!$AU$11</f>
        <v>0</v>
      </c>
    </row>
    <row r="186" spans="2:3" hidden="1" x14ac:dyDescent="0.2">
      <c r="B186" s="110">
        <f t="shared" si="0"/>
        <v>2063</v>
      </c>
      <c r="C186" s="111">
        <f>[37]С2.5!$AV$11</f>
        <v>0</v>
      </c>
    </row>
    <row r="187" spans="2:3" hidden="1" x14ac:dyDescent="0.2">
      <c r="B187" s="110">
        <f t="shared" si="0"/>
        <v>2064</v>
      </c>
      <c r="C187" s="111">
        <f>[37]С2.5!$AW$11</f>
        <v>0</v>
      </c>
    </row>
    <row r="188" spans="2:3" hidden="1" x14ac:dyDescent="0.2">
      <c r="B188" s="110">
        <f t="shared" si="0"/>
        <v>2065</v>
      </c>
      <c r="C188" s="111">
        <f>[37]С2.5!$AX$11</f>
        <v>0</v>
      </c>
    </row>
    <row r="189" spans="2:3" hidden="1" x14ac:dyDescent="0.2">
      <c r="B189" s="110">
        <f t="shared" si="0"/>
        <v>2066</v>
      </c>
      <c r="C189" s="111">
        <f>[37]С2.5!$AY$11</f>
        <v>0</v>
      </c>
    </row>
    <row r="190" spans="2:3" hidden="1" x14ac:dyDescent="0.2">
      <c r="B190" s="110">
        <f t="shared" si="0"/>
        <v>2067</v>
      </c>
      <c r="C190" s="111">
        <f>[37]С2.5!$AZ$11</f>
        <v>0</v>
      </c>
    </row>
    <row r="191" spans="2:3" hidden="1" x14ac:dyDescent="0.2">
      <c r="B191" s="110">
        <f t="shared" si="0"/>
        <v>2068</v>
      </c>
      <c r="C191" s="111">
        <f>[37]С2.5!$BA$11</f>
        <v>0</v>
      </c>
    </row>
    <row r="192" spans="2:3" hidden="1" x14ac:dyDescent="0.2">
      <c r="B192" s="110">
        <f t="shared" si="0"/>
        <v>2069</v>
      </c>
      <c r="C192" s="111">
        <f>[37]С2.5!$BB$11</f>
        <v>0</v>
      </c>
    </row>
    <row r="193" spans="2:3" hidden="1" x14ac:dyDescent="0.2">
      <c r="B193" s="110">
        <f t="shared" si="0"/>
        <v>2070</v>
      </c>
      <c r="C193" s="111">
        <f>[37]С2.5!$BC$11</f>
        <v>0</v>
      </c>
    </row>
    <row r="194" spans="2:3" hidden="1" x14ac:dyDescent="0.2">
      <c r="B194" s="110">
        <f t="shared" si="0"/>
        <v>2071</v>
      </c>
      <c r="C194" s="111">
        <f>[37]С2.5!$BD$11</f>
        <v>0</v>
      </c>
    </row>
    <row r="195" spans="2:3" hidden="1" x14ac:dyDescent="0.2">
      <c r="B195" s="110">
        <f t="shared" si="0"/>
        <v>2072</v>
      </c>
      <c r="C195" s="111">
        <f>[37]С2.5!$BE$11</f>
        <v>0</v>
      </c>
    </row>
    <row r="196" spans="2:3" hidden="1" x14ac:dyDescent="0.2">
      <c r="B196" s="110">
        <f t="shared" si="0"/>
        <v>2073</v>
      </c>
      <c r="C196" s="111">
        <f>[37]С2.5!$BF$11</f>
        <v>0</v>
      </c>
    </row>
    <row r="197" spans="2:3" hidden="1" x14ac:dyDescent="0.2">
      <c r="B197" s="110">
        <f t="shared" si="0"/>
        <v>2074</v>
      </c>
      <c r="C197" s="111">
        <f>[37]С2.5!$BG$11</f>
        <v>0</v>
      </c>
    </row>
    <row r="198" spans="2:3" hidden="1" x14ac:dyDescent="0.2">
      <c r="B198" s="110">
        <f t="shared" si="0"/>
        <v>2075</v>
      </c>
      <c r="C198" s="111">
        <f>[37]С2.5!$BH$11</f>
        <v>0</v>
      </c>
    </row>
    <row r="199" spans="2:3" hidden="1" x14ac:dyDescent="0.2">
      <c r="B199" s="110">
        <f t="shared" si="0"/>
        <v>2076</v>
      </c>
      <c r="C199" s="111">
        <f>[37]С2.5!$BI$11</f>
        <v>0</v>
      </c>
    </row>
    <row r="200" spans="2:3" hidden="1" x14ac:dyDescent="0.2">
      <c r="B200" s="110">
        <f t="shared" si="0"/>
        <v>2077</v>
      </c>
      <c r="C200" s="111">
        <f>[37]С2.5!$BJ$11</f>
        <v>0</v>
      </c>
    </row>
    <row r="201" spans="2:3" hidden="1" x14ac:dyDescent="0.2">
      <c r="B201" s="110">
        <f t="shared" si="0"/>
        <v>2078</v>
      </c>
      <c r="C201" s="111">
        <f>[37]С2.5!$BK$11</f>
        <v>0</v>
      </c>
    </row>
    <row r="202" spans="2:3" hidden="1" x14ac:dyDescent="0.2">
      <c r="B202" s="110">
        <f t="shared" si="0"/>
        <v>2079</v>
      </c>
      <c r="C202" s="111">
        <f>[37]С2.5!$BL$11</f>
        <v>0</v>
      </c>
    </row>
    <row r="203" spans="2:3" hidden="1" x14ac:dyDescent="0.2">
      <c r="B203" s="110">
        <f t="shared" si="0"/>
        <v>2080</v>
      </c>
      <c r="C203" s="111">
        <f>[37]С2.5!$BM$11</f>
        <v>0</v>
      </c>
    </row>
    <row r="204" spans="2:3" hidden="1" x14ac:dyDescent="0.2">
      <c r="B204" s="110">
        <f t="shared" si="0"/>
        <v>2081</v>
      </c>
      <c r="C204" s="111">
        <f>[37]С2.5!$BN$11</f>
        <v>0</v>
      </c>
    </row>
    <row r="205" spans="2:3" hidden="1" x14ac:dyDescent="0.2">
      <c r="B205" s="110">
        <f t="shared" si="0"/>
        <v>2082</v>
      </c>
      <c r="C205" s="111">
        <f>[37]С2.5!$BO$11</f>
        <v>0</v>
      </c>
    </row>
    <row r="206" spans="2:3" hidden="1" x14ac:dyDescent="0.2">
      <c r="B206" s="110">
        <f t="shared" si="0"/>
        <v>2083</v>
      </c>
      <c r="C206" s="111">
        <f>[37]С2.5!$BP$11</f>
        <v>0</v>
      </c>
    </row>
    <row r="207" spans="2:3" hidden="1" x14ac:dyDescent="0.2">
      <c r="B207" s="110">
        <f t="shared" si="0"/>
        <v>2084</v>
      </c>
      <c r="C207" s="111">
        <f>[37]С2.5!$BQ$11</f>
        <v>0</v>
      </c>
    </row>
    <row r="208" spans="2:3" hidden="1" x14ac:dyDescent="0.2">
      <c r="B208" s="110">
        <f t="shared" si="0"/>
        <v>2085</v>
      </c>
      <c r="C208" s="111">
        <f>[37]С2.5!$BR$11</f>
        <v>0</v>
      </c>
    </row>
    <row r="209" spans="2:3" hidden="1" x14ac:dyDescent="0.2">
      <c r="B209" s="110">
        <f t="shared" ref="B209:B223" si="1">B208+1</f>
        <v>2086</v>
      </c>
      <c r="C209" s="111">
        <f>[37]С2.5!$BS$11</f>
        <v>0</v>
      </c>
    </row>
    <row r="210" spans="2:3" hidden="1" x14ac:dyDescent="0.2">
      <c r="B210" s="110">
        <f t="shared" si="1"/>
        <v>2087</v>
      </c>
      <c r="C210" s="111">
        <f>[37]С2.5!$BT$11</f>
        <v>0</v>
      </c>
    </row>
    <row r="211" spans="2:3" hidden="1" x14ac:dyDescent="0.2">
      <c r="B211" s="110">
        <f t="shared" si="1"/>
        <v>2088</v>
      </c>
      <c r="C211" s="111">
        <f>[37]С2.5!$BU$11</f>
        <v>0</v>
      </c>
    </row>
    <row r="212" spans="2:3" hidden="1" x14ac:dyDescent="0.2">
      <c r="B212" s="110">
        <f t="shared" si="1"/>
        <v>2089</v>
      </c>
      <c r="C212" s="111">
        <f>[37]С2.5!$BV$11</f>
        <v>0</v>
      </c>
    </row>
    <row r="213" spans="2:3" hidden="1" x14ac:dyDescent="0.2">
      <c r="B213" s="110">
        <f t="shared" si="1"/>
        <v>2090</v>
      </c>
      <c r="C213" s="111">
        <f>[37]С2.5!$BW$11</f>
        <v>0</v>
      </c>
    </row>
    <row r="214" spans="2:3" hidden="1" x14ac:dyDescent="0.2">
      <c r="B214" s="110">
        <f t="shared" si="1"/>
        <v>2091</v>
      </c>
      <c r="C214" s="111">
        <f>[37]С2.5!$BX$11</f>
        <v>0</v>
      </c>
    </row>
    <row r="215" spans="2:3" hidden="1" x14ac:dyDescent="0.2">
      <c r="B215" s="110">
        <f t="shared" si="1"/>
        <v>2092</v>
      </c>
      <c r="C215" s="111">
        <f>[37]С2.5!$BY$11</f>
        <v>0</v>
      </c>
    </row>
    <row r="216" spans="2:3" hidden="1" x14ac:dyDescent="0.2">
      <c r="B216" s="110">
        <f t="shared" si="1"/>
        <v>2093</v>
      </c>
      <c r="C216" s="111">
        <f>[37]С2.5!$BZ$11</f>
        <v>0</v>
      </c>
    </row>
    <row r="217" spans="2:3" hidden="1" x14ac:dyDescent="0.2">
      <c r="B217" s="110">
        <f t="shared" si="1"/>
        <v>2094</v>
      </c>
      <c r="C217" s="111">
        <f>[37]С2.5!$CA$11</f>
        <v>0</v>
      </c>
    </row>
    <row r="218" spans="2:3" hidden="1" x14ac:dyDescent="0.2">
      <c r="B218" s="110">
        <f t="shared" si="1"/>
        <v>2095</v>
      </c>
      <c r="C218" s="111">
        <f>[37]С2.5!$CB$11</f>
        <v>0</v>
      </c>
    </row>
    <row r="219" spans="2:3" hidden="1" x14ac:dyDescent="0.2">
      <c r="B219" s="110">
        <f t="shared" si="1"/>
        <v>2096</v>
      </c>
      <c r="C219" s="111">
        <f>[37]С2.5!$CC$11</f>
        <v>0</v>
      </c>
    </row>
    <row r="220" spans="2:3" hidden="1" x14ac:dyDescent="0.2">
      <c r="B220" s="110">
        <f t="shared" si="1"/>
        <v>2097</v>
      </c>
      <c r="C220" s="111">
        <f>[37]С2.5!$CD$11</f>
        <v>0</v>
      </c>
    </row>
    <row r="221" spans="2:3" hidden="1" x14ac:dyDescent="0.2">
      <c r="B221" s="110">
        <f t="shared" si="1"/>
        <v>2098</v>
      </c>
      <c r="C221" s="111">
        <f>[37]С2.5!$CE$11</f>
        <v>0</v>
      </c>
    </row>
    <row r="222" spans="2:3" hidden="1" x14ac:dyDescent="0.2">
      <c r="B222" s="110">
        <f t="shared" si="1"/>
        <v>2099</v>
      </c>
      <c r="C222" s="111">
        <f>[37]С2.5!$CF$11</f>
        <v>0</v>
      </c>
    </row>
    <row r="223" spans="2:3" ht="13.5" hidden="1" thickBot="1" x14ac:dyDescent="0.25">
      <c r="B223" s="112">
        <f t="shared" si="1"/>
        <v>2100</v>
      </c>
      <c r="C223" s="113">
        <f>[37]С2.5!$CG$11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tabSelected="1" workbookViewId="0">
      <selection activeCell="B6" sqref="B6"/>
    </sheetView>
  </sheetViews>
  <sheetFormatPr defaultRowHeight="12.75" x14ac:dyDescent="0.2"/>
  <cols>
    <col min="1" max="1" width="7.28515625" style="2" customWidth="1"/>
    <col min="2" max="2" width="100.7109375" style="2" customWidth="1"/>
    <col min="3" max="3" width="20.85546875" style="139" customWidth="1"/>
    <col min="4" max="156" width="9.140625" style="2"/>
    <col min="157" max="238" width="0" style="2" hidden="1" customWidth="1"/>
    <col min="239" max="247" width="9.140625" style="2"/>
    <col min="248" max="248" width="3.7109375" style="2" customWidth="1"/>
    <col min="249" max="249" width="96.85546875" style="2" customWidth="1"/>
    <col min="250" max="250" width="30.85546875" style="2" customWidth="1"/>
    <col min="251" max="251" width="12.5703125" style="2" customWidth="1"/>
    <col min="252" max="252" width="5.140625" style="2" customWidth="1"/>
    <col min="253" max="253" width="9.140625" style="2"/>
    <col min="254" max="254" width="4.85546875" style="2" customWidth="1"/>
    <col min="255" max="255" width="30.5703125" style="2" customWidth="1"/>
    <col min="256" max="256" width="33.85546875" style="2" customWidth="1"/>
    <col min="257" max="257" width="5.140625" style="2" customWidth="1"/>
    <col min="258" max="259" width="17.5703125" style="2" customWidth="1"/>
    <col min="260" max="503" width="9.140625" style="2"/>
    <col min="504" max="504" width="3.7109375" style="2" customWidth="1"/>
    <col min="505" max="505" width="96.85546875" style="2" customWidth="1"/>
    <col min="506" max="506" width="30.85546875" style="2" customWidth="1"/>
    <col min="507" max="507" width="12.5703125" style="2" customWidth="1"/>
    <col min="508" max="508" width="5.140625" style="2" customWidth="1"/>
    <col min="509" max="509" width="9.140625" style="2"/>
    <col min="510" max="510" width="4.85546875" style="2" customWidth="1"/>
    <col min="511" max="511" width="30.5703125" style="2" customWidth="1"/>
    <col min="512" max="512" width="33.85546875" style="2" customWidth="1"/>
    <col min="513" max="513" width="5.140625" style="2" customWidth="1"/>
    <col min="514" max="515" width="17.5703125" style="2" customWidth="1"/>
    <col min="516" max="759" width="9.140625" style="2"/>
    <col min="760" max="760" width="3.7109375" style="2" customWidth="1"/>
    <col min="761" max="761" width="96.85546875" style="2" customWidth="1"/>
    <col min="762" max="762" width="30.85546875" style="2" customWidth="1"/>
    <col min="763" max="763" width="12.5703125" style="2" customWidth="1"/>
    <col min="764" max="764" width="5.140625" style="2" customWidth="1"/>
    <col min="765" max="765" width="9.140625" style="2"/>
    <col min="766" max="766" width="4.85546875" style="2" customWidth="1"/>
    <col min="767" max="767" width="30.5703125" style="2" customWidth="1"/>
    <col min="768" max="768" width="33.85546875" style="2" customWidth="1"/>
    <col min="769" max="769" width="5.140625" style="2" customWidth="1"/>
    <col min="770" max="771" width="17.5703125" style="2" customWidth="1"/>
    <col min="772" max="1015" width="9.140625" style="2"/>
    <col min="1016" max="1016" width="3.7109375" style="2" customWidth="1"/>
    <col min="1017" max="1017" width="96.85546875" style="2" customWidth="1"/>
    <col min="1018" max="1018" width="30.85546875" style="2" customWidth="1"/>
    <col min="1019" max="1019" width="12.5703125" style="2" customWidth="1"/>
    <col min="1020" max="1020" width="5.140625" style="2" customWidth="1"/>
    <col min="1021" max="1021" width="9.140625" style="2"/>
    <col min="1022" max="1022" width="4.85546875" style="2" customWidth="1"/>
    <col min="1023" max="1023" width="30.5703125" style="2" customWidth="1"/>
    <col min="1024" max="1024" width="33.85546875" style="2" customWidth="1"/>
    <col min="1025" max="1025" width="5.140625" style="2" customWidth="1"/>
    <col min="1026" max="1027" width="17.5703125" style="2" customWidth="1"/>
    <col min="1028" max="1271" width="9.140625" style="2"/>
    <col min="1272" max="1272" width="3.7109375" style="2" customWidth="1"/>
    <col min="1273" max="1273" width="96.85546875" style="2" customWidth="1"/>
    <col min="1274" max="1274" width="30.85546875" style="2" customWidth="1"/>
    <col min="1275" max="1275" width="12.5703125" style="2" customWidth="1"/>
    <col min="1276" max="1276" width="5.140625" style="2" customWidth="1"/>
    <col min="1277" max="1277" width="9.140625" style="2"/>
    <col min="1278" max="1278" width="4.85546875" style="2" customWidth="1"/>
    <col min="1279" max="1279" width="30.5703125" style="2" customWidth="1"/>
    <col min="1280" max="1280" width="33.85546875" style="2" customWidth="1"/>
    <col min="1281" max="1281" width="5.140625" style="2" customWidth="1"/>
    <col min="1282" max="1283" width="17.5703125" style="2" customWidth="1"/>
    <col min="1284" max="1527" width="9.140625" style="2"/>
    <col min="1528" max="1528" width="3.7109375" style="2" customWidth="1"/>
    <col min="1529" max="1529" width="96.85546875" style="2" customWidth="1"/>
    <col min="1530" max="1530" width="30.85546875" style="2" customWidth="1"/>
    <col min="1531" max="1531" width="12.5703125" style="2" customWidth="1"/>
    <col min="1532" max="1532" width="5.140625" style="2" customWidth="1"/>
    <col min="1533" max="1533" width="9.140625" style="2"/>
    <col min="1534" max="1534" width="4.85546875" style="2" customWidth="1"/>
    <col min="1535" max="1535" width="30.5703125" style="2" customWidth="1"/>
    <col min="1536" max="1536" width="33.85546875" style="2" customWidth="1"/>
    <col min="1537" max="1537" width="5.140625" style="2" customWidth="1"/>
    <col min="1538" max="1539" width="17.5703125" style="2" customWidth="1"/>
    <col min="1540" max="1783" width="9.140625" style="2"/>
    <col min="1784" max="1784" width="3.7109375" style="2" customWidth="1"/>
    <col min="1785" max="1785" width="96.85546875" style="2" customWidth="1"/>
    <col min="1786" max="1786" width="30.85546875" style="2" customWidth="1"/>
    <col min="1787" max="1787" width="12.5703125" style="2" customWidth="1"/>
    <col min="1788" max="1788" width="5.140625" style="2" customWidth="1"/>
    <col min="1789" max="1789" width="9.140625" style="2"/>
    <col min="1790" max="1790" width="4.85546875" style="2" customWidth="1"/>
    <col min="1791" max="1791" width="30.5703125" style="2" customWidth="1"/>
    <col min="1792" max="1792" width="33.85546875" style="2" customWidth="1"/>
    <col min="1793" max="1793" width="5.140625" style="2" customWidth="1"/>
    <col min="1794" max="1795" width="17.5703125" style="2" customWidth="1"/>
    <col min="1796" max="2039" width="9.140625" style="2"/>
    <col min="2040" max="2040" width="3.7109375" style="2" customWidth="1"/>
    <col min="2041" max="2041" width="96.85546875" style="2" customWidth="1"/>
    <col min="2042" max="2042" width="30.85546875" style="2" customWidth="1"/>
    <col min="2043" max="2043" width="12.5703125" style="2" customWidth="1"/>
    <col min="2044" max="2044" width="5.140625" style="2" customWidth="1"/>
    <col min="2045" max="2045" width="9.140625" style="2"/>
    <col min="2046" max="2046" width="4.85546875" style="2" customWidth="1"/>
    <col min="2047" max="2047" width="30.5703125" style="2" customWidth="1"/>
    <col min="2048" max="2048" width="33.85546875" style="2" customWidth="1"/>
    <col min="2049" max="2049" width="5.140625" style="2" customWidth="1"/>
    <col min="2050" max="2051" width="17.5703125" style="2" customWidth="1"/>
    <col min="2052" max="2295" width="9.140625" style="2"/>
    <col min="2296" max="2296" width="3.7109375" style="2" customWidth="1"/>
    <col min="2297" max="2297" width="96.85546875" style="2" customWidth="1"/>
    <col min="2298" max="2298" width="30.85546875" style="2" customWidth="1"/>
    <col min="2299" max="2299" width="12.5703125" style="2" customWidth="1"/>
    <col min="2300" max="2300" width="5.140625" style="2" customWidth="1"/>
    <col min="2301" max="2301" width="9.140625" style="2"/>
    <col min="2302" max="2302" width="4.85546875" style="2" customWidth="1"/>
    <col min="2303" max="2303" width="30.5703125" style="2" customWidth="1"/>
    <col min="2304" max="2304" width="33.85546875" style="2" customWidth="1"/>
    <col min="2305" max="2305" width="5.140625" style="2" customWidth="1"/>
    <col min="2306" max="2307" width="17.5703125" style="2" customWidth="1"/>
    <col min="2308" max="2551" width="9.140625" style="2"/>
    <col min="2552" max="2552" width="3.7109375" style="2" customWidth="1"/>
    <col min="2553" max="2553" width="96.85546875" style="2" customWidth="1"/>
    <col min="2554" max="2554" width="30.85546875" style="2" customWidth="1"/>
    <col min="2555" max="2555" width="12.5703125" style="2" customWidth="1"/>
    <col min="2556" max="2556" width="5.140625" style="2" customWidth="1"/>
    <col min="2557" max="2557" width="9.140625" style="2"/>
    <col min="2558" max="2558" width="4.85546875" style="2" customWidth="1"/>
    <col min="2559" max="2559" width="30.5703125" style="2" customWidth="1"/>
    <col min="2560" max="2560" width="33.85546875" style="2" customWidth="1"/>
    <col min="2561" max="2561" width="5.140625" style="2" customWidth="1"/>
    <col min="2562" max="2563" width="17.5703125" style="2" customWidth="1"/>
    <col min="2564" max="2807" width="9.140625" style="2"/>
    <col min="2808" max="2808" width="3.7109375" style="2" customWidth="1"/>
    <col min="2809" max="2809" width="96.85546875" style="2" customWidth="1"/>
    <col min="2810" max="2810" width="30.85546875" style="2" customWidth="1"/>
    <col min="2811" max="2811" width="12.5703125" style="2" customWidth="1"/>
    <col min="2812" max="2812" width="5.140625" style="2" customWidth="1"/>
    <col min="2813" max="2813" width="9.140625" style="2"/>
    <col min="2814" max="2814" width="4.85546875" style="2" customWidth="1"/>
    <col min="2815" max="2815" width="30.5703125" style="2" customWidth="1"/>
    <col min="2816" max="2816" width="33.85546875" style="2" customWidth="1"/>
    <col min="2817" max="2817" width="5.140625" style="2" customWidth="1"/>
    <col min="2818" max="2819" width="17.5703125" style="2" customWidth="1"/>
    <col min="2820" max="3063" width="9.140625" style="2"/>
    <col min="3064" max="3064" width="3.7109375" style="2" customWidth="1"/>
    <col min="3065" max="3065" width="96.85546875" style="2" customWidth="1"/>
    <col min="3066" max="3066" width="30.85546875" style="2" customWidth="1"/>
    <col min="3067" max="3067" width="12.5703125" style="2" customWidth="1"/>
    <col min="3068" max="3068" width="5.140625" style="2" customWidth="1"/>
    <col min="3069" max="3069" width="9.140625" style="2"/>
    <col min="3070" max="3070" width="4.85546875" style="2" customWidth="1"/>
    <col min="3071" max="3071" width="30.5703125" style="2" customWidth="1"/>
    <col min="3072" max="3072" width="33.85546875" style="2" customWidth="1"/>
    <col min="3073" max="3073" width="5.140625" style="2" customWidth="1"/>
    <col min="3074" max="3075" width="17.5703125" style="2" customWidth="1"/>
    <col min="3076" max="3319" width="9.140625" style="2"/>
    <col min="3320" max="3320" width="3.7109375" style="2" customWidth="1"/>
    <col min="3321" max="3321" width="96.85546875" style="2" customWidth="1"/>
    <col min="3322" max="3322" width="30.85546875" style="2" customWidth="1"/>
    <col min="3323" max="3323" width="12.5703125" style="2" customWidth="1"/>
    <col min="3324" max="3324" width="5.140625" style="2" customWidth="1"/>
    <col min="3325" max="3325" width="9.140625" style="2"/>
    <col min="3326" max="3326" width="4.85546875" style="2" customWidth="1"/>
    <col min="3327" max="3327" width="30.5703125" style="2" customWidth="1"/>
    <col min="3328" max="3328" width="33.85546875" style="2" customWidth="1"/>
    <col min="3329" max="3329" width="5.140625" style="2" customWidth="1"/>
    <col min="3330" max="3331" width="17.5703125" style="2" customWidth="1"/>
    <col min="3332" max="3575" width="9.140625" style="2"/>
    <col min="3576" max="3576" width="3.7109375" style="2" customWidth="1"/>
    <col min="3577" max="3577" width="96.85546875" style="2" customWidth="1"/>
    <col min="3578" max="3578" width="30.85546875" style="2" customWidth="1"/>
    <col min="3579" max="3579" width="12.5703125" style="2" customWidth="1"/>
    <col min="3580" max="3580" width="5.140625" style="2" customWidth="1"/>
    <col min="3581" max="3581" width="9.140625" style="2"/>
    <col min="3582" max="3582" width="4.85546875" style="2" customWidth="1"/>
    <col min="3583" max="3583" width="30.5703125" style="2" customWidth="1"/>
    <col min="3584" max="3584" width="33.85546875" style="2" customWidth="1"/>
    <col min="3585" max="3585" width="5.140625" style="2" customWidth="1"/>
    <col min="3586" max="3587" width="17.5703125" style="2" customWidth="1"/>
    <col min="3588" max="3831" width="9.140625" style="2"/>
    <col min="3832" max="3832" width="3.7109375" style="2" customWidth="1"/>
    <col min="3833" max="3833" width="96.85546875" style="2" customWidth="1"/>
    <col min="3834" max="3834" width="30.85546875" style="2" customWidth="1"/>
    <col min="3835" max="3835" width="12.5703125" style="2" customWidth="1"/>
    <col min="3836" max="3836" width="5.140625" style="2" customWidth="1"/>
    <col min="3837" max="3837" width="9.140625" style="2"/>
    <col min="3838" max="3838" width="4.85546875" style="2" customWidth="1"/>
    <col min="3839" max="3839" width="30.5703125" style="2" customWidth="1"/>
    <col min="3840" max="3840" width="33.85546875" style="2" customWidth="1"/>
    <col min="3841" max="3841" width="5.140625" style="2" customWidth="1"/>
    <col min="3842" max="3843" width="17.5703125" style="2" customWidth="1"/>
    <col min="3844" max="4087" width="9.140625" style="2"/>
    <col min="4088" max="4088" width="3.7109375" style="2" customWidth="1"/>
    <col min="4089" max="4089" width="96.85546875" style="2" customWidth="1"/>
    <col min="4090" max="4090" width="30.85546875" style="2" customWidth="1"/>
    <col min="4091" max="4091" width="12.5703125" style="2" customWidth="1"/>
    <col min="4092" max="4092" width="5.140625" style="2" customWidth="1"/>
    <col min="4093" max="4093" width="9.140625" style="2"/>
    <col min="4094" max="4094" width="4.85546875" style="2" customWidth="1"/>
    <col min="4095" max="4095" width="30.5703125" style="2" customWidth="1"/>
    <col min="4096" max="4096" width="33.85546875" style="2" customWidth="1"/>
    <col min="4097" max="4097" width="5.140625" style="2" customWidth="1"/>
    <col min="4098" max="4099" width="17.5703125" style="2" customWidth="1"/>
    <col min="4100" max="4343" width="9.140625" style="2"/>
    <col min="4344" max="4344" width="3.7109375" style="2" customWidth="1"/>
    <col min="4345" max="4345" width="96.85546875" style="2" customWidth="1"/>
    <col min="4346" max="4346" width="30.85546875" style="2" customWidth="1"/>
    <col min="4347" max="4347" width="12.5703125" style="2" customWidth="1"/>
    <col min="4348" max="4348" width="5.140625" style="2" customWidth="1"/>
    <col min="4349" max="4349" width="9.140625" style="2"/>
    <col min="4350" max="4350" width="4.85546875" style="2" customWidth="1"/>
    <col min="4351" max="4351" width="30.5703125" style="2" customWidth="1"/>
    <col min="4352" max="4352" width="33.85546875" style="2" customWidth="1"/>
    <col min="4353" max="4353" width="5.140625" style="2" customWidth="1"/>
    <col min="4354" max="4355" width="17.5703125" style="2" customWidth="1"/>
    <col min="4356" max="4599" width="9.140625" style="2"/>
    <col min="4600" max="4600" width="3.7109375" style="2" customWidth="1"/>
    <col min="4601" max="4601" width="96.85546875" style="2" customWidth="1"/>
    <col min="4602" max="4602" width="30.85546875" style="2" customWidth="1"/>
    <col min="4603" max="4603" width="12.5703125" style="2" customWidth="1"/>
    <col min="4604" max="4604" width="5.140625" style="2" customWidth="1"/>
    <col min="4605" max="4605" width="9.140625" style="2"/>
    <col min="4606" max="4606" width="4.85546875" style="2" customWidth="1"/>
    <col min="4607" max="4607" width="30.5703125" style="2" customWidth="1"/>
    <col min="4608" max="4608" width="33.85546875" style="2" customWidth="1"/>
    <col min="4609" max="4609" width="5.140625" style="2" customWidth="1"/>
    <col min="4610" max="4611" width="17.5703125" style="2" customWidth="1"/>
    <col min="4612" max="4855" width="9.140625" style="2"/>
    <col min="4856" max="4856" width="3.7109375" style="2" customWidth="1"/>
    <col min="4857" max="4857" width="96.85546875" style="2" customWidth="1"/>
    <col min="4858" max="4858" width="30.85546875" style="2" customWidth="1"/>
    <col min="4859" max="4859" width="12.5703125" style="2" customWidth="1"/>
    <col min="4860" max="4860" width="5.140625" style="2" customWidth="1"/>
    <col min="4861" max="4861" width="9.140625" style="2"/>
    <col min="4862" max="4862" width="4.85546875" style="2" customWidth="1"/>
    <col min="4863" max="4863" width="30.5703125" style="2" customWidth="1"/>
    <col min="4864" max="4864" width="33.85546875" style="2" customWidth="1"/>
    <col min="4865" max="4865" width="5.140625" style="2" customWidth="1"/>
    <col min="4866" max="4867" width="17.5703125" style="2" customWidth="1"/>
    <col min="4868" max="5111" width="9.140625" style="2"/>
    <col min="5112" max="5112" width="3.7109375" style="2" customWidth="1"/>
    <col min="5113" max="5113" width="96.85546875" style="2" customWidth="1"/>
    <col min="5114" max="5114" width="30.85546875" style="2" customWidth="1"/>
    <col min="5115" max="5115" width="12.5703125" style="2" customWidth="1"/>
    <col min="5116" max="5116" width="5.140625" style="2" customWidth="1"/>
    <col min="5117" max="5117" width="9.140625" style="2"/>
    <col min="5118" max="5118" width="4.85546875" style="2" customWidth="1"/>
    <col min="5119" max="5119" width="30.5703125" style="2" customWidth="1"/>
    <col min="5120" max="5120" width="33.85546875" style="2" customWidth="1"/>
    <col min="5121" max="5121" width="5.140625" style="2" customWidth="1"/>
    <col min="5122" max="5123" width="17.5703125" style="2" customWidth="1"/>
    <col min="5124" max="5367" width="9.140625" style="2"/>
    <col min="5368" max="5368" width="3.7109375" style="2" customWidth="1"/>
    <col min="5369" max="5369" width="96.85546875" style="2" customWidth="1"/>
    <col min="5370" max="5370" width="30.85546875" style="2" customWidth="1"/>
    <col min="5371" max="5371" width="12.5703125" style="2" customWidth="1"/>
    <col min="5372" max="5372" width="5.140625" style="2" customWidth="1"/>
    <col min="5373" max="5373" width="9.140625" style="2"/>
    <col min="5374" max="5374" width="4.85546875" style="2" customWidth="1"/>
    <col min="5375" max="5375" width="30.5703125" style="2" customWidth="1"/>
    <col min="5376" max="5376" width="33.85546875" style="2" customWidth="1"/>
    <col min="5377" max="5377" width="5.140625" style="2" customWidth="1"/>
    <col min="5378" max="5379" width="17.5703125" style="2" customWidth="1"/>
    <col min="5380" max="5623" width="9.140625" style="2"/>
    <col min="5624" max="5624" width="3.7109375" style="2" customWidth="1"/>
    <col min="5625" max="5625" width="96.85546875" style="2" customWidth="1"/>
    <col min="5626" max="5626" width="30.85546875" style="2" customWidth="1"/>
    <col min="5627" max="5627" width="12.5703125" style="2" customWidth="1"/>
    <col min="5628" max="5628" width="5.140625" style="2" customWidth="1"/>
    <col min="5629" max="5629" width="9.140625" style="2"/>
    <col min="5630" max="5630" width="4.85546875" style="2" customWidth="1"/>
    <col min="5631" max="5631" width="30.5703125" style="2" customWidth="1"/>
    <col min="5632" max="5632" width="33.85546875" style="2" customWidth="1"/>
    <col min="5633" max="5633" width="5.140625" style="2" customWidth="1"/>
    <col min="5634" max="5635" width="17.5703125" style="2" customWidth="1"/>
    <col min="5636" max="5879" width="9.140625" style="2"/>
    <col min="5880" max="5880" width="3.7109375" style="2" customWidth="1"/>
    <col min="5881" max="5881" width="96.85546875" style="2" customWidth="1"/>
    <col min="5882" max="5882" width="30.85546875" style="2" customWidth="1"/>
    <col min="5883" max="5883" width="12.5703125" style="2" customWidth="1"/>
    <col min="5884" max="5884" width="5.140625" style="2" customWidth="1"/>
    <col min="5885" max="5885" width="9.140625" style="2"/>
    <col min="5886" max="5886" width="4.85546875" style="2" customWidth="1"/>
    <col min="5887" max="5887" width="30.5703125" style="2" customWidth="1"/>
    <col min="5888" max="5888" width="33.85546875" style="2" customWidth="1"/>
    <col min="5889" max="5889" width="5.140625" style="2" customWidth="1"/>
    <col min="5890" max="5891" width="17.5703125" style="2" customWidth="1"/>
    <col min="5892" max="6135" width="9.140625" style="2"/>
    <col min="6136" max="6136" width="3.7109375" style="2" customWidth="1"/>
    <col min="6137" max="6137" width="96.85546875" style="2" customWidth="1"/>
    <col min="6138" max="6138" width="30.85546875" style="2" customWidth="1"/>
    <col min="6139" max="6139" width="12.5703125" style="2" customWidth="1"/>
    <col min="6140" max="6140" width="5.140625" style="2" customWidth="1"/>
    <col min="6141" max="6141" width="9.140625" style="2"/>
    <col min="6142" max="6142" width="4.85546875" style="2" customWidth="1"/>
    <col min="6143" max="6143" width="30.5703125" style="2" customWidth="1"/>
    <col min="6144" max="6144" width="33.85546875" style="2" customWidth="1"/>
    <col min="6145" max="6145" width="5.140625" style="2" customWidth="1"/>
    <col min="6146" max="6147" width="17.5703125" style="2" customWidth="1"/>
    <col min="6148" max="6391" width="9.140625" style="2"/>
    <col min="6392" max="6392" width="3.7109375" style="2" customWidth="1"/>
    <col min="6393" max="6393" width="96.85546875" style="2" customWidth="1"/>
    <col min="6394" max="6394" width="30.85546875" style="2" customWidth="1"/>
    <col min="6395" max="6395" width="12.5703125" style="2" customWidth="1"/>
    <col min="6396" max="6396" width="5.140625" style="2" customWidth="1"/>
    <col min="6397" max="6397" width="9.140625" style="2"/>
    <col min="6398" max="6398" width="4.85546875" style="2" customWidth="1"/>
    <col min="6399" max="6399" width="30.5703125" style="2" customWidth="1"/>
    <col min="6400" max="6400" width="33.85546875" style="2" customWidth="1"/>
    <col min="6401" max="6401" width="5.140625" style="2" customWidth="1"/>
    <col min="6402" max="6403" width="17.5703125" style="2" customWidth="1"/>
    <col min="6404" max="6647" width="9.140625" style="2"/>
    <col min="6648" max="6648" width="3.7109375" style="2" customWidth="1"/>
    <col min="6649" max="6649" width="96.85546875" style="2" customWidth="1"/>
    <col min="6650" max="6650" width="30.85546875" style="2" customWidth="1"/>
    <col min="6651" max="6651" width="12.5703125" style="2" customWidth="1"/>
    <col min="6652" max="6652" width="5.140625" style="2" customWidth="1"/>
    <col min="6653" max="6653" width="9.140625" style="2"/>
    <col min="6654" max="6654" width="4.85546875" style="2" customWidth="1"/>
    <col min="6655" max="6655" width="30.5703125" style="2" customWidth="1"/>
    <col min="6656" max="6656" width="33.85546875" style="2" customWidth="1"/>
    <col min="6657" max="6657" width="5.140625" style="2" customWidth="1"/>
    <col min="6658" max="6659" width="17.5703125" style="2" customWidth="1"/>
    <col min="6660" max="6903" width="9.140625" style="2"/>
    <col min="6904" max="6904" width="3.7109375" style="2" customWidth="1"/>
    <col min="6905" max="6905" width="96.85546875" style="2" customWidth="1"/>
    <col min="6906" max="6906" width="30.85546875" style="2" customWidth="1"/>
    <col min="6907" max="6907" width="12.5703125" style="2" customWidth="1"/>
    <col min="6908" max="6908" width="5.140625" style="2" customWidth="1"/>
    <col min="6909" max="6909" width="9.140625" style="2"/>
    <col min="6910" max="6910" width="4.85546875" style="2" customWidth="1"/>
    <col min="6911" max="6911" width="30.5703125" style="2" customWidth="1"/>
    <col min="6912" max="6912" width="33.85546875" style="2" customWidth="1"/>
    <col min="6913" max="6913" width="5.140625" style="2" customWidth="1"/>
    <col min="6914" max="6915" width="17.5703125" style="2" customWidth="1"/>
    <col min="6916" max="7159" width="9.140625" style="2"/>
    <col min="7160" max="7160" width="3.7109375" style="2" customWidth="1"/>
    <col min="7161" max="7161" width="96.85546875" style="2" customWidth="1"/>
    <col min="7162" max="7162" width="30.85546875" style="2" customWidth="1"/>
    <col min="7163" max="7163" width="12.5703125" style="2" customWidth="1"/>
    <col min="7164" max="7164" width="5.140625" style="2" customWidth="1"/>
    <col min="7165" max="7165" width="9.140625" style="2"/>
    <col min="7166" max="7166" width="4.85546875" style="2" customWidth="1"/>
    <col min="7167" max="7167" width="30.5703125" style="2" customWidth="1"/>
    <col min="7168" max="7168" width="33.85546875" style="2" customWidth="1"/>
    <col min="7169" max="7169" width="5.140625" style="2" customWidth="1"/>
    <col min="7170" max="7171" width="17.5703125" style="2" customWidth="1"/>
    <col min="7172" max="7415" width="9.140625" style="2"/>
    <col min="7416" max="7416" width="3.7109375" style="2" customWidth="1"/>
    <col min="7417" max="7417" width="96.85546875" style="2" customWidth="1"/>
    <col min="7418" max="7418" width="30.85546875" style="2" customWidth="1"/>
    <col min="7419" max="7419" width="12.5703125" style="2" customWidth="1"/>
    <col min="7420" max="7420" width="5.140625" style="2" customWidth="1"/>
    <col min="7421" max="7421" width="9.140625" style="2"/>
    <col min="7422" max="7422" width="4.85546875" style="2" customWidth="1"/>
    <col min="7423" max="7423" width="30.5703125" style="2" customWidth="1"/>
    <col min="7424" max="7424" width="33.85546875" style="2" customWidth="1"/>
    <col min="7425" max="7425" width="5.140625" style="2" customWidth="1"/>
    <col min="7426" max="7427" width="17.5703125" style="2" customWidth="1"/>
    <col min="7428" max="7671" width="9.140625" style="2"/>
    <col min="7672" max="7672" width="3.7109375" style="2" customWidth="1"/>
    <col min="7673" max="7673" width="96.85546875" style="2" customWidth="1"/>
    <col min="7674" max="7674" width="30.85546875" style="2" customWidth="1"/>
    <col min="7675" max="7675" width="12.5703125" style="2" customWidth="1"/>
    <col min="7676" max="7676" width="5.140625" style="2" customWidth="1"/>
    <col min="7677" max="7677" width="9.140625" style="2"/>
    <col min="7678" max="7678" width="4.85546875" style="2" customWidth="1"/>
    <col min="7679" max="7679" width="30.5703125" style="2" customWidth="1"/>
    <col min="7680" max="7680" width="33.85546875" style="2" customWidth="1"/>
    <col min="7681" max="7681" width="5.140625" style="2" customWidth="1"/>
    <col min="7682" max="7683" width="17.5703125" style="2" customWidth="1"/>
    <col min="7684" max="7927" width="9.140625" style="2"/>
    <col min="7928" max="7928" width="3.7109375" style="2" customWidth="1"/>
    <col min="7929" max="7929" width="96.85546875" style="2" customWidth="1"/>
    <col min="7930" max="7930" width="30.85546875" style="2" customWidth="1"/>
    <col min="7931" max="7931" width="12.5703125" style="2" customWidth="1"/>
    <col min="7932" max="7932" width="5.140625" style="2" customWidth="1"/>
    <col min="7933" max="7933" width="9.140625" style="2"/>
    <col min="7934" max="7934" width="4.85546875" style="2" customWidth="1"/>
    <col min="7935" max="7935" width="30.5703125" style="2" customWidth="1"/>
    <col min="7936" max="7936" width="33.85546875" style="2" customWidth="1"/>
    <col min="7937" max="7937" width="5.140625" style="2" customWidth="1"/>
    <col min="7938" max="7939" width="17.5703125" style="2" customWidth="1"/>
    <col min="7940" max="8183" width="9.140625" style="2"/>
    <col min="8184" max="8184" width="3.7109375" style="2" customWidth="1"/>
    <col min="8185" max="8185" width="96.85546875" style="2" customWidth="1"/>
    <col min="8186" max="8186" width="30.85546875" style="2" customWidth="1"/>
    <col min="8187" max="8187" width="12.5703125" style="2" customWidth="1"/>
    <col min="8188" max="8188" width="5.140625" style="2" customWidth="1"/>
    <col min="8189" max="8189" width="9.140625" style="2"/>
    <col min="8190" max="8190" width="4.85546875" style="2" customWidth="1"/>
    <col min="8191" max="8191" width="30.5703125" style="2" customWidth="1"/>
    <col min="8192" max="8192" width="33.85546875" style="2" customWidth="1"/>
    <col min="8193" max="8193" width="5.140625" style="2" customWidth="1"/>
    <col min="8194" max="8195" width="17.5703125" style="2" customWidth="1"/>
    <col min="8196" max="8439" width="9.140625" style="2"/>
    <col min="8440" max="8440" width="3.7109375" style="2" customWidth="1"/>
    <col min="8441" max="8441" width="96.85546875" style="2" customWidth="1"/>
    <col min="8442" max="8442" width="30.85546875" style="2" customWidth="1"/>
    <col min="8443" max="8443" width="12.5703125" style="2" customWidth="1"/>
    <col min="8444" max="8444" width="5.140625" style="2" customWidth="1"/>
    <col min="8445" max="8445" width="9.140625" style="2"/>
    <col min="8446" max="8446" width="4.85546875" style="2" customWidth="1"/>
    <col min="8447" max="8447" width="30.5703125" style="2" customWidth="1"/>
    <col min="8448" max="8448" width="33.85546875" style="2" customWidth="1"/>
    <col min="8449" max="8449" width="5.140625" style="2" customWidth="1"/>
    <col min="8450" max="8451" width="17.5703125" style="2" customWidth="1"/>
    <col min="8452" max="8695" width="9.140625" style="2"/>
    <col min="8696" max="8696" width="3.7109375" style="2" customWidth="1"/>
    <col min="8697" max="8697" width="96.85546875" style="2" customWidth="1"/>
    <col min="8698" max="8698" width="30.85546875" style="2" customWidth="1"/>
    <col min="8699" max="8699" width="12.5703125" style="2" customWidth="1"/>
    <col min="8700" max="8700" width="5.140625" style="2" customWidth="1"/>
    <col min="8701" max="8701" width="9.140625" style="2"/>
    <col min="8702" max="8702" width="4.85546875" style="2" customWidth="1"/>
    <col min="8703" max="8703" width="30.5703125" style="2" customWidth="1"/>
    <col min="8704" max="8704" width="33.85546875" style="2" customWidth="1"/>
    <col min="8705" max="8705" width="5.140625" style="2" customWidth="1"/>
    <col min="8706" max="8707" width="17.5703125" style="2" customWidth="1"/>
    <col min="8708" max="8951" width="9.140625" style="2"/>
    <col min="8952" max="8952" width="3.7109375" style="2" customWidth="1"/>
    <col min="8953" max="8953" width="96.85546875" style="2" customWidth="1"/>
    <col min="8954" max="8954" width="30.85546875" style="2" customWidth="1"/>
    <col min="8955" max="8955" width="12.5703125" style="2" customWidth="1"/>
    <col min="8956" max="8956" width="5.140625" style="2" customWidth="1"/>
    <col min="8957" max="8957" width="9.140625" style="2"/>
    <col min="8958" max="8958" width="4.85546875" style="2" customWidth="1"/>
    <col min="8959" max="8959" width="30.5703125" style="2" customWidth="1"/>
    <col min="8960" max="8960" width="33.85546875" style="2" customWidth="1"/>
    <col min="8961" max="8961" width="5.140625" style="2" customWidth="1"/>
    <col min="8962" max="8963" width="17.5703125" style="2" customWidth="1"/>
    <col min="8964" max="9207" width="9.140625" style="2"/>
    <col min="9208" max="9208" width="3.7109375" style="2" customWidth="1"/>
    <col min="9209" max="9209" width="96.85546875" style="2" customWidth="1"/>
    <col min="9210" max="9210" width="30.85546875" style="2" customWidth="1"/>
    <col min="9211" max="9211" width="12.5703125" style="2" customWidth="1"/>
    <col min="9212" max="9212" width="5.140625" style="2" customWidth="1"/>
    <col min="9213" max="9213" width="9.140625" style="2"/>
    <col min="9214" max="9214" width="4.85546875" style="2" customWidth="1"/>
    <col min="9215" max="9215" width="30.5703125" style="2" customWidth="1"/>
    <col min="9216" max="9216" width="33.85546875" style="2" customWidth="1"/>
    <col min="9217" max="9217" width="5.140625" style="2" customWidth="1"/>
    <col min="9218" max="9219" width="17.5703125" style="2" customWidth="1"/>
    <col min="9220" max="9463" width="9.140625" style="2"/>
    <col min="9464" max="9464" width="3.7109375" style="2" customWidth="1"/>
    <col min="9465" max="9465" width="96.85546875" style="2" customWidth="1"/>
    <col min="9466" max="9466" width="30.85546875" style="2" customWidth="1"/>
    <col min="9467" max="9467" width="12.5703125" style="2" customWidth="1"/>
    <col min="9468" max="9468" width="5.140625" style="2" customWidth="1"/>
    <col min="9469" max="9469" width="9.140625" style="2"/>
    <col min="9470" max="9470" width="4.85546875" style="2" customWidth="1"/>
    <col min="9471" max="9471" width="30.5703125" style="2" customWidth="1"/>
    <col min="9472" max="9472" width="33.85546875" style="2" customWidth="1"/>
    <col min="9473" max="9473" width="5.140625" style="2" customWidth="1"/>
    <col min="9474" max="9475" width="17.5703125" style="2" customWidth="1"/>
    <col min="9476" max="9719" width="9.140625" style="2"/>
    <col min="9720" max="9720" width="3.7109375" style="2" customWidth="1"/>
    <col min="9721" max="9721" width="96.85546875" style="2" customWidth="1"/>
    <col min="9722" max="9722" width="30.85546875" style="2" customWidth="1"/>
    <col min="9723" max="9723" width="12.5703125" style="2" customWidth="1"/>
    <col min="9724" max="9724" width="5.140625" style="2" customWidth="1"/>
    <col min="9725" max="9725" width="9.140625" style="2"/>
    <col min="9726" max="9726" width="4.85546875" style="2" customWidth="1"/>
    <col min="9727" max="9727" width="30.5703125" style="2" customWidth="1"/>
    <col min="9728" max="9728" width="33.85546875" style="2" customWidth="1"/>
    <col min="9729" max="9729" width="5.140625" style="2" customWidth="1"/>
    <col min="9730" max="9731" width="17.5703125" style="2" customWidth="1"/>
    <col min="9732" max="9975" width="9.140625" style="2"/>
    <col min="9976" max="9976" width="3.7109375" style="2" customWidth="1"/>
    <col min="9977" max="9977" width="96.85546875" style="2" customWidth="1"/>
    <col min="9978" max="9978" width="30.85546875" style="2" customWidth="1"/>
    <col min="9979" max="9979" width="12.5703125" style="2" customWidth="1"/>
    <col min="9980" max="9980" width="5.140625" style="2" customWidth="1"/>
    <col min="9981" max="9981" width="9.140625" style="2"/>
    <col min="9982" max="9982" width="4.85546875" style="2" customWidth="1"/>
    <col min="9983" max="9983" width="30.5703125" style="2" customWidth="1"/>
    <col min="9984" max="9984" width="33.85546875" style="2" customWidth="1"/>
    <col min="9985" max="9985" width="5.140625" style="2" customWidth="1"/>
    <col min="9986" max="9987" width="17.5703125" style="2" customWidth="1"/>
    <col min="9988" max="10231" width="9.140625" style="2"/>
    <col min="10232" max="10232" width="3.7109375" style="2" customWidth="1"/>
    <col min="10233" max="10233" width="96.85546875" style="2" customWidth="1"/>
    <col min="10234" max="10234" width="30.85546875" style="2" customWidth="1"/>
    <col min="10235" max="10235" width="12.5703125" style="2" customWidth="1"/>
    <col min="10236" max="10236" width="5.140625" style="2" customWidth="1"/>
    <col min="10237" max="10237" width="9.140625" style="2"/>
    <col min="10238" max="10238" width="4.85546875" style="2" customWidth="1"/>
    <col min="10239" max="10239" width="30.5703125" style="2" customWidth="1"/>
    <col min="10240" max="10240" width="33.85546875" style="2" customWidth="1"/>
    <col min="10241" max="10241" width="5.140625" style="2" customWidth="1"/>
    <col min="10242" max="10243" width="17.5703125" style="2" customWidth="1"/>
    <col min="10244" max="10487" width="9.140625" style="2"/>
    <col min="10488" max="10488" width="3.7109375" style="2" customWidth="1"/>
    <col min="10489" max="10489" width="96.85546875" style="2" customWidth="1"/>
    <col min="10490" max="10490" width="30.85546875" style="2" customWidth="1"/>
    <col min="10491" max="10491" width="12.5703125" style="2" customWidth="1"/>
    <col min="10492" max="10492" width="5.140625" style="2" customWidth="1"/>
    <col min="10493" max="10493" width="9.140625" style="2"/>
    <col min="10494" max="10494" width="4.85546875" style="2" customWidth="1"/>
    <col min="10495" max="10495" width="30.5703125" style="2" customWidth="1"/>
    <col min="10496" max="10496" width="33.85546875" style="2" customWidth="1"/>
    <col min="10497" max="10497" width="5.140625" style="2" customWidth="1"/>
    <col min="10498" max="10499" width="17.5703125" style="2" customWidth="1"/>
    <col min="10500" max="10743" width="9.140625" style="2"/>
    <col min="10744" max="10744" width="3.7109375" style="2" customWidth="1"/>
    <col min="10745" max="10745" width="96.85546875" style="2" customWidth="1"/>
    <col min="10746" max="10746" width="30.85546875" style="2" customWidth="1"/>
    <col min="10747" max="10747" width="12.5703125" style="2" customWidth="1"/>
    <col min="10748" max="10748" width="5.140625" style="2" customWidth="1"/>
    <col min="10749" max="10749" width="9.140625" style="2"/>
    <col min="10750" max="10750" width="4.85546875" style="2" customWidth="1"/>
    <col min="10751" max="10751" width="30.5703125" style="2" customWidth="1"/>
    <col min="10752" max="10752" width="33.85546875" style="2" customWidth="1"/>
    <col min="10753" max="10753" width="5.140625" style="2" customWidth="1"/>
    <col min="10754" max="10755" width="17.5703125" style="2" customWidth="1"/>
    <col min="10756" max="10999" width="9.140625" style="2"/>
    <col min="11000" max="11000" width="3.7109375" style="2" customWidth="1"/>
    <col min="11001" max="11001" width="96.85546875" style="2" customWidth="1"/>
    <col min="11002" max="11002" width="30.85546875" style="2" customWidth="1"/>
    <col min="11003" max="11003" width="12.5703125" style="2" customWidth="1"/>
    <col min="11004" max="11004" width="5.140625" style="2" customWidth="1"/>
    <col min="11005" max="11005" width="9.140625" style="2"/>
    <col min="11006" max="11006" width="4.85546875" style="2" customWidth="1"/>
    <col min="11007" max="11007" width="30.5703125" style="2" customWidth="1"/>
    <col min="11008" max="11008" width="33.85546875" style="2" customWidth="1"/>
    <col min="11009" max="11009" width="5.140625" style="2" customWidth="1"/>
    <col min="11010" max="11011" width="17.5703125" style="2" customWidth="1"/>
    <col min="11012" max="11255" width="9.140625" style="2"/>
    <col min="11256" max="11256" width="3.7109375" style="2" customWidth="1"/>
    <col min="11257" max="11257" width="96.85546875" style="2" customWidth="1"/>
    <col min="11258" max="11258" width="30.85546875" style="2" customWidth="1"/>
    <col min="11259" max="11259" width="12.5703125" style="2" customWidth="1"/>
    <col min="11260" max="11260" width="5.140625" style="2" customWidth="1"/>
    <col min="11261" max="11261" width="9.140625" style="2"/>
    <col min="11262" max="11262" width="4.85546875" style="2" customWidth="1"/>
    <col min="11263" max="11263" width="30.5703125" style="2" customWidth="1"/>
    <col min="11264" max="11264" width="33.85546875" style="2" customWidth="1"/>
    <col min="11265" max="11265" width="5.140625" style="2" customWidth="1"/>
    <col min="11266" max="11267" width="17.5703125" style="2" customWidth="1"/>
    <col min="11268" max="11511" width="9.140625" style="2"/>
    <col min="11512" max="11512" width="3.7109375" style="2" customWidth="1"/>
    <col min="11513" max="11513" width="96.85546875" style="2" customWidth="1"/>
    <col min="11514" max="11514" width="30.85546875" style="2" customWidth="1"/>
    <col min="11515" max="11515" width="12.5703125" style="2" customWidth="1"/>
    <col min="11516" max="11516" width="5.140625" style="2" customWidth="1"/>
    <col min="11517" max="11517" width="9.140625" style="2"/>
    <col min="11518" max="11518" width="4.85546875" style="2" customWidth="1"/>
    <col min="11519" max="11519" width="30.5703125" style="2" customWidth="1"/>
    <col min="11520" max="11520" width="33.85546875" style="2" customWidth="1"/>
    <col min="11521" max="11521" width="5.140625" style="2" customWidth="1"/>
    <col min="11522" max="11523" width="17.5703125" style="2" customWidth="1"/>
    <col min="11524" max="11767" width="9.140625" style="2"/>
    <col min="11768" max="11768" width="3.7109375" style="2" customWidth="1"/>
    <col min="11769" max="11769" width="96.85546875" style="2" customWidth="1"/>
    <col min="11770" max="11770" width="30.85546875" style="2" customWidth="1"/>
    <col min="11771" max="11771" width="12.5703125" style="2" customWidth="1"/>
    <col min="11772" max="11772" width="5.140625" style="2" customWidth="1"/>
    <col min="11773" max="11773" width="9.140625" style="2"/>
    <col min="11774" max="11774" width="4.85546875" style="2" customWidth="1"/>
    <col min="11775" max="11775" width="30.5703125" style="2" customWidth="1"/>
    <col min="11776" max="11776" width="33.85546875" style="2" customWidth="1"/>
    <col min="11777" max="11777" width="5.140625" style="2" customWidth="1"/>
    <col min="11778" max="11779" width="17.5703125" style="2" customWidth="1"/>
    <col min="11780" max="12023" width="9.140625" style="2"/>
    <col min="12024" max="12024" width="3.7109375" style="2" customWidth="1"/>
    <col min="12025" max="12025" width="96.85546875" style="2" customWidth="1"/>
    <col min="12026" max="12026" width="30.85546875" style="2" customWidth="1"/>
    <col min="12027" max="12027" width="12.5703125" style="2" customWidth="1"/>
    <col min="12028" max="12028" width="5.140625" style="2" customWidth="1"/>
    <col min="12029" max="12029" width="9.140625" style="2"/>
    <col min="12030" max="12030" width="4.85546875" style="2" customWidth="1"/>
    <col min="12031" max="12031" width="30.5703125" style="2" customWidth="1"/>
    <col min="12032" max="12032" width="33.85546875" style="2" customWidth="1"/>
    <col min="12033" max="12033" width="5.140625" style="2" customWidth="1"/>
    <col min="12034" max="12035" width="17.5703125" style="2" customWidth="1"/>
    <col min="12036" max="12279" width="9.140625" style="2"/>
    <col min="12280" max="12280" width="3.7109375" style="2" customWidth="1"/>
    <col min="12281" max="12281" width="96.85546875" style="2" customWidth="1"/>
    <col min="12282" max="12282" width="30.85546875" style="2" customWidth="1"/>
    <col min="12283" max="12283" width="12.5703125" style="2" customWidth="1"/>
    <col min="12284" max="12284" width="5.140625" style="2" customWidth="1"/>
    <col min="12285" max="12285" width="9.140625" style="2"/>
    <col min="12286" max="12286" width="4.85546875" style="2" customWidth="1"/>
    <col min="12287" max="12287" width="30.5703125" style="2" customWidth="1"/>
    <col min="12288" max="12288" width="33.85546875" style="2" customWidth="1"/>
    <col min="12289" max="12289" width="5.140625" style="2" customWidth="1"/>
    <col min="12290" max="12291" width="17.5703125" style="2" customWidth="1"/>
    <col min="12292" max="12535" width="9.140625" style="2"/>
    <col min="12536" max="12536" width="3.7109375" style="2" customWidth="1"/>
    <col min="12537" max="12537" width="96.85546875" style="2" customWidth="1"/>
    <col min="12538" max="12538" width="30.85546875" style="2" customWidth="1"/>
    <col min="12539" max="12539" width="12.5703125" style="2" customWidth="1"/>
    <col min="12540" max="12540" width="5.140625" style="2" customWidth="1"/>
    <col min="12541" max="12541" width="9.140625" style="2"/>
    <col min="12542" max="12542" width="4.85546875" style="2" customWidth="1"/>
    <col min="12543" max="12543" width="30.5703125" style="2" customWidth="1"/>
    <col min="12544" max="12544" width="33.85546875" style="2" customWidth="1"/>
    <col min="12545" max="12545" width="5.140625" style="2" customWidth="1"/>
    <col min="12546" max="12547" width="17.5703125" style="2" customWidth="1"/>
    <col min="12548" max="12791" width="9.140625" style="2"/>
    <col min="12792" max="12792" width="3.7109375" style="2" customWidth="1"/>
    <col min="12793" max="12793" width="96.85546875" style="2" customWidth="1"/>
    <col min="12794" max="12794" width="30.85546875" style="2" customWidth="1"/>
    <col min="12795" max="12795" width="12.5703125" style="2" customWidth="1"/>
    <col min="12796" max="12796" width="5.140625" style="2" customWidth="1"/>
    <col min="12797" max="12797" width="9.140625" style="2"/>
    <col min="12798" max="12798" width="4.85546875" style="2" customWidth="1"/>
    <col min="12799" max="12799" width="30.5703125" style="2" customWidth="1"/>
    <col min="12800" max="12800" width="33.85546875" style="2" customWidth="1"/>
    <col min="12801" max="12801" width="5.140625" style="2" customWidth="1"/>
    <col min="12802" max="12803" width="17.5703125" style="2" customWidth="1"/>
    <col min="12804" max="13047" width="9.140625" style="2"/>
    <col min="13048" max="13048" width="3.7109375" style="2" customWidth="1"/>
    <col min="13049" max="13049" width="96.85546875" style="2" customWidth="1"/>
    <col min="13050" max="13050" width="30.85546875" style="2" customWidth="1"/>
    <col min="13051" max="13051" width="12.5703125" style="2" customWidth="1"/>
    <col min="13052" max="13052" width="5.140625" style="2" customWidth="1"/>
    <col min="13053" max="13053" width="9.140625" style="2"/>
    <col min="13054" max="13054" width="4.85546875" style="2" customWidth="1"/>
    <col min="13055" max="13055" width="30.5703125" style="2" customWidth="1"/>
    <col min="13056" max="13056" width="33.85546875" style="2" customWidth="1"/>
    <col min="13057" max="13057" width="5.140625" style="2" customWidth="1"/>
    <col min="13058" max="13059" width="17.5703125" style="2" customWidth="1"/>
    <col min="13060" max="13303" width="9.140625" style="2"/>
    <col min="13304" max="13304" width="3.7109375" style="2" customWidth="1"/>
    <col min="13305" max="13305" width="96.85546875" style="2" customWidth="1"/>
    <col min="13306" max="13306" width="30.85546875" style="2" customWidth="1"/>
    <col min="13307" max="13307" width="12.5703125" style="2" customWidth="1"/>
    <col min="13308" max="13308" width="5.140625" style="2" customWidth="1"/>
    <col min="13309" max="13309" width="9.140625" style="2"/>
    <col min="13310" max="13310" width="4.85546875" style="2" customWidth="1"/>
    <col min="13311" max="13311" width="30.5703125" style="2" customWidth="1"/>
    <col min="13312" max="13312" width="33.85546875" style="2" customWidth="1"/>
    <col min="13313" max="13313" width="5.140625" style="2" customWidth="1"/>
    <col min="13314" max="13315" width="17.5703125" style="2" customWidth="1"/>
    <col min="13316" max="13559" width="9.140625" style="2"/>
    <col min="13560" max="13560" width="3.7109375" style="2" customWidth="1"/>
    <col min="13561" max="13561" width="96.85546875" style="2" customWidth="1"/>
    <col min="13562" max="13562" width="30.85546875" style="2" customWidth="1"/>
    <col min="13563" max="13563" width="12.5703125" style="2" customWidth="1"/>
    <col min="13564" max="13564" width="5.140625" style="2" customWidth="1"/>
    <col min="13565" max="13565" width="9.140625" style="2"/>
    <col min="13566" max="13566" width="4.85546875" style="2" customWidth="1"/>
    <col min="13567" max="13567" width="30.5703125" style="2" customWidth="1"/>
    <col min="13568" max="13568" width="33.85546875" style="2" customWidth="1"/>
    <col min="13569" max="13569" width="5.140625" style="2" customWidth="1"/>
    <col min="13570" max="13571" width="17.5703125" style="2" customWidth="1"/>
    <col min="13572" max="13815" width="9.140625" style="2"/>
    <col min="13816" max="13816" width="3.7109375" style="2" customWidth="1"/>
    <col min="13817" max="13817" width="96.85546875" style="2" customWidth="1"/>
    <col min="13818" max="13818" width="30.85546875" style="2" customWidth="1"/>
    <col min="13819" max="13819" width="12.5703125" style="2" customWidth="1"/>
    <col min="13820" max="13820" width="5.140625" style="2" customWidth="1"/>
    <col min="13821" max="13821" width="9.140625" style="2"/>
    <col min="13822" max="13822" width="4.85546875" style="2" customWidth="1"/>
    <col min="13823" max="13823" width="30.5703125" style="2" customWidth="1"/>
    <col min="13824" max="13824" width="33.85546875" style="2" customWidth="1"/>
    <col min="13825" max="13825" width="5.140625" style="2" customWidth="1"/>
    <col min="13826" max="13827" width="17.5703125" style="2" customWidth="1"/>
    <col min="13828" max="14071" width="9.140625" style="2"/>
    <col min="14072" max="14072" width="3.7109375" style="2" customWidth="1"/>
    <col min="14073" max="14073" width="96.85546875" style="2" customWidth="1"/>
    <col min="14074" max="14074" width="30.85546875" style="2" customWidth="1"/>
    <col min="14075" max="14075" width="12.5703125" style="2" customWidth="1"/>
    <col min="14076" max="14076" width="5.140625" style="2" customWidth="1"/>
    <col min="14077" max="14077" width="9.140625" style="2"/>
    <col min="14078" max="14078" width="4.85546875" style="2" customWidth="1"/>
    <col min="14079" max="14079" width="30.5703125" style="2" customWidth="1"/>
    <col min="14080" max="14080" width="33.85546875" style="2" customWidth="1"/>
    <col min="14081" max="14081" width="5.140625" style="2" customWidth="1"/>
    <col min="14082" max="14083" width="17.5703125" style="2" customWidth="1"/>
    <col min="14084" max="14327" width="9.140625" style="2"/>
    <col min="14328" max="14328" width="3.7109375" style="2" customWidth="1"/>
    <col min="14329" max="14329" width="96.85546875" style="2" customWidth="1"/>
    <col min="14330" max="14330" width="30.85546875" style="2" customWidth="1"/>
    <col min="14331" max="14331" width="12.5703125" style="2" customWidth="1"/>
    <col min="14332" max="14332" width="5.140625" style="2" customWidth="1"/>
    <col min="14333" max="14333" width="9.140625" style="2"/>
    <col min="14334" max="14334" width="4.85546875" style="2" customWidth="1"/>
    <col min="14335" max="14335" width="30.5703125" style="2" customWidth="1"/>
    <col min="14336" max="14336" width="33.85546875" style="2" customWidth="1"/>
    <col min="14337" max="14337" width="5.140625" style="2" customWidth="1"/>
    <col min="14338" max="14339" width="17.5703125" style="2" customWidth="1"/>
    <col min="14340" max="14583" width="9.140625" style="2"/>
    <col min="14584" max="14584" width="3.7109375" style="2" customWidth="1"/>
    <col min="14585" max="14585" width="96.85546875" style="2" customWidth="1"/>
    <col min="14586" max="14586" width="30.85546875" style="2" customWidth="1"/>
    <col min="14587" max="14587" width="12.5703125" style="2" customWidth="1"/>
    <col min="14588" max="14588" width="5.140625" style="2" customWidth="1"/>
    <col min="14589" max="14589" width="9.140625" style="2"/>
    <col min="14590" max="14590" width="4.85546875" style="2" customWidth="1"/>
    <col min="14591" max="14591" width="30.5703125" style="2" customWidth="1"/>
    <col min="14592" max="14592" width="33.85546875" style="2" customWidth="1"/>
    <col min="14593" max="14593" width="5.140625" style="2" customWidth="1"/>
    <col min="14594" max="14595" width="17.5703125" style="2" customWidth="1"/>
    <col min="14596" max="14839" width="9.140625" style="2"/>
    <col min="14840" max="14840" width="3.7109375" style="2" customWidth="1"/>
    <col min="14841" max="14841" width="96.85546875" style="2" customWidth="1"/>
    <col min="14842" max="14842" width="30.85546875" style="2" customWidth="1"/>
    <col min="14843" max="14843" width="12.5703125" style="2" customWidth="1"/>
    <col min="14844" max="14844" width="5.140625" style="2" customWidth="1"/>
    <col min="14845" max="14845" width="9.140625" style="2"/>
    <col min="14846" max="14846" width="4.85546875" style="2" customWidth="1"/>
    <col min="14847" max="14847" width="30.5703125" style="2" customWidth="1"/>
    <col min="14848" max="14848" width="33.85546875" style="2" customWidth="1"/>
    <col min="14849" max="14849" width="5.140625" style="2" customWidth="1"/>
    <col min="14850" max="14851" width="17.5703125" style="2" customWidth="1"/>
    <col min="14852" max="15095" width="9.140625" style="2"/>
    <col min="15096" max="15096" width="3.7109375" style="2" customWidth="1"/>
    <col min="15097" max="15097" width="96.85546875" style="2" customWidth="1"/>
    <col min="15098" max="15098" width="30.85546875" style="2" customWidth="1"/>
    <col min="15099" max="15099" width="12.5703125" style="2" customWidth="1"/>
    <col min="15100" max="15100" width="5.140625" style="2" customWidth="1"/>
    <col min="15101" max="15101" width="9.140625" style="2"/>
    <col min="15102" max="15102" width="4.85546875" style="2" customWidth="1"/>
    <col min="15103" max="15103" width="30.5703125" style="2" customWidth="1"/>
    <col min="15104" max="15104" width="33.85546875" style="2" customWidth="1"/>
    <col min="15105" max="15105" width="5.140625" style="2" customWidth="1"/>
    <col min="15106" max="15107" width="17.5703125" style="2" customWidth="1"/>
    <col min="15108" max="15351" width="9.140625" style="2"/>
    <col min="15352" max="15352" width="3.7109375" style="2" customWidth="1"/>
    <col min="15353" max="15353" width="96.85546875" style="2" customWidth="1"/>
    <col min="15354" max="15354" width="30.85546875" style="2" customWidth="1"/>
    <col min="15355" max="15355" width="12.5703125" style="2" customWidth="1"/>
    <col min="15356" max="15356" width="5.140625" style="2" customWidth="1"/>
    <col min="15357" max="15357" width="9.140625" style="2"/>
    <col min="15358" max="15358" width="4.85546875" style="2" customWidth="1"/>
    <col min="15359" max="15359" width="30.5703125" style="2" customWidth="1"/>
    <col min="15360" max="15360" width="33.85546875" style="2" customWidth="1"/>
    <col min="15361" max="15361" width="5.140625" style="2" customWidth="1"/>
    <col min="15362" max="15363" width="17.5703125" style="2" customWidth="1"/>
    <col min="15364" max="15607" width="9.140625" style="2"/>
    <col min="15608" max="15608" width="3.7109375" style="2" customWidth="1"/>
    <col min="15609" max="15609" width="96.85546875" style="2" customWidth="1"/>
    <col min="15610" max="15610" width="30.85546875" style="2" customWidth="1"/>
    <col min="15611" max="15611" width="12.5703125" style="2" customWidth="1"/>
    <col min="15612" max="15612" width="5.140625" style="2" customWidth="1"/>
    <col min="15613" max="15613" width="9.140625" style="2"/>
    <col min="15614" max="15614" width="4.85546875" style="2" customWidth="1"/>
    <col min="15615" max="15615" width="30.5703125" style="2" customWidth="1"/>
    <col min="15616" max="15616" width="33.85546875" style="2" customWidth="1"/>
    <col min="15617" max="15617" width="5.140625" style="2" customWidth="1"/>
    <col min="15618" max="15619" width="17.5703125" style="2" customWidth="1"/>
    <col min="15620" max="15863" width="9.140625" style="2"/>
    <col min="15864" max="15864" width="3.7109375" style="2" customWidth="1"/>
    <col min="15865" max="15865" width="96.85546875" style="2" customWidth="1"/>
    <col min="15866" max="15866" width="30.85546875" style="2" customWidth="1"/>
    <col min="15867" max="15867" width="12.5703125" style="2" customWidth="1"/>
    <col min="15868" max="15868" width="5.140625" style="2" customWidth="1"/>
    <col min="15869" max="15869" width="9.140625" style="2"/>
    <col min="15870" max="15870" width="4.85546875" style="2" customWidth="1"/>
    <col min="15871" max="15871" width="30.5703125" style="2" customWidth="1"/>
    <col min="15872" max="15872" width="33.85546875" style="2" customWidth="1"/>
    <col min="15873" max="15873" width="5.140625" style="2" customWidth="1"/>
    <col min="15874" max="15875" width="17.5703125" style="2" customWidth="1"/>
    <col min="15876" max="16119" width="9.140625" style="2"/>
    <col min="16120" max="16120" width="3.7109375" style="2" customWidth="1"/>
    <col min="16121" max="16121" width="96.85546875" style="2" customWidth="1"/>
    <col min="16122" max="16122" width="30.85546875" style="2" customWidth="1"/>
    <col min="16123" max="16123" width="12.5703125" style="2" customWidth="1"/>
    <col min="16124" max="16124" width="5.140625" style="2" customWidth="1"/>
    <col min="16125" max="16125" width="9.140625" style="2"/>
    <col min="16126" max="16126" width="4.85546875" style="2" customWidth="1"/>
    <col min="16127" max="16127" width="30.5703125" style="2" customWidth="1"/>
    <col min="16128" max="16128" width="33.85546875" style="2" customWidth="1"/>
    <col min="16129" max="16129" width="5.140625" style="2" customWidth="1"/>
    <col min="16130" max="16131" width="17.5703125" style="2" customWidth="1"/>
    <col min="16132" max="16384" width="9.140625" style="2"/>
  </cols>
  <sheetData>
    <row r="1" spans="1:3" ht="48" customHeight="1" x14ac:dyDescent="0.2">
      <c r="A1" s="3"/>
      <c r="B1" s="143" t="s">
        <v>227</v>
      </c>
      <c r="C1" s="143"/>
    </row>
    <row r="2" spans="1:3" x14ac:dyDescent="0.2">
      <c r="A2" s="3"/>
      <c r="B2" s="4" t="s">
        <v>1</v>
      </c>
      <c r="C2" s="5">
        <v>45687</v>
      </c>
    </row>
    <row r="3" spans="1:3" x14ac:dyDescent="0.2">
      <c r="A3" s="3"/>
      <c r="B3" s="117" t="s">
        <v>2</v>
      </c>
      <c r="C3" s="7"/>
    </row>
    <row r="4" spans="1:3" ht="25.5" x14ac:dyDescent="0.2">
      <c r="A4" s="8"/>
      <c r="B4" s="9" t="str">
        <f>[26]И1!D13</f>
        <v>Субъект Российской Федерации</v>
      </c>
      <c r="C4" s="10" t="str">
        <f>[26]И1!E13</f>
        <v>Новосибирская область</v>
      </c>
    </row>
    <row r="5" spans="1:3" ht="48.6" customHeight="1" x14ac:dyDescent="0.2">
      <c r="A5" s="8"/>
      <c r="B5" s="9" t="str">
        <f>[26]И1!D14</f>
        <v>Тип муниципального образования (выберите из списка)</v>
      </c>
      <c r="C5" s="10" t="str">
        <f>[26]И1!E14</f>
        <v>поселок Агролес, Искитимский муниципальный район</v>
      </c>
    </row>
    <row r="6" spans="1:3" x14ac:dyDescent="0.2">
      <c r="A6" s="8"/>
      <c r="B6" s="9" t="str">
        <f>IF([26]И1!E15="","",[26]И1!D15)</f>
        <v/>
      </c>
      <c r="C6" s="7" t="str">
        <f>IF([26]И1!E15="","",[26]И1!E15)</f>
        <v/>
      </c>
    </row>
    <row r="7" spans="1:3" x14ac:dyDescent="0.2">
      <c r="A7" s="8"/>
      <c r="B7" s="9" t="str">
        <f>[26]И1!D16</f>
        <v>Код ОКТМО</v>
      </c>
      <c r="C7" s="11" t="str">
        <f>[26]И1!E16</f>
        <v xml:space="preserve"> (50615417101)</v>
      </c>
    </row>
    <row r="8" spans="1:3" x14ac:dyDescent="0.2">
      <c r="A8" s="8"/>
      <c r="B8" s="12" t="str">
        <f>[26]И1!D17</f>
        <v>Система теплоснабжения</v>
      </c>
      <c r="C8" s="13">
        <f>[26]И1!E17</f>
        <v>0</v>
      </c>
    </row>
    <row r="9" spans="1:3" x14ac:dyDescent="0.2">
      <c r="A9" s="8"/>
      <c r="B9" s="9" t="str">
        <f>[26]И1!D8</f>
        <v>Период регулирования (i)-й</v>
      </c>
      <c r="C9" s="14">
        <f>[26]И1!E8</f>
        <v>2025</v>
      </c>
    </row>
    <row r="10" spans="1:3" x14ac:dyDescent="0.2">
      <c r="A10" s="8"/>
      <c r="B10" s="9" t="str">
        <f>[26]И1!D9</f>
        <v>Период регулирования (i-1)-й</v>
      </c>
      <c r="C10" s="14">
        <f>[26]И1!E9</f>
        <v>2024</v>
      </c>
    </row>
    <row r="11" spans="1:3" x14ac:dyDescent="0.2">
      <c r="A11" s="8"/>
      <c r="B11" s="9" t="str">
        <f>[26]И1!D10</f>
        <v>Период регулирования (i-2)-й</v>
      </c>
      <c r="C11" s="14">
        <f>[26]И1!E10</f>
        <v>2023</v>
      </c>
    </row>
    <row r="12" spans="1:3" x14ac:dyDescent="0.2">
      <c r="A12" s="8"/>
      <c r="B12" s="9" t="str">
        <f>[26]И1!D11</f>
        <v>Базовый год (б)</v>
      </c>
      <c r="C12" s="14">
        <f>[26]И1!E11</f>
        <v>2019</v>
      </c>
    </row>
    <row r="13" spans="1:3" x14ac:dyDescent="0.2">
      <c r="A13" s="8"/>
      <c r="B13" s="9" t="str">
        <f>[26]И1!D18</f>
        <v>Вид топлива, использование которого преобладает в системе теплоснабжения</v>
      </c>
      <c r="C13" s="15" t="str">
        <f>[26]И1!E18</f>
        <v>Газ</v>
      </c>
    </row>
    <row r="14" spans="1:3" ht="26.25" customHeight="1" thickBot="1" x14ac:dyDescent="0.25">
      <c r="A14" s="147" t="s">
        <v>3</v>
      </c>
      <c r="B14" s="147"/>
      <c r="C14" s="14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4216.3281465159562</v>
      </c>
    </row>
    <row r="18" spans="1:3" ht="42.75" x14ac:dyDescent="0.2">
      <c r="A18" s="22" t="s">
        <v>8</v>
      </c>
      <c r="B18" s="25" t="s">
        <v>9</v>
      </c>
      <c r="C18" s="26">
        <f>[26]С1!F12</f>
        <v>1201.0642791911237</v>
      </c>
    </row>
    <row r="19" spans="1:3" ht="42.75" x14ac:dyDescent="0.2">
      <c r="A19" s="22" t="s">
        <v>10</v>
      </c>
      <c r="B19" s="25" t="s">
        <v>11</v>
      </c>
      <c r="C19" s="26">
        <f>[26]С2!F12</f>
        <v>2049.7946392543367</v>
      </c>
    </row>
    <row r="20" spans="1:3" ht="30" x14ac:dyDescent="0.2">
      <c r="A20" s="22" t="s">
        <v>12</v>
      </c>
      <c r="B20" s="25" t="s">
        <v>13</v>
      </c>
      <c r="C20" s="26">
        <f>[26]С3!F12</f>
        <v>613.3572799725365</v>
      </c>
    </row>
    <row r="21" spans="1:3" ht="42.75" x14ac:dyDescent="0.2">
      <c r="A21" s="22" t="s">
        <v>14</v>
      </c>
      <c r="B21" s="25" t="s">
        <v>228</v>
      </c>
      <c r="C21" s="26">
        <f>[26]С4!F12</f>
        <v>269.43884718588168</v>
      </c>
    </row>
    <row r="22" spans="1:3" ht="33" customHeight="1" x14ac:dyDescent="0.2">
      <c r="A22" s="22" t="s">
        <v>16</v>
      </c>
      <c r="B22" s="25" t="s">
        <v>229</v>
      </c>
      <c r="C22" s="26">
        <f>[26]С5!F12</f>
        <v>82.673100912077572</v>
      </c>
    </row>
    <row r="23" spans="1:3" ht="45.75" customHeight="1" thickBot="1" x14ac:dyDescent="0.25">
      <c r="A23" s="27" t="s">
        <v>18</v>
      </c>
      <c r="B23" s="140" t="s">
        <v>230</v>
      </c>
      <c r="C23" s="28">
        <f>[26]С6!F12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44" t="s">
        <v>20</v>
      </c>
      <c r="C27" s="144"/>
    </row>
    <row r="28" spans="1:3" x14ac:dyDescent="0.2">
      <c r="A28" s="22" t="s">
        <v>8</v>
      </c>
      <c r="B28" s="33" t="s">
        <v>231</v>
      </c>
      <c r="C28" s="34">
        <f>[26]С1.1!E16</f>
        <v>7900</v>
      </c>
    </row>
    <row r="29" spans="1:3" ht="42.75" x14ac:dyDescent="0.2">
      <c r="A29" s="22" t="s">
        <v>10</v>
      </c>
      <c r="B29" s="33" t="s">
        <v>232</v>
      </c>
      <c r="C29" s="34">
        <f>[26]С1.1!E32</f>
        <v>6213.94</v>
      </c>
    </row>
    <row r="30" spans="1:3" ht="38.25" x14ac:dyDescent="0.2">
      <c r="A30" s="22" t="s">
        <v>233</v>
      </c>
      <c r="B30" s="33" t="s">
        <v>234</v>
      </c>
      <c r="C30" s="85" t="str">
        <f>[26]С1.1!E25</f>
        <v>ООО "Газпром газораспределение Томск"</v>
      </c>
    </row>
    <row r="31" spans="1:3" ht="38.25" x14ac:dyDescent="0.2">
      <c r="A31" s="22" t="s">
        <v>235</v>
      </c>
      <c r="B31" s="33" t="str">
        <f>[26]С1.1!D26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[26]С1.1!E26</f>
        <v>5099</v>
      </c>
    </row>
    <row r="32" spans="1:3" ht="25.5" x14ac:dyDescent="0.2">
      <c r="A32" s="22" t="s">
        <v>236</v>
      </c>
      <c r="B32" s="33" t="str">
        <f>[26]С1.1!D27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[26]С1.1!E27</f>
        <v>740.38</v>
      </c>
    </row>
    <row r="33" spans="1:3" ht="25.5" x14ac:dyDescent="0.2">
      <c r="A33" s="22" t="s">
        <v>237</v>
      </c>
      <c r="B33" s="33" t="str">
        <f>[26]С1.1!D28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[26]С1.1!E28</f>
        <v>144.72999999999999</v>
      </c>
    </row>
    <row r="34" spans="1:3" ht="38.25" x14ac:dyDescent="0.2">
      <c r="A34" s="22" t="s">
        <v>238</v>
      </c>
      <c r="B34" s="33" t="str">
        <f>[26]С1.1!D29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[26]С1.1!E29</f>
        <v>229.83</v>
      </c>
    </row>
    <row r="35" spans="1:3" ht="17.25" x14ac:dyDescent="0.2">
      <c r="A35" s="22" t="s">
        <v>12</v>
      </c>
      <c r="B35" s="33" t="s">
        <v>23</v>
      </c>
      <c r="C35" s="35">
        <f>[26]С1.1!E20</f>
        <v>0.112</v>
      </c>
    </row>
    <row r="36" spans="1:3" ht="17.25" x14ac:dyDescent="0.2">
      <c r="A36" s="22" t="s">
        <v>14</v>
      </c>
      <c r="B36" s="33" t="s">
        <v>24</v>
      </c>
      <c r="C36" s="35">
        <f>[26]С1.1!E21</f>
        <v>0.21299999999999999</v>
      </c>
    </row>
    <row r="37" spans="1:3" ht="30" x14ac:dyDescent="0.2">
      <c r="A37" s="22" t="s">
        <v>16</v>
      </c>
      <c r="B37" s="36" t="s">
        <v>239</v>
      </c>
      <c r="C37" s="121">
        <f>[26]С1!F13</f>
        <v>156.1</v>
      </c>
    </row>
    <row r="38" spans="1:3" x14ac:dyDescent="0.2">
      <c r="A38" s="22" t="s">
        <v>18</v>
      </c>
      <c r="B38" s="36" t="s">
        <v>26</v>
      </c>
      <c r="C38" s="38">
        <f>[26]С1!F16</f>
        <v>7000</v>
      </c>
    </row>
    <row r="39" spans="1:3" ht="14.25" x14ac:dyDescent="0.2">
      <c r="A39" s="122" t="s">
        <v>27</v>
      </c>
      <c r="B39" s="39" t="s">
        <v>240</v>
      </c>
      <c r="C39" s="40">
        <f>[26]С1!F17</f>
        <v>1.1285714285714286</v>
      </c>
    </row>
    <row r="40" spans="1:3" ht="15.75" x14ac:dyDescent="0.2">
      <c r="A40" s="123" t="s">
        <v>29</v>
      </c>
      <c r="B40" s="42" t="s">
        <v>30</v>
      </c>
      <c r="C40" s="40">
        <f>[26]С1!F20</f>
        <v>22.307053372799995</v>
      </c>
    </row>
    <row r="41" spans="1:3" ht="15.75" x14ac:dyDescent="0.2">
      <c r="A41" s="123" t="s">
        <v>31</v>
      </c>
      <c r="B41" s="43" t="s">
        <v>32</v>
      </c>
      <c r="C41" s="40">
        <f>[26]С1!F21</f>
        <v>21.531904799999996</v>
      </c>
    </row>
    <row r="42" spans="1:3" ht="14.25" x14ac:dyDescent="0.2">
      <c r="A42" s="123" t="s">
        <v>33</v>
      </c>
      <c r="B42" s="44" t="s">
        <v>34</v>
      </c>
      <c r="C42" s="40">
        <f>[26]С1!F22</f>
        <v>1.036</v>
      </c>
    </row>
    <row r="43" spans="1:3" ht="53.25" thickBot="1" x14ac:dyDescent="0.25">
      <c r="A43" s="27" t="s">
        <v>35</v>
      </c>
      <c r="B43" s="45" t="s">
        <v>36</v>
      </c>
      <c r="C43" s="46" t="str">
        <f>[26]С1!F23</f>
        <v>-</v>
      </c>
    </row>
    <row r="44" spans="1:3" ht="13.5" thickBot="1" x14ac:dyDescent="0.25">
      <c r="A44" s="47"/>
      <c r="B44" s="75"/>
      <c r="C44" s="15"/>
    </row>
    <row r="45" spans="1:3" ht="30" customHeight="1" x14ac:dyDescent="0.2">
      <c r="A45" s="50" t="s">
        <v>37</v>
      </c>
      <c r="B45" s="145" t="s">
        <v>38</v>
      </c>
      <c r="C45" s="145"/>
    </row>
    <row r="46" spans="1:3" ht="25.5" x14ac:dyDescent="0.2">
      <c r="A46" s="22" t="s">
        <v>39</v>
      </c>
      <c r="B46" s="36" t="s">
        <v>40</v>
      </c>
      <c r="C46" s="51" t="str">
        <f>[26]С2.1!E12</f>
        <v>V</v>
      </c>
    </row>
    <row r="47" spans="1:3" ht="25.5" x14ac:dyDescent="0.2">
      <c r="A47" s="22" t="s">
        <v>41</v>
      </c>
      <c r="B47" s="33" t="s">
        <v>42</v>
      </c>
      <c r="C47" s="51" t="str">
        <f>[26]С2.1!E13</f>
        <v>6 и менее баллов</v>
      </c>
    </row>
    <row r="48" spans="1:3" ht="25.5" x14ac:dyDescent="0.2">
      <c r="A48" s="22" t="s">
        <v>43</v>
      </c>
      <c r="B48" s="33" t="s">
        <v>241</v>
      </c>
      <c r="C48" s="51" t="str">
        <f>[26]С2.1!E14</f>
        <v>от 200 до 500</v>
      </c>
    </row>
    <row r="49" spans="1:3" ht="25.5" x14ac:dyDescent="0.2">
      <c r="A49" s="22" t="s">
        <v>45</v>
      </c>
      <c r="B49" s="33" t="s">
        <v>242</v>
      </c>
      <c r="C49" s="52" t="str">
        <f>[26]С2.1!E15</f>
        <v>нет</v>
      </c>
    </row>
    <row r="50" spans="1:3" ht="30" x14ac:dyDescent="0.2">
      <c r="A50" s="22" t="s">
        <v>47</v>
      </c>
      <c r="B50" s="33" t="s">
        <v>48</v>
      </c>
      <c r="C50" s="34">
        <f>[26]С2!F18</f>
        <v>38910.02669467502</v>
      </c>
    </row>
    <row r="51" spans="1:3" ht="30" x14ac:dyDescent="0.2">
      <c r="A51" s="22" t="s">
        <v>49</v>
      </c>
      <c r="B51" s="53" t="s">
        <v>50</v>
      </c>
      <c r="C51" s="34">
        <f>IF([26]С2!F19&gt;0,[26]С2!F19,[26]С2!F20)</f>
        <v>23441.524932855718</v>
      </c>
    </row>
    <row r="52" spans="1:3" ht="25.5" x14ac:dyDescent="0.2">
      <c r="A52" s="22" t="s">
        <v>51</v>
      </c>
      <c r="B52" s="54" t="s">
        <v>52</v>
      </c>
      <c r="C52" s="34">
        <f>[26]С2.1!E20</f>
        <v>-38</v>
      </c>
    </row>
    <row r="53" spans="1:3" ht="25.5" x14ac:dyDescent="0.2">
      <c r="A53" s="22" t="s">
        <v>53</v>
      </c>
      <c r="B53" s="54" t="s">
        <v>54</v>
      </c>
      <c r="C53" s="34" t="str">
        <f>[26]С2.1!E23</f>
        <v>нет</v>
      </c>
    </row>
    <row r="54" spans="1:3" ht="38.25" x14ac:dyDescent="0.2">
      <c r="A54" s="22" t="s">
        <v>55</v>
      </c>
      <c r="B54" s="55" t="s">
        <v>56</v>
      </c>
      <c r="C54" s="34">
        <f>[26]С2.2!E10</f>
        <v>1287</v>
      </c>
    </row>
    <row r="55" spans="1:3" ht="25.5" x14ac:dyDescent="0.2">
      <c r="A55" s="22" t="s">
        <v>57</v>
      </c>
      <c r="B55" s="56" t="s">
        <v>58</v>
      </c>
      <c r="C55" s="34">
        <f>[26]С2.2!E12</f>
        <v>5.97</v>
      </c>
    </row>
    <row r="56" spans="1:3" ht="52.5" x14ac:dyDescent="0.2">
      <c r="A56" s="22" t="s">
        <v>59</v>
      </c>
      <c r="B56" s="57" t="s">
        <v>60</v>
      </c>
      <c r="C56" s="34">
        <f>[26]С2.2!E13</f>
        <v>1</v>
      </c>
    </row>
    <row r="57" spans="1:3" ht="27.75" x14ac:dyDescent="0.2">
      <c r="A57" s="22" t="s">
        <v>61</v>
      </c>
      <c r="B57" s="56" t="s">
        <v>62</v>
      </c>
      <c r="C57" s="34">
        <f>[26]С2.2!E14</f>
        <v>12104</v>
      </c>
    </row>
    <row r="58" spans="1:3" ht="25.5" x14ac:dyDescent="0.2">
      <c r="A58" s="22" t="s">
        <v>63</v>
      </c>
      <c r="B58" s="57" t="s">
        <v>64</v>
      </c>
      <c r="C58" s="35">
        <f>[26]С2.2!E15</f>
        <v>4.8000000000000001E-2</v>
      </c>
    </row>
    <row r="59" spans="1:3" x14ac:dyDescent="0.2">
      <c r="A59" s="22" t="s">
        <v>65</v>
      </c>
      <c r="B59" s="57" t="s">
        <v>66</v>
      </c>
      <c r="C59" s="124">
        <f>[26]С2.2!E16</f>
        <v>1</v>
      </c>
    </row>
    <row r="60" spans="1:3" ht="15.75" x14ac:dyDescent="0.2">
      <c r="A60" s="22" t="s">
        <v>67</v>
      </c>
      <c r="B60" s="58" t="s">
        <v>68</v>
      </c>
      <c r="C60" s="34">
        <f>[26]С2!F21</f>
        <v>1</v>
      </c>
    </row>
    <row r="61" spans="1:3" ht="30" x14ac:dyDescent="0.2">
      <c r="A61" s="59" t="s">
        <v>69</v>
      </c>
      <c r="B61" s="33" t="s">
        <v>243</v>
      </c>
      <c r="C61" s="34">
        <f>[26]С2!F13</f>
        <v>116526.45062105893</v>
      </c>
    </row>
    <row r="62" spans="1:3" ht="30" x14ac:dyDescent="0.2">
      <c r="A62" s="59" t="s">
        <v>71</v>
      </c>
      <c r="B62" s="60" t="s">
        <v>244</v>
      </c>
      <c r="C62" s="34">
        <f>[26]С2!F14</f>
        <v>64899</v>
      </c>
    </row>
    <row r="63" spans="1:3" ht="15.75" x14ac:dyDescent="0.2">
      <c r="A63" s="59" t="s">
        <v>73</v>
      </c>
      <c r="B63" s="60" t="s">
        <v>74</v>
      </c>
      <c r="C63" s="40">
        <f>[26]С2!F15</f>
        <v>1.071</v>
      </c>
    </row>
    <row r="64" spans="1:3" ht="15.75" x14ac:dyDescent="0.2">
      <c r="A64" s="59" t="s">
        <v>75</v>
      </c>
      <c r="B64" s="60" t="s">
        <v>76</v>
      </c>
      <c r="C64" s="125">
        <f>[26]С2!F16</f>
        <v>1</v>
      </c>
    </row>
    <row r="65" spans="1:3" ht="17.25" x14ac:dyDescent="0.2">
      <c r="A65" s="59" t="s">
        <v>77</v>
      </c>
      <c r="B65" s="60" t="s">
        <v>78</v>
      </c>
      <c r="C65" s="126">
        <f>[26]С2!F17</f>
        <v>1.01</v>
      </c>
    </row>
    <row r="66" spans="1:3" s="63" customFormat="1" ht="14.25" x14ac:dyDescent="0.2">
      <c r="A66" s="59" t="s">
        <v>79</v>
      </c>
      <c r="B66" s="61" t="s">
        <v>80</v>
      </c>
      <c r="C66" s="62">
        <f>[26]С2!F35</f>
        <v>10</v>
      </c>
    </row>
    <row r="67" spans="1:3" ht="30" x14ac:dyDescent="0.2">
      <c r="A67" s="59" t="s">
        <v>81</v>
      </c>
      <c r="B67" s="64" t="s">
        <v>82</v>
      </c>
      <c r="C67" s="34">
        <f>[26]С2!F28</f>
        <v>366.91081711820414</v>
      </c>
    </row>
    <row r="68" spans="1:3" ht="17.25" x14ac:dyDescent="0.2">
      <c r="A68" s="59" t="s">
        <v>83</v>
      </c>
      <c r="B68" s="53" t="s">
        <v>245</v>
      </c>
      <c r="C68" s="40">
        <f>[26]С2!F29</f>
        <v>0.44209422600000003</v>
      </c>
    </row>
    <row r="69" spans="1:3" ht="17.25" x14ac:dyDescent="0.2">
      <c r="A69" s="59" t="s">
        <v>85</v>
      </c>
      <c r="B69" s="58" t="s">
        <v>246</v>
      </c>
      <c r="C69" s="62">
        <f>[26]С2!F30</f>
        <v>500</v>
      </c>
    </row>
    <row r="70" spans="1:3" ht="42.75" x14ac:dyDescent="0.2">
      <c r="A70" s="59" t="s">
        <v>87</v>
      </c>
      <c r="B70" s="33" t="s">
        <v>247</v>
      </c>
      <c r="C70" s="34">
        <f>[26]С2!F22</f>
        <v>43932.649760529566</v>
      </c>
    </row>
    <row r="71" spans="1:3" ht="30" x14ac:dyDescent="0.2">
      <c r="A71" s="59" t="s">
        <v>89</v>
      </c>
      <c r="B71" s="60" t="s">
        <v>248</v>
      </c>
      <c r="C71" s="34">
        <f>[26]С2!F23</f>
        <v>21</v>
      </c>
    </row>
    <row r="72" spans="1:3" ht="30" x14ac:dyDescent="0.2">
      <c r="A72" s="59" t="s">
        <v>91</v>
      </c>
      <c r="B72" s="53" t="s">
        <v>92</v>
      </c>
      <c r="C72" s="34">
        <f>[26]С2.1!E28</f>
        <v>14036.09995</v>
      </c>
    </row>
    <row r="73" spans="1:3" ht="38.25" x14ac:dyDescent="0.2">
      <c r="A73" s="59" t="s">
        <v>93</v>
      </c>
      <c r="B73" s="65" t="s">
        <v>94</v>
      </c>
      <c r="C73" s="52">
        <f>[26]С2.3!E21</f>
        <v>0</v>
      </c>
    </row>
    <row r="74" spans="1:3" ht="25.5" x14ac:dyDescent="0.2">
      <c r="A74" s="59" t="s">
        <v>95</v>
      </c>
      <c r="B74" s="66" t="s">
        <v>96</v>
      </c>
      <c r="C74" s="67">
        <f>[26]С2.3!E11</f>
        <v>5.45</v>
      </c>
    </row>
    <row r="75" spans="1:3" ht="25.5" x14ac:dyDescent="0.2">
      <c r="A75" s="59" t="s">
        <v>97</v>
      </c>
      <c r="B75" s="66" t="s">
        <v>98</v>
      </c>
      <c r="C75" s="62">
        <f>[26]С2.3!E13</f>
        <v>300</v>
      </c>
    </row>
    <row r="76" spans="1:3" ht="25.5" x14ac:dyDescent="0.2">
      <c r="A76" s="59" t="s">
        <v>99</v>
      </c>
      <c r="B76" s="65" t="s">
        <v>100</v>
      </c>
      <c r="C76" s="68">
        <f>IF([26]С2.3!E22&gt;0,[26]С2.3!E22,[26]С2.3!E14)</f>
        <v>61211</v>
      </c>
    </row>
    <row r="77" spans="1:3" ht="38.25" x14ac:dyDescent="0.2">
      <c r="A77" s="59" t="s">
        <v>101</v>
      </c>
      <c r="B77" s="65" t="s">
        <v>102</v>
      </c>
      <c r="C77" s="68">
        <f>IF([26]С2.3!E23&gt;0,[26]С2.3!E23,[26]С2.3!E15)</f>
        <v>45675</v>
      </c>
    </row>
    <row r="78" spans="1:3" ht="30" x14ac:dyDescent="0.2">
      <c r="A78" s="59" t="s">
        <v>103</v>
      </c>
      <c r="B78" s="53" t="s">
        <v>104</v>
      </c>
      <c r="C78" s="34">
        <f>[26]С2.1!E29</f>
        <v>9518.3274000000001</v>
      </c>
    </row>
    <row r="79" spans="1:3" ht="38.25" x14ac:dyDescent="0.2">
      <c r="A79" s="59" t="s">
        <v>105</v>
      </c>
      <c r="B79" s="65" t="s">
        <v>106</v>
      </c>
      <c r="C79" s="52">
        <f>[26]С2.3!E25</f>
        <v>0</v>
      </c>
    </row>
    <row r="80" spans="1:3" ht="25.5" x14ac:dyDescent="0.2">
      <c r="A80" s="59" t="s">
        <v>107</v>
      </c>
      <c r="B80" s="66" t="s">
        <v>108</v>
      </c>
      <c r="C80" s="67">
        <f>[26]С2.3!E12</f>
        <v>0.2</v>
      </c>
    </row>
    <row r="81" spans="1:3" ht="25.5" x14ac:dyDescent="0.2">
      <c r="A81" s="59" t="s">
        <v>109</v>
      </c>
      <c r="B81" s="66" t="s">
        <v>98</v>
      </c>
      <c r="C81" s="62">
        <f>[26]С2.3!E13</f>
        <v>300</v>
      </c>
    </row>
    <row r="82" spans="1:3" ht="25.5" x14ac:dyDescent="0.2">
      <c r="A82" s="59" t="s">
        <v>110</v>
      </c>
      <c r="B82" s="69" t="s">
        <v>111</v>
      </c>
      <c r="C82" s="68">
        <f>IF([26]С2.3!E26&gt;0,[26]С2.3!E26,[26]С2.3!E16)</f>
        <v>65637</v>
      </c>
    </row>
    <row r="83" spans="1:3" ht="38.25" x14ac:dyDescent="0.2">
      <c r="A83" s="59" t="s">
        <v>112</v>
      </c>
      <c r="B83" s="69" t="s">
        <v>113</v>
      </c>
      <c r="C83" s="68">
        <f>IF([26]С2.3!E27&gt;0,[26]С2.3!E27,[26]С2.3!E17)</f>
        <v>31684</v>
      </c>
    </row>
    <row r="84" spans="1:3" ht="30" x14ac:dyDescent="0.2">
      <c r="A84" s="59" t="s">
        <v>249</v>
      </c>
      <c r="B84" s="60" t="s">
        <v>250</v>
      </c>
      <c r="C84" s="68">
        <f>IF([26]С2.1!E19&gt;0,[26]С2.1!E19,[26]С2!F26)</f>
        <v>2892</v>
      </c>
    </row>
    <row r="85" spans="1:3" ht="17.25" x14ac:dyDescent="0.2">
      <c r="A85" s="59" t="s">
        <v>114</v>
      </c>
      <c r="B85" s="33" t="s">
        <v>115</v>
      </c>
      <c r="C85" s="35">
        <f>[26]С2!F31</f>
        <v>0.17804631770487722</v>
      </c>
    </row>
    <row r="86" spans="1:3" ht="30" x14ac:dyDescent="0.2">
      <c r="A86" s="59" t="s">
        <v>116</v>
      </c>
      <c r="B86" s="53" t="s">
        <v>117</v>
      </c>
      <c r="C86" s="70">
        <f>[26]С2!F32</f>
        <v>0.1652189781021898</v>
      </c>
    </row>
    <row r="87" spans="1:3" ht="17.25" x14ac:dyDescent="0.2">
      <c r="A87" s="59" t="s">
        <v>118</v>
      </c>
      <c r="B87" s="71" t="s">
        <v>119</v>
      </c>
      <c r="C87" s="35">
        <f>[26]С2!F33</f>
        <v>0.13880000000000001</v>
      </c>
    </row>
    <row r="88" spans="1:3" s="63" customFormat="1" ht="18" thickBot="1" x14ac:dyDescent="0.25">
      <c r="A88" s="72" t="s">
        <v>120</v>
      </c>
      <c r="B88" s="73" t="s">
        <v>121</v>
      </c>
      <c r="C88" s="74">
        <f>[26]С2!F34</f>
        <v>0.12640000000000001</v>
      </c>
    </row>
    <row r="89" spans="1:3" ht="13.5" thickBot="1" x14ac:dyDescent="0.25">
      <c r="A89" s="47"/>
      <c r="B89" s="75"/>
      <c r="C89" s="15"/>
    </row>
    <row r="90" spans="1:3" s="63" customFormat="1" ht="30" customHeight="1" x14ac:dyDescent="0.2">
      <c r="A90" s="76" t="s">
        <v>122</v>
      </c>
      <c r="B90" s="145" t="s">
        <v>123</v>
      </c>
      <c r="C90" s="145"/>
    </row>
    <row r="91" spans="1:3" s="63" customFormat="1" ht="30" x14ac:dyDescent="0.2">
      <c r="A91" s="77" t="s">
        <v>124</v>
      </c>
      <c r="B91" s="33" t="s">
        <v>125</v>
      </c>
      <c r="C91" s="34">
        <f>[26]С3!F14</f>
        <v>10281.56929785238</v>
      </c>
    </row>
    <row r="92" spans="1:3" s="63" customFormat="1" ht="42.75" x14ac:dyDescent="0.2">
      <c r="A92" s="77" t="s">
        <v>126</v>
      </c>
      <c r="B92" s="53" t="s">
        <v>127</v>
      </c>
      <c r="C92" s="78">
        <f>[26]С3!F15</f>
        <v>0.25</v>
      </c>
    </row>
    <row r="93" spans="1:3" s="63" customFormat="1" ht="14.25" x14ac:dyDescent="0.2">
      <c r="A93" s="77" t="s">
        <v>128</v>
      </c>
      <c r="B93" s="79" t="s">
        <v>129</v>
      </c>
      <c r="C93" s="62">
        <f>[26]С3!F18</f>
        <v>15</v>
      </c>
    </row>
    <row r="94" spans="1:3" s="63" customFormat="1" ht="17.25" x14ac:dyDescent="0.2">
      <c r="A94" s="77" t="s">
        <v>130</v>
      </c>
      <c r="B94" s="33" t="s">
        <v>131</v>
      </c>
      <c r="C94" s="34">
        <f>[26]С3!F19</f>
        <v>2924.0805304518653</v>
      </c>
    </row>
    <row r="95" spans="1:3" s="63" customFormat="1" ht="55.5" x14ac:dyDescent="0.2">
      <c r="A95" s="77" t="s">
        <v>132</v>
      </c>
      <c r="B95" s="53" t="s">
        <v>133</v>
      </c>
      <c r="C95" s="80">
        <f>[26]С3!F20</f>
        <v>2.1999999999999999E-2</v>
      </c>
    </row>
    <row r="96" spans="1:3" s="63" customFormat="1" ht="14.25" x14ac:dyDescent="0.2">
      <c r="A96" s="77" t="s">
        <v>134</v>
      </c>
      <c r="B96" s="58" t="s">
        <v>80</v>
      </c>
      <c r="C96" s="62">
        <f>[26]С3!F21</f>
        <v>10</v>
      </c>
    </row>
    <row r="97" spans="1:3" s="63" customFormat="1" ht="17.25" x14ac:dyDescent="0.2">
      <c r="A97" s="77" t="s">
        <v>135</v>
      </c>
      <c r="B97" s="33" t="s">
        <v>136</v>
      </c>
      <c r="C97" s="34">
        <f>[26]С3!F22</f>
        <v>1.1007324513546124</v>
      </c>
    </row>
    <row r="98" spans="1:3" s="63" customFormat="1" ht="55.5" x14ac:dyDescent="0.2">
      <c r="A98" s="77" t="s">
        <v>137</v>
      </c>
      <c r="B98" s="53" t="s">
        <v>138</v>
      </c>
      <c r="C98" s="80">
        <f>[26]С3!F23</f>
        <v>3.0000000000000001E-3</v>
      </c>
    </row>
    <row r="99" spans="1:3" s="63" customFormat="1" ht="30.75" thickBot="1" x14ac:dyDescent="0.25">
      <c r="A99" s="81" t="s">
        <v>139</v>
      </c>
      <c r="B99" s="82" t="s">
        <v>82</v>
      </c>
      <c r="C99" s="83">
        <f>[26]С3!F24</f>
        <v>366.91081711820414</v>
      </c>
    </row>
    <row r="100" spans="1:3" ht="13.5" thickBot="1" x14ac:dyDescent="0.25">
      <c r="A100" s="47"/>
      <c r="B100" s="75"/>
      <c r="C100" s="15"/>
    </row>
    <row r="101" spans="1:3" ht="30" customHeight="1" x14ac:dyDescent="0.2">
      <c r="A101" s="84" t="s">
        <v>141</v>
      </c>
      <c r="B101" s="145" t="s">
        <v>142</v>
      </c>
      <c r="C101" s="145"/>
    </row>
    <row r="102" spans="1:3" ht="30" x14ac:dyDescent="0.2">
      <c r="A102" s="59" t="s">
        <v>143</v>
      </c>
      <c r="B102" s="33" t="s">
        <v>251</v>
      </c>
      <c r="C102" s="34">
        <f>[26]С4!F16</f>
        <v>832.33500000000004</v>
      </c>
    </row>
    <row r="103" spans="1:3" ht="30" x14ac:dyDescent="0.2">
      <c r="A103" s="59" t="s">
        <v>145</v>
      </c>
      <c r="B103" s="58" t="s">
        <v>252</v>
      </c>
      <c r="C103" s="34">
        <f>[26]С4!F17</f>
        <v>43385</v>
      </c>
    </row>
    <row r="104" spans="1:3" ht="17.25" x14ac:dyDescent="0.2">
      <c r="A104" s="59" t="s">
        <v>147</v>
      </c>
      <c r="B104" s="58" t="s">
        <v>148</v>
      </c>
      <c r="C104" s="40">
        <f>[26]С4!F18</f>
        <v>1.4999999999999999E-2</v>
      </c>
    </row>
    <row r="105" spans="1:3" ht="30" x14ac:dyDescent="0.2">
      <c r="A105" s="59" t="s">
        <v>149</v>
      </c>
      <c r="B105" s="58" t="s">
        <v>150</v>
      </c>
      <c r="C105" s="34">
        <f>[26]С4!F19</f>
        <v>12104</v>
      </c>
    </row>
    <row r="106" spans="1:3" ht="31.5" x14ac:dyDescent="0.2">
      <c r="A106" s="59" t="s">
        <v>151</v>
      </c>
      <c r="B106" s="58" t="s">
        <v>152</v>
      </c>
      <c r="C106" s="40">
        <f>[26]С4!F20</f>
        <v>1.4999999999999999E-2</v>
      </c>
    </row>
    <row r="107" spans="1:3" ht="30" x14ac:dyDescent="0.2">
      <c r="A107" s="59" t="s">
        <v>153</v>
      </c>
      <c r="B107" s="33" t="s">
        <v>253</v>
      </c>
      <c r="C107" s="34">
        <f>[26]С4!F21</f>
        <v>1221.9019409821399</v>
      </c>
    </row>
    <row r="108" spans="1:3" ht="45.6" customHeight="1" x14ac:dyDescent="0.2">
      <c r="A108" s="59" t="s">
        <v>155</v>
      </c>
      <c r="B108" s="53" t="s">
        <v>156</v>
      </c>
      <c r="C108" s="85" t="str">
        <f>IF([26]С4.2!F8="да",[26]С4.2!D21,[26]С4.2!D15)</f>
        <v>АО "Новосибирскэнергосбыт"</v>
      </c>
    </row>
    <row r="109" spans="1:3" ht="68.25" customHeight="1" x14ac:dyDescent="0.2">
      <c r="A109" s="59" t="s">
        <v>157</v>
      </c>
      <c r="B109" s="53" t="s">
        <v>158</v>
      </c>
      <c r="C109" s="34">
        <f>[26]С4!F22</f>
        <v>3.6112641666666665</v>
      </c>
    </row>
    <row r="110" spans="1:3" ht="30" x14ac:dyDescent="0.2">
      <c r="A110" s="59" t="s">
        <v>159</v>
      </c>
      <c r="B110" s="58" t="s">
        <v>254</v>
      </c>
      <c r="C110" s="62">
        <f>[26]С4!F23</f>
        <v>110</v>
      </c>
    </row>
    <row r="111" spans="1:3" ht="14.25" x14ac:dyDescent="0.2">
      <c r="A111" s="59" t="s">
        <v>161</v>
      </c>
      <c r="B111" s="53" t="s">
        <v>162</v>
      </c>
      <c r="C111" s="34">
        <f>[26]С4!F24</f>
        <v>8497.1999999999989</v>
      </c>
    </row>
    <row r="112" spans="1:3" ht="14.25" x14ac:dyDescent="0.2">
      <c r="A112" s="59" t="s">
        <v>163</v>
      </c>
      <c r="B112" s="58" t="s">
        <v>164</v>
      </c>
      <c r="C112" s="40">
        <f>[26]С4!F25</f>
        <v>0.36199999999999999</v>
      </c>
    </row>
    <row r="113" spans="1:3" ht="17.25" x14ac:dyDescent="0.2">
      <c r="A113" s="59" t="s">
        <v>165</v>
      </c>
      <c r="B113" s="33" t="s">
        <v>166</v>
      </c>
      <c r="C113" s="34">
        <f>[26]С4!F26</f>
        <v>49.168300000000002</v>
      </c>
    </row>
    <row r="114" spans="1:3" ht="25.5" x14ac:dyDescent="0.2">
      <c r="A114" s="59" t="s">
        <v>167</v>
      </c>
      <c r="B114" s="53" t="s">
        <v>94</v>
      </c>
      <c r="C114" s="85">
        <f>[26]С4.3!E16</f>
        <v>0</v>
      </c>
    </row>
    <row r="115" spans="1:3" ht="25.5" x14ac:dyDescent="0.2">
      <c r="A115" s="59" t="s">
        <v>168</v>
      </c>
      <c r="B115" s="53" t="s">
        <v>169</v>
      </c>
      <c r="C115" s="34">
        <f>[26]С4.3!E17</f>
        <v>24.43</v>
      </c>
    </row>
    <row r="116" spans="1:3" ht="38.25" x14ac:dyDescent="0.2">
      <c r="A116" s="59" t="s">
        <v>170</v>
      </c>
      <c r="B116" s="53" t="s">
        <v>106</v>
      </c>
      <c r="C116" s="85">
        <f>[26]С4.3!E18</f>
        <v>0</v>
      </c>
    </row>
    <row r="117" spans="1:3" x14ac:dyDescent="0.2">
      <c r="A117" s="59" t="s">
        <v>171</v>
      </c>
      <c r="B117" s="53" t="s">
        <v>172</v>
      </c>
      <c r="C117" s="34">
        <f>[26]С4.3!E19</f>
        <v>26.98</v>
      </c>
    </row>
    <row r="118" spans="1:3" x14ac:dyDescent="0.2">
      <c r="A118" s="59" t="s">
        <v>173</v>
      </c>
      <c r="B118" s="58" t="s">
        <v>174</v>
      </c>
      <c r="C118" s="62">
        <f>[26]С4.3!E11</f>
        <v>1871</v>
      </c>
    </row>
    <row r="119" spans="1:3" x14ac:dyDescent="0.2">
      <c r="A119" s="59" t="s">
        <v>175</v>
      </c>
      <c r="B119" s="58" t="s">
        <v>176</v>
      </c>
      <c r="C119" s="52">
        <f>[26]С4.3!E12</f>
        <v>61</v>
      </c>
    </row>
    <row r="120" spans="1:3" x14ac:dyDescent="0.2">
      <c r="A120" s="59" t="s">
        <v>177</v>
      </c>
      <c r="B120" s="58" t="s">
        <v>178</v>
      </c>
      <c r="C120" s="52">
        <f>[26]С4.3!E13</f>
        <v>73</v>
      </c>
    </row>
    <row r="121" spans="1:3" ht="30" x14ac:dyDescent="0.2">
      <c r="A121" s="59" t="s">
        <v>179</v>
      </c>
      <c r="B121" s="33" t="s">
        <v>255</v>
      </c>
      <c r="C121" s="34">
        <f>[26]С4!F27</f>
        <v>904.62444244124072</v>
      </c>
    </row>
    <row r="122" spans="1:3" ht="25.5" x14ac:dyDescent="0.2">
      <c r="A122" s="59" t="s">
        <v>181</v>
      </c>
      <c r="B122" s="53" t="s">
        <v>256</v>
      </c>
      <c r="C122" s="34">
        <f>[26]С4!F28</f>
        <v>694.79603874135228</v>
      </c>
    </row>
    <row r="123" spans="1:3" ht="42.75" x14ac:dyDescent="0.2">
      <c r="A123" s="59" t="s">
        <v>183</v>
      </c>
      <c r="B123" s="53" t="s">
        <v>184</v>
      </c>
      <c r="C123" s="34">
        <f>[26]С4!F29</f>
        <v>209.82840369988838</v>
      </c>
    </row>
    <row r="124" spans="1:3" ht="30.75" thickBot="1" x14ac:dyDescent="0.25">
      <c r="A124" s="72" t="s">
        <v>185</v>
      </c>
      <c r="B124" s="90" t="s">
        <v>186</v>
      </c>
      <c r="C124" s="83">
        <f>[26]С4!F30</f>
        <v>808.57506449830123</v>
      </c>
    </row>
    <row r="125" spans="1:3" s="89" customFormat="1" ht="13.5" thickBot="1" x14ac:dyDescent="0.25">
      <c r="A125" s="47"/>
      <c r="B125" s="75"/>
      <c r="C125" s="15"/>
    </row>
    <row r="126" spans="1:3" s="63" customFormat="1" ht="30" customHeight="1" x14ac:dyDescent="0.2">
      <c r="A126" s="76" t="s">
        <v>195</v>
      </c>
      <c r="B126" s="145" t="s">
        <v>196</v>
      </c>
      <c r="C126" s="145"/>
    </row>
    <row r="127" spans="1:3" ht="30.6" customHeight="1" thickBot="1" x14ac:dyDescent="0.25">
      <c r="A127" s="27" t="s">
        <v>197</v>
      </c>
      <c r="B127" s="90" t="s">
        <v>198</v>
      </c>
      <c r="C127" s="83">
        <f>[26]С5!F17</f>
        <v>0.02</v>
      </c>
    </row>
    <row r="128" spans="1:3" s="89" customFormat="1" ht="13.5" thickBot="1" x14ac:dyDescent="0.25">
      <c r="A128" s="47"/>
      <c r="B128" s="75"/>
      <c r="C128" s="15"/>
    </row>
    <row r="129" spans="1:3" ht="42.75" customHeight="1" x14ac:dyDescent="0.2">
      <c r="A129" s="84" t="s">
        <v>199</v>
      </c>
      <c r="B129" s="145" t="s">
        <v>200</v>
      </c>
      <c r="C129" s="145"/>
    </row>
    <row r="130" spans="1:3" ht="68.25" x14ac:dyDescent="0.2">
      <c r="A130" s="59" t="s">
        <v>201</v>
      </c>
      <c r="B130" s="91" t="s">
        <v>202</v>
      </c>
      <c r="C130" s="34" t="str">
        <f>IF([26]С6.1!E11="нет",[26]С6!F13,"")</f>
        <v/>
      </c>
    </row>
    <row r="131" spans="1:3" ht="42.75" x14ac:dyDescent="0.2">
      <c r="A131" s="59" t="s">
        <v>204</v>
      </c>
      <c r="B131" s="86" t="s">
        <v>205</v>
      </c>
      <c r="C131" s="92" t="str">
        <f>IF([26]С6.1!E12="нет",[26]С6.1!E17,"")</f>
        <v/>
      </c>
    </row>
    <row r="132" spans="1:3" ht="68.25" x14ac:dyDescent="0.2">
      <c r="A132" s="59" t="s">
        <v>206</v>
      </c>
      <c r="B132" s="91" t="s">
        <v>207</v>
      </c>
      <c r="C132" s="127" t="str">
        <f>IF([26]С6.1!E18="нет",[26]С6!F19,"")</f>
        <v/>
      </c>
    </row>
    <row r="133" spans="1:3" ht="55.5" x14ac:dyDescent="0.2">
      <c r="A133" s="59" t="s">
        <v>208</v>
      </c>
      <c r="B133" s="86" t="s">
        <v>209</v>
      </c>
      <c r="C133" s="35" t="str">
        <f>IF([26]С6.1!E18="нет",[26]С6.1!E19,"")</f>
        <v/>
      </c>
    </row>
    <row r="134" spans="1:3" ht="61.5" customHeight="1" x14ac:dyDescent="0.2">
      <c r="A134" s="59" t="s">
        <v>210</v>
      </c>
      <c r="B134" s="86" t="s">
        <v>257</v>
      </c>
      <c r="C134" s="35" t="str">
        <f>IF([26]С6.1!E18="нет",[26]С6.1!E22,"")</f>
        <v/>
      </c>
    </row>
    <row r="135" spans="1:3" ht="69" thickBot="1" x14ac:dyDescent="0.25">
      <c r="A135" s="72" t="s">
        <v>212</v>
      </c>
      <c r="B135" s="98" t="s">
        <v>213</v>
      </c>
      <c r="C135" s="74" t="str">
        <f>IF([26]С6.1!E18="нет",[26]С6.1!E23,"")</f>
        <v/>
      </c>
    </row>
    <row r="136" spans="1:3" s="89" customFormat="1" ht="13.5" thickBot="1" x14ac:dyDescent="0.25">
      <c r="A136" s="47"/>
      <c r="B136" s="75"/>
      <c r="C136" s="15"/>
    </row>
    <row r="137" spans="1:3" ht="15.75" x14ac:dyDescent="0.2">
      <c r="A137" s="84" t="s">
        <v>214</v>
      </c>
      <c r="B137" s="99" t="s">
        <v>215</v>
      </c>
      <c r="C137" s="100">
        <f>[26]С2!F39</f>
        <v>21.531904799999996</v>
      </c>
    </row>
    <row r="138" spans="1:3" ht="14.25" x14ac:dyDescent="0.2">
      <c r="A138" s="59" t="s">
        <v>216</v>
      </c>
      <c r="B138" s="58" t="s">
        <v>217</v>
      </c>
      <c r="C138" s="34">
        <f>[26]С2!F40</f>
        <v>7</v>
      </c>
    </row>
    <row r="139" spans="1:3" ht="17.25" x14ac:dyDescent="0.2">
      <c r="A139" s="59" t="s">
        <v>218</v>
      </c>
      <c r="B139" s="58" t="s">
        <v>219</v>
      </c>
      <c r="C139" s="34">
        <f>[26]С2!F42</f>
        <v>0.97</v>
      </c>
    </row>
    <row r="140" spans="1:3" ht="15" thickBot="1" x14ac:dyDescent="0.25">
      <c r="A140" s="72" t="s">
        <v>220</v>
      </c>
      <c r="B140" s="73" t="s">
        <v>221</v>
      </c>
      <c r="C140" s="46">
        <f>[26]С2!F44</f>
        <v>0.36199999999999999</v>
      </c>
    </row>
    <row r="141" spans="1:3" s="89" customFormat="1" ht="13.5" thickBot="1" x14ac:dyDescent="0.25">
      <c r="A141" s="47"/>
      <c r="B141" s="75"/>
      <c r="C141" s="15"/>
    </row>
    <row r="142" spans="1:3" ht="17.25" x14ac:dyDescent="0.2">
      <c r="A142" s="84" t="s">
        <v>222</v>
      </c>
      <c r="B142" s="103" t="s">
        <v>258</v>
      </c>
      <c r="C142" s="128">
        <f>[26]С2!F37</f>
        <v>1.6598760876745948</v>
      </c>
    </row>
    <row r="143" spans="1:3" ht="17.25" customHeight="1" thickBot="1" x14ac:dyDescent="0.25">
      <c r="A143" s="72" t="s">
        <v>224</v>
      </c>
      <c r="B143" s="141" t="s">
        <v>225</v>
      </c>
      <c r="C143" s="141"/>
    </row>
    <row r="144" spans="1:3" x14ac:dyDescent="0.2">
      <c r="A144" s="105"/>
      <c r="B144" s="129" t="s">
        <v>226</v>
      </c>
      <c r="C144" s="130"/>
    </row>
    <row r="145" spans="1:3" x14ac:dyDescent="0.2">
      <c r="A145" s="105"/>
      <c r="B145" s="131">
        <v>2020</v>
      </c>
      <c r="C145" s="132">
        <f>[26]С2.5!$E$11</f>
        <v>-2.9000000000000026E-2</v>
      </c>
    </row>
    <row r="146" spans="1:3" x14ac:dyDescent="0.2">
      <c r="B146" s="131">
        <f>B145+1</f>
        <v>2021</v>
      </c>
      <c r="C146" s="133">
        <f>[26]С2.5!$F$11</f>
        <v>0.245</v>
      </c>
    </row>
    <row r="147" spans="1:3" x14ac:dyDescent="0.2">
      <c r="B147" s="131">
        <f t="shared" ref="B147:B210" si="0">B146+1</f>
        <v>2022</v>
      </c>
      <c r="C147" s="134">
        <f>[26]С2.5!$G$11</f>
        <v>0.114</v>
      </c>
    </row>
    <row r="148" spans="1:3" x14ac:dyDescent="0.2">
      <c r="B148" s="110">
        <f t="shared" si="0"/>
        <v>2023</v>
      </c>
      <c r="C148" s="135">
        <f>[26]С2.5!$H$11</f>
        <v>0.04</v>
      </c>
    </row>
    <row r="149" spans="1:3" x14ac:dyDescent="0.2">
      <c r="B149" s="110">
        <f t="shared" si="0"/>
        <v>2024</v>
      </c>
      <c r="C149" s="135">
        <f>[26]С2.5!$I$11</f>
        <v>0.11700000000000001</v>
      </c>
    </row>
    <row r="150" spans="1:3" ht="13.5" thickBot="1" x14ac:dyDescent="0.25">
      <c r="B150" s="110">
        <f t="shared" si="0"/>
        <v>2025</v>
      </c>
      <c r="C150" s="135">
        <f>[26]С2.5!$J$11</f>
        <v>6.0999999999999999E-2</v>
      </c>
    </row>
    <row r="151" spans="1:3" ht="13.5" hidden="1" thickBot="1" x14ac:dyDescent="0.25">
      <c r="B151" s="110">
        <f t="shared" si="0"/>
        <v>2026</v>
      </c>
      <c r="C151" s="135">
        <f>[26]С2.5!$K$11</f>
        <v>0</v>
      </c>
    </row>
    <row r="152" spans="1:3" ht="13.5" hidden="1" thickBot="1" x14ac:dyDescent="0.25">
      <c r="B152" s="110">
        <f t="shared" si="0"/>
        <v>2027</v>
      </c>
      <c r="C152" s="135">
        <f>[26]С2.5!$L$11</f>
        <v>0</v>
      </c>
    </row>
    <row r="153" spans="1:3" ht="13.5" hidden="1" thickBot="1" x14ac:dyDescent="0.25">
      <c r="B153" s="110">
        <f t="shared" si="0"/>
        <v>2028</v>
      </c>
      <c r="C153" s="135">
        <f>[26]С2.5!$M$11</f>
        <v>0</v>
      </c>
    </row>
    <row r="154" spans="1:3" ht="13.5" hidden="1" thickBot="1" x14ac:dyDescent="0.25">
      <c r="B154" s="110">
        <f t="shared" si="0"/>
        <v>2029</v>
      </c>
      <c r="C154" s="135">
        <f>[26]С2.5!$N$11</f>
        <v>0</v>
      </c>
    </row>
    <row r="155" spans="1:3" ht="13.5" hidden="1" thickBot="1" x14ac:dyDescent="0.25">
      <c r="B155" s="110">
        <f t="shared" si="0"/>
        <v>2030</v>
      </c>
      <c r="C155" s="135">
        <f>[26]С2.5!$O$11</f>
        <v>0</v>
      </c>
    </row>
    <row r="156" spans="1:3" ht="13.5" hidden="1" thickBot="1" x14ac:dyDescent="0.25">
      <c r="B156" s="110">
        <f t="shared" si="0"/>
        <v>2031</v>
      </c>
      <c r="C156" s="135">
        <f>[26]С2.5!$P$11</f>
        <v>0</v>
      </c>
    </row>
    <row r="157" spans="1:3" ht="13.5" hidden="1" thickBot="1" x14ac:dyDescent="0.25">
      <c r="B157" s="110">
        <f t="shared" si="0"/>
        <v>2032</v>
      </c>
      <c r="C157" s="135">
        <f>[26]С2.5!$Q$11</f>
        <v>0</v>
      </c>
    </row>
    <row r="158" spans="1:3" ht="13.5" hidden="1" thickBot="1" x14ac:dyDescent="0.25">
      <c r="B158" s="110">
        <f t="shared" si="0"/>
        <v>2033</v>
      </c>
      <c r="C158" s="135">
        <f>[26]С2.5!$R$11</f>
        <v>0</v>
      </c>
    </row>
    <row r="159" spans="1:3" ht="13.5" hidden="1" thickBot="1" x14ac:dyDescent="0.25">
      <c r="B159" s="110">
        <f t="shared" si="0"/>
        <v>2034</v>
      </c>
      <c r="C159" s="135">
        <f>[26]С2.5!$S$11</f>
        <v>0</v>
      </c>
    </row>
    <row r="160" spans="1:3" ht="13.5" hidden="1" thickBot="1" x14ac:dyDescent="0.25">
      <c r="B160" s="110">
        <f t="shared" si="0"/>
        <v>2035</v>
      </c>
      <c r="C160" s="135">
        <f>[26]С2.5!$T$11</f>
        <v>0</v>
      </c>
    </row>
    <row r="161" spans="2:3" ht="13.5" hidden="1" thickBot="1" x14ac:dyDescent="0.25">
      <c r="B161" s="110">
        <f t="shared" si="0"/>
        <v>2036</v>
      </c>
      <c r="C161" s="135">
        <f>[26]С2.5!$U$11</f>
        <v>0</v>
      </c>
    </row>
    <row r="162" spans="2:3" ht="13.5" hidden="1" thickBot="1" x14ac:dyDescent="0.25">
      <c r="B162" s="110">
        <f t="shared" si="0"/>
        <v>2037</v>
      </c>
      <c r="C162" s="135">
        <f>[26]С2.5!$V$11</f>
        <v>0</v>
      </c>
    </row>
    <row r="163" spans="2:3" ht="13.5" hidden="1" thickBot="1" x14ac:dyDescent="0.25">
      <c r="B163" s="110">
        <f t="shared" si="0"/>
        <v>2038</v>
      </c>
      <c r="C163" s="135">
        <f>[26]С2.5!$W$11</f>
        <v>0</v>
      </c>
    </row>
    <row r="164" spans="2:3" ht="13.5" hidden="1" thickBot="1" x14ac:dyDescent="0.25">
      <c r="B164" s="110">
        <f t="shared" si="0"/>
        <v>2039</v>
      </c>
      <c r="C164" s="135">
        <f>[26]С2.5!$X$11</f>
        <v>0</v>
      </c>
    </row>
    <row r="165" spans="2:3" ht="13.5" hidden="1" thickBot="1" x14ac:dyDescent="0.25">
      <c r="B165" s="110">
        <f t="shared" si="0"/>
        <v>2040</v>
      </c>
      <c r="C165" s="135">
        <f>[26]С2.5!$Y$11</f>
        <v>0</v>
      </c>
    </row>
    <row r="166" spans="2:3" ht="13.5" hidden="1" thickBot="1" x14ac:dyDescent="0.25">
      <c r="B166" s="110">
        <f t="shared" si="0"/>
        <v>2041</v>
      </c>
      <c r="C166" s="135">
        <f>[26]С2.5!$Z$11</f>
        <v>0</v>
      </c>
    </row>
    <row r="167" spans="2:3" ht="13.5" hidden="1" thickBot="1" x14ac:dyDescent="0.25">
      <c r="B167" s="110">
        <f t="shared" si="0"/>
        <v>2042</v>
      </c>
      <c r="C167" s="135">
        <f>[26]С2.5!$AA$11</f>
        <v>0</v>
      </c>
    </row>
    <row r="168" spans="2:3" ht="13.5" hidden="1" thickBot="1" x14ac:dyDescent="0.25">
      <c r="B168" s="110">
        <f t="shared" si="0"/>
        <v>2043</v>
      </c>
      <c r="C168" s="135">
        <f>[26]С2.5!$AB$11</f>
        <v>0</v>
      </c>
    </row>
    <row r="169" spans="2:3" ht="13.5" hidden="1" thickBot="1" x14ac:dyDescent="0.25">
      <c r="B169" s="110">
        <f t="shared" si="0"/>
        <v>2044</v>
      </c>
      <c r="C169" s="135">
        <f>[26]С2.5!$AC$11</f>
        <v>0</v>
      </c>
    </row>
    <row r="170" spans="2:3" ht="13.5" hidden="1" thickBot="1" x14ac:dyDescent="0.25">
      <c r="B170" s="110">
        <f t="shared" si="0"/>
        <v>2045</v>
      </c>
      <c r="C170" s="135">
        <f>[26]С2.5!$AD$11</f>
        <v>0</v>
      </c>
    </row>
    <row r="171" spans="2:3" ht="13.5" hidden="1" thickBot="1" x14ac:dyDescent="0.25">
      <c r="B171" s="110">
        <f t="shared" si="0"/>
        <v>2046</v>
      </c>
      <c r="C171" s="135">
        <f>[26]С2.5!$AE$11</f>
        <v>0</v>
      </c>
    </row>
    <row r="172" spans="2:3" ht="13.5" hidden="1" thickBot="1" x14ac:dyDescent="0.25">
      <c r="B172" s="110">
        <f t="shared" si="0"/>
        <v>2047</v>
      </c>
      <c r="C172" s="135">
        <f>[26]С2.5!$AF$11</f>
        <v>0</v>
      </c>
    </row>
    <row r="173" spans="2:3" ht="13.5" hidden="1" thickBot="1" x14ac:dyDescent="0.25">
      <c r="B173" s="110">
        <f t="shared" si="0"/>
        <v>2048</v>
      </c>
      <c r="C173" s="135">
        <f>[26]С2.5!$AG$11</f>
        <v>0</v>
      </c>
    </row>
    <row r="174" spans="2:3" ht="13.5" hidden="1" thickBot="1" x14ac:dyDescent="0.25">
      <c r="B174" s="110">
        <f t="shared" si="0"/>
        <v>2049</v>
      </c>
      <c r="C174" s="135">
        <f>[26]С2.5!$AH$11</f>
        <v>0</v>
      </c>
    </row>
    <row r="175" spans="2:3" ht="13.5" hidden="1" thickBot="1" x14ac:dyDescent="0.25">
      <c r="B175" s="110">
        <f t="shared" si="0"/>
        <v>2050</v>
      </c>
      <c r="C175" s="135">
        <f>[26]С2.5!$AI$11</f>
        <v>0</v>
      </c>
    </row>
    <row r="176" spans="2:3" ht="13.5" hidden="1" thickBot="1" x14ac:dyDescent="0.25">
      <c r="B176" s="110">
        <f t="shared" si="0"/>
        <v>2051</v>
      </c>
      <c r="C176" s="135">
        <f>[26]С2.5!$AJ$11</f>
        <v>0</v>
      </c>
    </row>
    <row r="177" spans="2:3" ht="13.5" hidden="1" thickBot="1" x14ac:dyDescent="0.25">
      <c r="B177" s="110">
        <f t="shared" si="0"/>
        <v>2052</v>
      </c>
      <c r="C177" s="135">
        <f>[26]С2.5!$AK$11</f>
        <v>0</v>
      </c>
    </row>
    <row r="178" spans="2:3" ht="13.5" hidden="1" thickBot="1" x14ac:dyDescent="0.25">
      <c r="B178" s="110">
        <f t="shared" si="0"/>
        <v>2053</v>
      </c>
      <c r="C178" s="135">
        <f>[26]С2.5!$AL$11</f>
        <v>0</v>
      </c>
    </row>
    <row r="179" spans="2:3" ht="13.5" hidden="1" thickBot="1" x14ac:dyDescent="0.25">
      <c r="B179" s="110">
        <f t="shared" si="0"/>
        <v>2054</v>
      </c>
      <c r="C179" s="135">
        <f>[26]С2.5!$AM$11</f>
        <v>0</v>
      </c>
    </row>
    <row r="180" spans="2:3" ht="13.5" hidden="1" thickBot="1" x14ac:dyDescent="0.25">
      <c r="B180" s="110">
        <f t="shared" si="0"/>
        <v>2055</v>
      </c>
      <c r="C180" s="135">
        <f>[26]С2.5!$AN$11</f>
        <v>0</v>
      </c>
    </row>
    <row r="181" spans="2:3" ht="13.5" hidden="1" thickBot="1" x14ac:dyDescent="0.25">
      <c r="B181" s="110">
        <f t="shared" si="0"/>
        <v>2056</v>
      </c>
      <c r="C181" s="135">
        <f>[26]С2.5!$AO$11</f>
        <v>0</v>
      </c>
    </row>
    <row r="182" spans="2:3" ht="13.5" hidden="1" thickBot="1" x14ac:dyDescent="0.25">
      <c r="B182" s="110">
        <f t="shared" si="0"/>
        <v>2057</v>
      </c>
      <c r="C182" s="135">
        <f>[26]С2.5!$AP$11</f>
        <v>0</v>
      </c>
    </row>
    <row r="183" spans="2:3" ht="13.5" hidden="1" thickBot="1" x14ac:dyDescent="0.25">
      <c r="B183" s="110">
        <f t="shared" si="0"/>
        <v>2058</v>
      </c>
      <c r="C183" s="135">
        <f>[26]С2.5!$AQ$11</f>
        <v>0</v>
      </c>
    </row>
    <row r="184" spans="2:3" ht="13.5" hidden="1" thickBot="1" x14ac:dyDescent="0.25">
      <c r="B184" s="110">
        <f t="shared" si="0"/>
        <v>2059</v>
      </c>
      <c r="C184" s="135">
        <f>[26]С2.5!$AR$11</f>
        <v>0</v>
      </c>
    </row>
    <row r="185" spans="2:3" ht="13.5" hidden="1" thickBot="1" x14ac:dyDescent="0.25">
      <c r="B185" s="110">
        <f t="shared" si="0"/>
        <v>2060</v>
      </c>
      <c r="C185" s="135">
        <f>[26]С2.5!$AS$11</f>
        <v>0</v>
      </c>
    </row>
    <row r="186" spans="2:3" ht="13.5" hidden="1" thickBot="1" x14ac:dyDescent="0.25">
      <c r="B186" s="110">
        <f t="shared" si="0"/>
        <v>2061</v>
      </c>
      <c r="C186" s="135">
        <f>[26]С2.5!$AT$11</f>
        <v>0</v>
      </c>
    </row>
    <row r="187" spans="2:3" ht="13.5" hidden="1" thickBot="1" x14ac:dyDescent="0.25">
      <c r="B187" s="110">
        <f t="shared" si="0"/>
        <v>2062</v>
      </c>
      <c r="C187" s="135">
        <f>[26]С2.5!$AU$11</f>
        <v>0</v>
      </c>
    </row>
    <row r="188" spans="2:3" ht="13.5" hidden="1" thickBot="1" x14ac:dyDescent="0.25">
      <c r="B188" s="110">
        <f t="shared" si="0"/>
        <v>2063</v>
      </c>
      <c r="C188" s="135">
        <f>[26]С2.5!$AV$11</f>
        <v>0</v>
      </c>
    </row>
    <row r="189" spans="2:3" ht="13.5" hidden="1" thickBot="1" x14ac:dyDescent="0.25">
      <c r="B189" s="110">
        <f t="shared" si="0"/>
        <v>2064</v>
      </c>
      <c r="C189" s="135">
        <f>[26]С2.5!$AW$11</f>
        <v>0</v>
      </c>
    </row>
    <row r="190" spans="2:3" ht="13.5" hidden="1" thickBot="1" x14ac:dyDescent="0.25">
      <c r="B190" s="110">
        <f t="shared" si="0"/>
        <v>2065</v>
      </c>
      <c r="C190" s="135">
        <f>[26]С2.5!$AX$11</f>
        <v>0</v>
      </c>
    </row>
    <row r="191" spans="2:3" ht="13.5" hidden="1" thickBot="1" x14ac:dyDescent="0.25">
      <c r="B191" s="110">
        <f t="shared" si="0"/>
        <v>2066</v>
      </c>
      <c r="C191" s="135">
        <f>[26]С2.5!$AY$11</f>
        <v>0</v>
      </c>
    </row>
    <row r="192" spans="2:3" ht="13.5" hidden="1" thickBot="1" x14ac:dyDescent="0.25">
      <c r="B192" s="110">
        <f t="shared" si="0"/>
        <v>2067</v>
      </c>
      <c r="C192" s="135">
        <f>[26]С2.5!$AZ$11</f>
        <v>0</v>
      </c>
    </row>
    <row r="193" spans="2:3" ht="13.5" hidden="1" thickBot="1" x14ac:dyDescent="0.25">
      <c r="B193" s="110">
        <f t="shared" si="0"/>
        <v>2068</v>
      </c>
      <c r="C193" s="135">
        <f>[26]С2.5!$BA$11</f>
        <v>0</v>
      </c>
    </row>
    <row r="194" spans="2:3" ht="13.5" hidden="1" thickBot="1" x14ac:dyDescent="0.25">
      <c r="B194" s="110">
        <f t="shared" si="0"/>
        <v>2069</v>
      </c>
      <c r="C194" s="135">
        <f>[26]С2.5!$BB$11</f>
        <v>0</v>
      </c>
    </row>
    <row r="195" spans="2:3" ht="13.5" hidden="1" thickBot="1" x14ac:dyDescent="0.25">
      <c r="B195" s="110">
        <f t="shared" si="0"/>
        <v>2070</v>
      </c>
      <c r="C195" s="135">
        <f>[26]С2.5!$BC$11</f>
        <v>0</v>
      </c>
    </row>
    <row r="196" spans="2:3" ht="13.5" hidden="1" thickBot="1" x14ac:dyDescent="0.25">
      <c r="B196" s="110">
        <f t="shared" si="0"/>
        <v>2071</v>
      </c>
      <c r="C196" s="135">
        <f>[26]С2.5!$BD$11</f>
        <v>0</v>
      </c>
    </row>
    <row r="197" spans="2:3" ht="13.5" hidden="1" thickBot="1" x14ac:dyDescent="0.25">
      <c r="B197" s="110">
        <f t="shared" si="0"/>
        <v>2072</v>
      </c>
      <c r="C197" s="135">
        <f>[26]С2.5!$BE$11</f>
        <v>0</v>
      </c>
    </row>
    <row r="198" spans="2:3" ht="13.5" hidden="1" thickBot="1" x14ac:dyDescent="0.25">
      <c r="B198" s="110">
        <f t="shared" si="0"/>
        <v>2073</v>
      </c>
      <c r="C198" s="135">
        <f>[26]С2.5!$BF$11</f>
        <v>0</v>
      </c>
    </row>
    <row r="199" spans="2:3" ht="13.5" hidden="1" thickBot="1" x14ac:dyDescent="0.25">
      <c r="B199" s="110">
        <f t="shared" si="0"/>
        <v>2074</v>
      </c>
      <c r="C199" s="135">
        <f>[26]С2.5!$BG$11</f>
        <v>0</v>
      </c>
    </row>
    <row r="200" spans="2:3" ht="13.5" hidden="1" thickBot="1" x14ac:dyDescent="0.25">
      <c r="B200" s="110">
        <f t="shared" si="0"/>
        <v>2075</v>
      </c>
      <c r="C200" s="135">
        <f>[26]С2.5!$BH$11</f>
        <v>0</v>
      </c>
    </row>
    <row r="201" spans="2:3" ht="13.5" hidden="1" thickBot="1" x14ac:dyDescent="0.25">
      <c r="B201" s="110">
        <f t="shared" si="0"/>
        <v>2076</v>
      </c>
      <c r="C201" s="135">
        <f>[26]С2.5!$BI$11</f>
        <v>0</v>
      </c>
    </row>
    <row r="202" spans="2:3" ht="13.5" hidden="1" thickBot="1" x14ac:dyDescent="0.25">
      <c r="B202" s="110">
        <f t="shared" si="0"/>
        <v>2077</v>
      </c>
      <c r="C202" s="135">
        <f>[26]С2.5!$BJ$11</f>
        <v>0</v>
      </c>
    </row>
    <row r="203" spans="2:3" ht="13.5" hidden="1" thickBot="1" x14ac:dyDescent="0.25">
      <c r="B203" s="110">
        <f t="shared" si="0"/>
        <v>2078</v>
      </c>
      <c r="C203" s="135">
        <f>[26]С2.5!$BK$11</f>
        <v>0</v>
      </c>
    </row>
    <row r="204" spans="2:3" ht="13.5" hidden="1" thickBot="1" x14ac:dyDescent="0.25">
      <c r="B204" s="110">
        <f t="shared" si="0"/>
        <v>2079</v>
      </c>
      <c r="C204" s="135">
        <f>[26]С2.5!$BL$11</f>
        <v>0</v>
      </c>
    </row>
    <row r="205" spans="2:3" ht="13.5" hidden="1" thickBot="1" x14ac:dyDescent="0.25">
      <c r="B205" s="110">
        <f t="shared" si="0"/>
        <v>2080</v>
      </c>
      <c r="C205" s="135">
        <f>[26]С2.5!$BM$11</f>
        <v>0</v>
      </c>
    </row>
    <row r="206" spans="2:3" ht="13.5" hidden="1" thickBot="1" x14ac:dyDescent="0.25">
      <c r="B206" s="110">
        <f t="shared" si="0"/>
        <v>2081</v>
      </c>
      <c r="C206" s="135">
        <f>[26]С2.5!$BN$11</f>
        <v>0</v>
      </c>
    </row>
    <row r="207" spans="2:3" ht="13.5" hidden="1" thickBot="1" x14ac:dyDescent="0.25">
      <c r="B207" s="110">
        <f t="shared" si="0"/>
        <v>2082</v>
      </c>
      <c r="C207" s="135">
        <f>[26]С2.5!$BO$11</f>
        <v>0</v>
      </c>
    </row>
    <row r="208" spans="2:3" ht="13.5" hidden="1" thickBot="1" x14ac:dyDescent="0.25">
      <c r="B208" s="110">
        <f t="shared" si="0"/>
        <v>2083</v>
      </c>
      <c r="C208" s="135">
        <f>[26]С2.5!$BP$11</f>
        <v>0</v>
      </c>
    </row>
    <row r="209" spans="2:3" ht="13.5" hidden="1" thickBot="1" x14ac:dyDescent="0.25">
      <c r="B209" s="110">
        <f t="shared" si="0"/>
        <v>2084</v>
      </c>
      <c r="C209" s="135">
        <f>[26]С2.5!$BQ$11</f>
        <v>0</v>
      </c>
    </row>
    <row r="210" spans="2:3" ht="13.5" hidden="1" thickBot="1" x14ac:dyDescent="0.25">
      <c r="B210" s="110">
        <f t="shared" si="0"/>
        <v>2085</v>
      </c>
      <c r="C210" s="135">
        <f>[26]С2.5!$BR$11</f>
        <v>0</v>
      </c>
    </row>
    <row r="211" spans="2:3" ht="13.5" hidden="1" thickBot="1" x14ac:dyDescent="0.25">
      <c r="B211" s="110">
        <f t="shared" ref="B211:B224" si="1">B210+1</f>
        <v>2086</v>
      </c>
      <c r="C211" s="135">
        <f>[26]С2.5!$BS$11</f>
        <v>0</v>
      </c>
    </row>
    <row r="212" spans="2:3" ht="13.5" hidden="1" thickBot="1" x14ac:dyDescent="0.25">
      <c r="B212" s="110">
        <f t="shared" si="1"/>
        <v>2087</v>
      </c>
      <c r="C212" s="135">
        <f>[26]С2.5!$BT$11</f>
        <v>0</v>
      </c>
    </row>
    <row r="213" spans="2:3" ht="13.5" hidden="1" thickBot="1" x14ac:dyDescent="0.25">
      <c r="B213" s="110">
        <f t="shared" si="1"/>
        <v>2088</v>
      </c>
      <c r="C213" s="135">
        <f>[26]С2.5!$BU$11</f>
        <v>0</v>
      </c>
    </row>
    <row r="214" spans="2:3" ht="13.5" hidden="1" thickBot="1" x14ac:dyDescent="0.25">
      <c r="B214" s="110">
        <f t="shared" si="1"/>
        <v>2089</v>
      </c>
      <c r="C214" s="135">
        <f>[26]С2.5!$BV$11</f>
        <v>0</v>
      </c>
    </row>
    <row r="215" spans="2:3" ht="13.5" hidden="1" thickBot="1" x14ac:dyDescent="0.25">
      <c r="B215" s="110">
        <f t="shared" si="1"/>
        <v>2090</v>
      </c>
      <c r="C215" s="135">
        <f>[26]С2.5!$BW$11</f>
        <v>0</v>
      </c>
    </row>
    <row r="216" spans="2:3" ht="13.5" hidden="1" thickBot="1" x14ac:dyDescent="0.25">
      <c r="B216" s="110">
        <f t="shared" si="1"/>
        <v>2091</v>
      </c>
      <c r="C216" s="135">
        <f>[26]С2.5!$BX$11</f>
        <v>0</v>
      </c>
    </row>
    <row r="217" spans="2:3" ht="13.5" hidden="1" thickBot="1" x14ac:dyDescent="0.25">
      <c r="B217" s="110">
        <f t="shared" si="1"/>
        <v>2092</v>
      </c>
      <c r="C217" s="135">
        <f>[26]С2.5!$BY$11</f>
        <v>0</v>
      </c>
    </row>
    <row r="218" spans="2:3" ht="13.5" hidden="1" thickBot="1" x14ac:dyDescent="0.25">
      <c r="B218" s="110">
        <f t="shared" si="1"/>
        <v>2093</v>
      </c>
      <c r="C218" s="135">
        <f>[26]С2.5!$BZ$11</f>
        <v>0</v>
      </c>
    </row>
    <row r="219" spans="2:3" ht="13.5" hidden="1" thickBot="1" x14ac:dyDescent="0.25">
      <c r="B219" s="110">
        <f t="shared" si="1"/>
        <v>2094</v>
      </c>
      <c r="C219" s="135">
        <f>[26]С2.5!$CA$11</f>
        <v>0</v>
      </c>
    </row>
    <row r="220" spans="2:3" ht="13.5" hidden="1" thickBot="1" x14ac:dyDescent="0.25">
      <c r="B220" s="110">
        <f t="shared" si="1"/>
        <v>2095</v>
      </c>
      <c r="C220" s="135">
        <f>[26]С2.5!$CB$11</f>
        <v>0</v>
      </c>
    </row>
    <row r="221" spans="2:3" ht="13.5" hidden="1" thickBot="1" x14ac:dyDescent="0.25">
      <c r="B221" s="110">
        <f t="shared" si="1"/>
        <v>2096</v>
      </c>
      <c r="C221" s="135">
        <f>[26]С2.5!$CC$11</f>
        <v>0</v>
      </c>
    </row>
    <row r="222" spans="2:3" ht="13.5" hidden="1" thickBot="1" x14ac:dyDescent="0.25">
      <c r="B222" s="110">
        <f t="shared" si="1"/>
        <v>2097</v>
      </c>
      <c r="C222" s="135">
        <f>[26]С2.5!$CD$11</f>
        <v>0</v>
      </c>
    </row>
    <row r="223" spans="2:3" ht="13.5" hidden="1" thickBot="1" x14ac:dyDescent="0.25">
      <c r="B223" s="110">
        <f t="shared" si="1"/>
        <v>2098</v>
      </c>
      <c r="C223" s="135">
        <f>[26]С2.5!$CE$11</f>
        <v>0</v>
      </c>
    </row>
    <row r="224" spans="2:3" ht="13.5" hidden="1" thickBot="1" x14ac:dyDescent="0.25">
      <c r="B224" s="110">
        <f t="shared" si="1"/>
        <v>2099</v>
      </c>
      <c r="C224" s="135">
        <f>[26]С2.5!$CF$11</f>
        <v>0</v>
      </c>
    </row>
    <row r="225" spans="2:3" ht="13.5" hidden="1" thickBot="1" x14ac:dyDescent="0.25">
      <c r="B225" s="112">
        <f>B162+1</f>
        <v>2038</v>
      </c>
      <c r="C225" s="136" t="e">
        <f>[26]С2.5!#REF!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21</vt:i4>
      </vt:variant>
    </vt:vector>
  </HeadingPairs>
  <TitlesOfParts>
    <vt:vector size="21" baseType="lpstr">
      <vt:lpstr>Бурмистровский</vt:lpstr>
      <vt:lpstr>Быстровский</vt:lpstr>
      <vt:lpstr>Верх-Коенский</vt:lpstr>
      <vt:lpstr>Гилевский</vt:lpstr>
      <vt:lpstr>Гусельниковский</vt:lpstr>
      <vt:lpstr>Евсинский</vt:lpstr>
      <vt:lpstr>Легостаевский</vt:lpstr>
      <vt:lpstr>Листвянский</vt:lpstr>
      <vt:lpstr>Мичуринский</vt:lpstr>
      <vt:lpstr>Морозовский</vt:lpstr>
      <vt:lpstr>Преображенкий</vt:lpstr>
      <vt:lpstr>Промышленный</vt:lpstr>
      <vt:lpstr>Совхозный газ</vt:lpstr>
      <vt:lpstr>Совхозный уголь</vt:lpstr>
      <vt:lpstr>Степной</vt:lpstr>
      <vt:lpstr>Тальменский</vt:lpstr>
      <vt:lpstr>Улыбинский</vt:lpstr>
      <vt:lpstr>Усть-Чемской</vt:lpstr>
      <vt:lpstr>Чернореченский газ</vt:lpstr>
      <vt:lpstr>Чернореченский уголь</vt:lpstr>
      <vt:lpstr>Шибковский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Ерыгина</dc:creator>
  <cp:lastModifiedBy>Тумаева</cp:lastModifiedBy>
  <dcterms:created xsi:type="dcterms:W3CDTF">2023-01-18T04:22:22Z</dcterms:created>
  <dcterms:modified xsi:type="dcterms:W3CDTF">2025-01-20T09:37:05Z</dcterms:modified>
</cp:coreProperties>
</file>