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60" windowWidth="27795" windowHeight="12090"/>
  </bookViews>
  <sheets>
    <sheet name="рп Колывань газ." sheetId="15" r:id="rId1"/>
    <sheet name="рп Колывань уголь" sheetId="3" r:id="rId2"/>
    <sheet name="Вьюнский сс" sheetId="5" r:id="rId3"/>
    <sheet name="Калининский сс" sheetId="6" r:id="rId4"/>
    <sheet name="Кандауровский сс" sheetId="7" r:id="rId5"/>
    <sheet name="Королевский сс" sheetId="8" r:id="rId6"/>
    <sheet name="Новотроицкий сс" sheetId="9" r:id="rId7"/>
    <sheet name="Новытырышкинский сс" sheetId="10" r:id="rId8"/>
    <sheet name="Пихтовский сс" sheetId="11" r:id="rId9"/>
    <sheet name="Пономаревский сс" sheetId="12" r:id="rId10"/>
    <sheet name="Сидоровский сс" sheetId="13" r:id="rId11"/>
    <sheet name="Скалинский сс" sheetId="2" r:id="rId12"/>
    <sheet name="Соколовский сс" sheetId="14"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5" i="15" l="1"/>
  <c r="C224" i="15"/>
  <c r="C223" i="15"/>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B146" i="15"/>
  <c r="B147" i="15" s="1"/>
  <c r="B148" i="15" s="1"/>
  <c r="B149" i="15" s="1"/>
  <c r="B150" i="15" s="1"/>
  <c r="B151" i="15" s="1"/>
  <c r="B152" i="15" s="1"/>
  <c r="B153" i="15" s="1"/>
  <c r="B154" i="15" s="1"/>
  <c r="B155" i="15" s="1"/>
  <c r="B156" i="15" s="1"/>
  <c r="B157" i="15" s="1"/>
  <c r="B158" i="15" s="1"/>
  <c r="B159" i="15" s="1"/>
  <c r="B160" i="15" s="1"/>
  <c r="B161" i="15" s="1"/>
  <c r="B162" i="15" s="1"/>
  <c r="C145" i="15"/>
  <c r="C142" i="15"/>
  <c r="C140" i="15"/>
  <c r="C139" i="15"/>
  <c r="C138" i="15"/>
  <c r="C137" i="15"/>
  <c r="C135" i="15"/>
  <c r="C134" i="15"/>
  <c r="C133" i="15"/>
  <c r="C132" i="15"/>
  <c r="C131" i="15"/>
  <c r="C130" i="15"/>
  <c r="C127" i="15"/>
  <c r="C124" i="15"/>
  <c r="C123" i="15"/>
  <c r="C122" i="15"/>
  <c r="C121" i="15"/>
  <c r="C120" i="15"/>
  <c r="C119" i="15"/>
  <c r="C118" i="15"/>
  <c r="C117" i="15"/>
  <c r="C116" i="15"/>
  <c r="C115" i="15"/>
  <c r="C114" i="15"/>
  <c r="C113" i="15"/>
  <c r="C112" i="15"/>
  <c r="C111" i="15"/>
  <c r="C110" i="15"/>
  <c r="C109" i="15"/>
  <c r="C108" i="15"/>
  <c r="C107" i="15"/>
  <c r="C106" i="15"/>
  <c r="C105" i="15"/>
  <c r="C104" i="15"/>
  <c r="C103" i="15"/>
  <c r="C102" i="15"/>
  <c r="C99" i="15"/>
  <c r="C98" i="15"/>
  <c r="C97" i="15"/>
  <c r="C96" i="15"/>
  <c r="C95" i="15"/>
  <c r="C94" i="15"/>
  <c r="C93" i="15"/>
  <c r="C92" i="15"/>
  <c r="C91" i="15"/>
  <c r="C88" i="15"/>
  <c r="C87" i="15"/>
  <c r="C86" i="15"/>
  <c r="C85" i="15"/>
  <c r="C84" i="15"/>
  <c r="C83"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3" i="15"/>
  <c r="C42" i="15"/>
  <c r="C41" i="15"/>
  <c r="C40" i="15"/>
  <c r="C39" i="15"/>
  <c r="C38" i="15"/>
  <c r="C37" i="15"/>
  <c r="C36" i="15"/>
  <c r="C35" i="15"/>
  <c r="C34" i="15"/>
  <c r="B34" i="15"/>
  <c r="C33" i="15"/>
  <c r="B33" i="15"/>
  <c r="C32" i="15"/>
  <c r="B32" i="15"/>
  <c r="C31" i="15"/>
  <c r="B31" i="15"/>
  <c r="C30" i="15"/>
  <c r="C29" i="15"/>
  <c r="C28" i="15"/>
  <c r="C23" i="15"/>
  <c r="C22" i="15"/>
  <c r="C21" i="15"/>
  <c r="C20" i="15"/>
  <c r="C19" i="15"/>
  <c r="C18" i="15"/>
  <c r="C17" i="15"/>
  <c r="C13" i="15"/>
  <c r="B13" i="15"/>
  <c r="C12" i="15"/>
  <c r="B12" i="15"/>
  <c r="C11" i="15"/>
  <c r="B11" i="15"/>
  <c r="C10" i="15"/>
  <c r="B10" i="15"/>
  <c r="C9" i="15"/>
  <c r="B9" i="15"/>
  <c r="C8" i="15"/>
  <c r="B8" i="15"/>
  <c r="C7" i="15"/>
  <c r="B7" i="15"/>
  <c r="C6" i="15"/>
  <c r="B6" i="15"/>
  <c r="C5" i="15"/>
  <c r="B5" i="15"/>
  <c r="C4" i="15"/>
  <c r="B4" i="15"/>
  <c r="C2" i="15"/>
  <c r="B225" i="15" l="1"/>
  <c r="B163" i="15"/>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B224" i="15" s="1"/>
  <c r="C225" i="14" l="1"/>
  <c r="C224" i="14"/>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B146" i="14"/>
  <c r="B147" i="14" s="1"/>
  <c r="B148" i="14" s="1"/>
  <c r="B149" i="14" s="1"/>
  <c r="B150" i="14" s="1"/>
  <c r="B151" i="14" s="1"/>
  <c r="B152" i="14" s="1"/>
  <c r="B153" i="14" s="1"/>
  <c r="B154" i="14" s="1"/>
  <c r="B155" i="14" s="1"/>
  <c r="B156" i="14" s="1"/>
  <c r="B157" i="14" s="1"/>
  <c r="B158" i="14" s="1"/>
  <c r="B159" i="14" s="1"/>
  <c r="B160" i="14" s="1"/>
  <c r="B161" i="14" s="1"/>
  <c r="B162" i="14" s="1"/>
  <c r="C145" i="14"/>
  <c r="C142" i="14"/>
  <c r="C140" i="14"/>
  <c r="C139" i="14"/>
  <c r="C138" i="14"/>
  <c r="C137" i="14"/>
  <c r="C135" i="14"/>
  <c r="C134" i="14"/>
  <c r="C133" i="14"/>
  <c r="C132" i="14"/>
  <c r="C131" i="14"/>
  <c r="C130" i="14"/>
  <c r="C127" i="14"/>
  <c r="C124" i="14"/>
  <c r="C123" i="14"/>
  <c r="C122" i="14"/>
  <c r="C121" i="14"/>
  <c r="C120" i="14"/>
  <c r="C119" i="14"/>
  <c r="C118" i="14"/>
  <c r="C117" i="14"/>
  <c r="C116" i="14"/>
  <c r="C115" i="14"/>
  <c r="C114" i="14"/>
  <c r="C113" i="14"/>
  <c r="C112" i="14"/>
  <c r="C111" i="14"/>
  <c r="C110" i="14"/>
  <c r="C109" i="14"/>
  <c r="C108" i="14"/>
  <c r="C107" i="14"/>
  <c r="C106" i="14"/>
  <c r="C105" i="14"/>
  <c r="C104" i="14"/>
  <c r="C103" i="14"/>
  <c r="C102" i="14"/>
  <c r="C99" i="14"/>
  <c r="C98" i="14"/>
  <c r="C97" i="14"/>
  <c r="C96" i="14"/>
  <c r="C95" i="14"/>
  <c r="C94" i="14"/>
  <c r="C93" i="14"/>
  <c r="C92" i="14"/>
  <c r="C91" i="14"/>
  <c r="C88" i="14"/>
  <c r="C87" i="14"/>
  <c r="C86" i="14"/>
  <c r="C85" i="14"/>
  <c r="C84" i="14"/>
  <c r="C83"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3" i="14"/>
  <c r="C42" i="14"/>
  <c r="C41" i="14"/>
  <c r="C40" i="14"/>
  <c r="C39" i="14"/>
  <c r="C38" i="14"/>
  <c r="C37" i="14"/>
  <c r="C36" i="14"/>
  <c r="C35" i="14"/>
  <c r="C34" i="14"/>
  <c r="B34" i="14"/>
  <c r="C33" i="14"/>
  <c r="B33" i="14"/>
  <c r="C32" i="14"/>
  <c r="B32" i="14"/>
  <c r="C31" i="14"/>
  <c r="B31" i="14"/>
  <c r="C30" i="14"/>
  <c r="C29" i="14"/>
  <c r="C28" i="14"/>
  <c r="C23" i="14"/>
  <c r="C22" i="14"/>
  <c r="C21" i="14"/>
  <c r="C20" i="14"/>
  <c r="C19" i="14"/>
  <c r="C18" i="14"/>
  <c r="C17" i="14"/>
  <c r="C13" i="14"/>
  <c r="B13" i="14"/>
  <c r="C12" i="14"/>
  <c r="B12" i="14"/>
  <c r="C11" i="14"/>
  <c r="B11" i="14"/>
  <c r="C10" i="14"/>
  <c r="B10" i="14"/>
  <c r="C9" i="14"/>
  <c r="B9" i="14"/>
  <c r="C8" i="14"/>
  <c r="B8" i="14"/>
  <c r="C7" i="14"/>
  <c r="B7" i="14"/>
  <c r="C6" i="14"/>
  <c r="B6" i="14"/>
  <c r="C5" i="14"/>
  <c r="B5" i="14"/>
  <c r="C4" i="14"/>
  <c r="B4" i="14"/>
  <c r="C2" i="14"/>
  <c r="B225" i="14" l="1"/>
  <c r="B163" i="14"/>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B224" i="14" s="1"/>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7" i="13" s="1"/>
  <c r="C13" i="13"/>
  <c r="B13" i="13"/>
  <c r="C12" i="13"/>
  <c r="B12" i="13"/>
  <c r="C11" i="13"/>
  <c r="B11" i="13"/>
  <c r="C10" i="13"/>
  <c r="B10" i="13"/>
  <c r="C9" i="13"/>
  <c r="B9" i="13"/>
  <c r="C8" i="13"/>
  <c r="B8" i="13"/>
  <c r="C7" i="13"/>
  <c r="B7" i="13"/>
  <c r="C6" i="13"/>
  <c r="B6" i="13"/>
  <c r="C5" i="13"/>
  <c r="B5" i="13"/>
  <c r="C4" i="13"/>
  <c r="B4" i="13"/>
  <c r="C2"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7" i="12" s="1"/>
  <c r="C13" i="12"/>
  <c r="B13" i="12"/>
  <c r="C12" i="12"/>
  <c r="B12" i="12"/>
  <c r="C11" i="12"/>
  <c r="B11" i="12"/>
  <c r="C10" i="12"/>
  <c r="B10" i="12"/>
  <c r="C9" i="12"/>
  <c r="B9" i="12"/>
  <c r="C8" i="12"/>
  <c r="B8" i="12"/>
  <c r="C7" i="12"/>
  <c r="B7" i="12"/>
  <c r="C6" i="12"/>
  <c r="B6" i="12"/>
  <c r="C5" i="12"/>
  <c r="B5" i="12"/>
  <c r="C4" i="12"/>
  <c r="B4" i="12"/>
  <c r="C2" i="12"/>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7" i="11" s="1"/>
  <c r="C13" i="11"/>
  <c r="B13" i="11"/>
  <c r="C12" i="11"/>
  <c r="B12" i="11"/>
  <c r="C11" i="11"/>
  <c r="B11" i="11"/>
  <c r="C10" i="11"/>
  <c r="B10" i="11"/>
  <c r="C9" i="11"/>
  <c r="B9" i="11"/>
  <c r="C8" i="11"/>
  <c r="B8" i="11"/>
  <c r="C7" i="11"/>
  <c r="B7" i="11"/>
  <c r="C6" i="11"/>
  <c r="B6" i="11"/>
  <c r="C5" i="11"/>
  <c r="B5" i="11"/>
  <c r="C4" i="11"/>
  <c r="B4" i="11"/>
  <c r="C2" i="1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7" i="10" s="1"/>
  <c r="C13" i="10"/>
  <c r="B13" i="10"/>
  <c r="C12" i="10"/>
  <c r="B12" i="10"/>
  <c r="C11" i="10"/>
  <c r="B11" i="10"/>
  <c r="C10" i="10"/>
  <c r="B10" i="10"/>
  <c r="C9" i="10"/>
  <c r="B9" i="10"/>
  <c r="C8" i="10"/>
  <c r="B8" i="10"/>
  <c r="C7" i="10"/>
  <c r="B7" i="10"/>
  <c r="C6" i="10"/>
  <c r="B6" i="10"/>
  <c r="C5" i="10"/>
  <c r="B5" i="10"/>
  <c r="C4" i="10"/>
  <c r="B4" i="10"/>
  <c r="C2" i="10"/>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7" i="9" s="1"/>
  <c r="C13" i="9"/>
  <c r="B13" i="9"/>
  <c r="C12" i="9"/>
  <c r="B12" i="9"/>
  <c r="C11" i="9"/>
  <c r="B11" i="9"/>
  <c r="C10" i="9"/>
  <c r="B10" i="9"/>
  <c r="C9" i="9"/>
  <c r="B9" i="9"/>
  <c r="C8" i="9"/>
  <c r="B8" i="9"/>
  <c r="C7" i="9"/>
  <c r="B7" i="9"/>
  <c r="C6" i="9"/>
  <c r="B6" i="9"/>
  <c r="C5" i="9"/>
  <c r="B5" i="9"/>
  <c r="C4" i="9"/>
  <c r="B4" i="9"/>
  <c r="C2" i="9"/>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7" i="8" s="1"/>
  <c r="C13" i="8"/>
  <c r="B13" i="8"/>
  <c r="C12" i="8"/>
  <c r="B12" i="8"/>
  <c r="C11" i="8"/>
  <c r="B11" i="8"/>
  <c r="C10" i="8"/>
  <c r="B10" i="8"/>
  <c r="C9" i="8"/>
  <c r="B9" i="8"/>
  <c r="C8" i="8"/>
  <c r="B8" i="8"/>
  <c r="C7" i="8"/>
  <c r="B7" i="8"/>
  <c r="C6" i="8"/>
  <c r="B6" i="8"/>
  <c r="C5" i="8"/>
  <c r="B5" i="8"/>
  <c r="C4" i="8"/>
  <c r="B4" i="8"/>
  <c r="C2" i="8"/>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7" i="7" s="1"/>
  <c r="C13" i="7"/>
  <c r="B13" i="7"/>
  <c r="C12" i="7"/>
  <c r="B12" i="7"/>
  <c r="C11" i="7"/>
  <c r="B11" i="7"/>
  <c r="C10" i="7"/>
  <c r="B10" i="7"/>
  <c r="C9" i="7"/>
  <c r="B9" i="7"/>
  <c r="C8" i="7"/>
  <c r="B8" i="7"/>
  <c r="C7" i="7"/>
  <c r="B7" i="7"/>
  <c r="C6" i="7"/>
  <c r="B6" i="7"/>
  <c r="C5" i="7"/>
  <c r="B5" i="7"/>
  <c r="C4" i="7"/>
  <c r="B4" i="7"/>
  <c r="C2" i="7"/>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7" i="6" s="1"/>
  <c r="C13" i="6"/>
  <c r="B13" i="6"/>
  <c r="C12" i="6"/>
  <c r="B12" i="6"/>
  <c r="C11" i="6"/>
  <c r="B11" i="6"/>
  <c r="C10" i="6"/>
  <c r="B10" i="6"/>
  <c r="C9" i="6"/>
  <c r="B9" i="6"/>
  <c r="C8" i="6"/>
  <c r="B8" i="6"/>
  <c r="C7" i="6"/>
  <c r="B7" i="6"/>
  <c r="C6" i="6"/>
  <c r="B6" i="6"/>
  <c r="C5" i="6"/>
  <c r="B5" i="6"/>
  <c r="C4" i="6"/>
  <c r="B4" i="6"/>
  <c r="C2"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7" i="5" s="1"/>
  <c r="C13" i="5"/>
  <c r="B13" i="5"/>
  <c r="C12" i="5"/>
  <c r="B12" i="5"/>
  <c r="C11" i="5"/>
  <c r="B11" i="5"/>
  <c r="C10" i="5"/>
  <c r="B10" i="5"/>
  <c r="C9" i="5"/>
  <c r="B9" i="5"/>
  <c r="C8" i="5"/>
  <c r="B8" i="5"/>
  <c r="C7" i="5"/>
  <c r="B7" i="5"/>
  <c r="C6" i="5"/>
  <c r="B6" i="5"/>
  <c r="C5" i="5"/>
  <c r="B5" i="5"/>
  <c r="C4" i="5"/>
  <c r="B4" i="5"/>
  <c r="C2" i="5"/>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B144" i="3"/>
  <c r="B145" i="3" s="1"/>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7" i="3" s="1"/>
  <c r="C13" i="3"/>
  <c r="B13" i="3"/>
  <c r="C12" i="3"/>
  <c r="B12" i="3"/>
  <c r="C11" i="3"/>
  <c r="B11" i="3"/>
  <c r="C10" i="3"/>
  <c r="B10" i="3"/>
  <c r="C9" i="3"/>
  <c r="B9" i="3"/>
  <c r="C8" i="3"/>
  <c r="B8" i="3"/>
  <c r="C7" i="3"/>
  <c r="B7" i="3"/>
  <c r="C6" i="3"/>
  <c r="B6" i="3"/>
  <c r="C5" i="3"/>
  <c r="B5" i="3"/>
  <c r="C4" i="3"/>
  <c r="B4" i="3"/>
  <c r="C2" i="3"/>
  <c r="C225" i="2" l="1"/>
  <c r="C224" i="2"/>
  <c r="C223" i="2"/>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B146" i="2"/>
  <c r="B147" i="2" s="1"/>
  <c r="B148" i="2" s="1"/>
  <c r="B149" i="2" s="1"/>
  <c r="B150" i="2" s="1"/>
  <c r="B151" i="2" s="1"/>
  <c r="B152" i="2" s="1"/>
  <c r="B153" i="2" s="1"/>
  <c r="B154" i="2" s="1"/>
  <c r="B155" i="2" s="1"/>
  <c r="B156" i="2" s="1"/>
  <c r="B157" i="2" s="1"/>
  <c r="B158" i="2" s="1"/>
  <c r="B159" i="2" s="1"/>
  <c r="B160" i="2" s="1"/>
  <c r="B161" i="2" s="1"/>
  <c r="B162" i="2" s="1"/>
  <c r="C145" i="2"/>
  <c r="C142" i="2"/>
  <c r="C140" i="2"/>
  <c r="C139" i="2"/>
  <c r="C138" i="2"/>
  <c r="C137" i="2"/>
  <c r="C135" i="2"/>
  <c r="C134" i="2"/>
  <c r="C133" i="2"/>
  <c r="C132" i="2"/>
  <c r="C131" i="2"/>
  <c r="C130" i="2"/>
  <c r="C127" i="2"/>
  <c r="C124" i="2"/>
  <c r="C123" i="2"/>
  <c r="C122" i="2"/>
  <c r="C121" i="2"/>
  <c r="C120" i="2"/>
  <c r="C119" i="2"/>
  <c r="C118" i="2"/>
  <c r="C117" i="2"/>
  <c r="C116" i="2"/>
  <c r="C115" i="2"/>
  <c r="C114" i="2"/>
  <c r="C113" i="2"/>
  <c r="C112" i="2"/>
  <c r="C111" i="2"/>
  <c r="C110" i="2"/>
  <c r="C109" i="2"/>
  <c r="C108" i="2"/>
  <c r="C107" i="2"/>
  <c r="C106" i="2"/>
  <c r="C105" i="2"/>
  <c r="C104" i="2"/>
  <c r="C103" i="2"/>
  <c r="C102" i="2"/>
  <c r="C99" i="2"/>
  <c r="C98" i="2"/>
  <c r="C97" i="2"/>
  <c r="C96" i="2"/>
  <c r="C95" i="2"/>
  <c r="C94" i="2"/>
  <c r="C93" i="2"/>
  <c r="C92" i="2"/>
  <c r="C91" i="2"/>
  <c r="C88" i="2"/>
  <c r="C87" i="2"/>
  <c r="C86" i="2"/>
  <c r="C85" i="2"/>
  <c r="C84" i="2"/>
  <c r="C83"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3" i="2"/>
  <c r="C42" i="2"/>
  <c r="C41" i="2"/>
  <c r="C40" i="2"/>
  <c r="C39" i="2"/>
  <c r="C38" i="2"/>
  <c r="C37" i="2"/>
  <c r="C36" i="2"/>
  <c r="C35" i="2"/>
  <c r="C34" i="2"/>
  <c r="B34" i="2"/>
  <c r="C33" i="2"/>
  <c r="B33" i="2"/>
  <c r="C32" i="2"/>
  <c r="B32" i="2"/>
  <c r="C31" i="2"/>
  <c r="B31" i="2"/>
  <c r="C30" i="2"/>
  <c r="C29" i="2"/>
  <c r="C28" i="2"/>
  <c r="C23" i="2"/>
  <c r="C22" i="2"/>
  <c r="C21" i="2"/>
  <c r="C20" i="2"/>
  <c r="C19" i="2"/>
  <c r="C18" i="2"/>
  <c r="C13" i="2"/>
  <c r="B13" i="2"/>
  <c r="C12" i="2"/>
  <c r="B12" i="2"/>
  <c r="C11" i="2"/>
  <c r="B11" i="2"/>
  <c r="C10" i="2"/>
  <c r="B10" i="2"/>
  <c r="C9" i="2"/>
  <c r="B9" i="2"/>
  <c r="C8" i="2"/>
  <c r="B8" i="2"/>
  <c r="C7" i="2"/>
  <c r="B7" i="2"/>
  <c r="C6" i="2"/>
  <c r="B6" i="2"/>
  <c r="C5" i="2"/>
  <c r="B5" i="2"/>
  <c r="C4" i="2"/>
  <c r="B4" i="2"/>
  <c r="C2" i="2"/>
  <c r="C17" i="2" l="1"/>
  <c r="B225" i="2"/>
  <c r="B163" i="2"/>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B224" i="2" s="1"/>
</calcChain>
</file>

<file path=xl/sharedStrings.xml><?xml version="1.0" encoding="utf-8"?>
<sst xmlns="http://schemas.openxmlformats.org/spreadsheetml/2006/main" count="3127" uniqueCount="259">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</sst>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
    <numFmt numFmtId="165" formatCode="#,##0.000"/>
    <numFmt numFmtId="166" formatCode="0.000"/>
    <numFmt numFmtId="167" formatCode="0.0%"/>
    <numFmt numFmtId="168" formatCode="[$-409]mmm\-yy;@"/>
    <numFmt numFmtId="169" formatCode="&quot;$&quot;#,##0.0,,&quot;M&quot;_);[Red]\(&quot;$&quot;#,##0.0,,&quot;M&quot;\)"/>
    <numFmt numFmtId="170" formatCode="0.0%_);\(0.0%\)"/>
    <numFmt numFmtId="171" formatCode="_-[$$-1009]* #,##0.00_-;\-[$$-1009]* #,##0.00_-;_-[$$-1009]* &quot;-&quot;??_-;_-@_-"/>
    <numFmt numFmtId="172" formatCode="#,##0.0_);\(#,##0.0\)"/>
    <numFmt numFmtId="173" formatCode="\t0.00%"/>
    <numFmt numFmtId="174" formatCode="#,##0.0;\(#,##0.0\);\-"/>
    <numFmt numFmtId="175" formatCode="#,##0_);[Red]\(#,##0\)"/>
    <numFmt numFmtId="176" formatCode="#,##0.0_);[Red]\(#,##0.0\)"/>
    <numFmt numFmtId="177" formatCode="\t#\ ??/??"/>
    <numFmt numFmtId="178" formatCode="_-* #,##0.00[$€-1]_-;\-* #,##0.00[$€-1]_-;_-* &quot;-&quot;??[$€-1]_-"/>
    <numFmt numFmtId="179" formatCode="[$-419]mmmm\ yyyy;@"/>
    <numFmt numFmtId="180" formatCode="[Magenta]\ &quot;Ошибка&quot;;[Magenta]\ &quot;Ошибка&quot;;[Blue]\ &quot;OK&quot;"/>
    <numFmt numFmtId="181" formatCode="#.##0\.00"/>
    <numFmt numFmtId="182" formatCode="#\.00"/>
    <numFmt numFmtId="183" formatCode="_-* #,##0.00&quot;р.&quot;_-;\-* #,##0.00&quot;р.&quot;_-;_-* &quot;-&quot;??&quot;р.&quot;_-;_-@_-"/>
    <numFmt numFmtId="184" formatCode="\$#\.00"/>
    <numFmt numFmtId="185" formatCode="\£\ #,##0_);[Red]\(\£\ #,##0\)"/>
    <numFmt numFmtId="186" formatCode="\¥\ #,##0_);[Red]\(\¥\ #,##0\)"/>
    <numFmt numFmtId="187" formatCode="#\."/>
    <numFmt numFmtId="188" formatCode="_-* #,##0\ &quot;руб&quot;_-;\-* #,##0\ &quot;руб&quot;_-;_-* &quot;-&quot;\ &quot;руб&quot;_-;_-@_-"/>
    <numFmt numFmtId="189" formatCode="@\ *."/>
    <numFmt numFmtId="190" formatCode="0.0"/>
    <numFmt numFmtId="191" formatCode="#,##0.0;\(#,##0.0\)"/>
    <numFmt numFmtId="192" formatCode="#,##0.00;\(#,##0.00\)"/>
    <numFmt numFmtId="193" formatCode="000000"/>
    <numFmt numFmtId="194" formatCode="_(&quot;$&quot;* #,##0_);_(&quot;$&quot;* \(#,##0\);_(&quot;$&quot;* &quot;-&quot;_);_(@_)"/>
    <numFmt numFmtId="195" formatCode="_(&quot;$&quot;* #,##0.00_);_(&quot;$&quot;* \(#,##0.00\);_(&quot;$&quot;* &quot;-&quot;??_);_(@_)"/>
    <numFmt numFmtId="196" formatCode="###\ ##\ ##"/>
    <numFmt numFmtId="197" formatCode="0_);\(0\)"/>
    <numFmt numFmtId="198" formatCode="_(* #,##0_);_(* \(#,##0\);_(* &quot;-&quot;??_);_(@_)"/>
    <numFmt numFmtId="199" formatCode="#,##0;[Red]#,##0"/>
    <numFmt numFmtId="200" formatCode="&quot;\&quot;#,##0;[Red]\-&quot;\&quot;#,##0"/>
    <numFmt numFmtId="201" formatCode="General_)"/>
    <numFmt numFmtId="202" formatCode="_-* #,##0&quot;đ.&quot;_-;\-* #,##0&quot;đ.&quot;_-;_-* &quot;-&quot;&quot;đ.&quot;_-;_-@_-"/>
    <numFmt numFmtId="203" formatCode="_-* #,##0.00&quot;đ.&quot;_-;\-* #,##0.00&quot;đ.&quot;_-;_-* &quot;-&quot;??&quot;đ.&quot;_-;_-@_-"/>
    <numFmt numFmtId="204" formatCode="0.0_)"/>
    <numFmt numFmtId="205" formatCode="#,##0_);[Red]\(#,##0\);&quot;-  &quot;"/>
    <numFmt numFmtId="206" formatCode="#,##0.00;[Red]\-#,##0.00;\-;@"/>
    <numFmt numFmtId="207" formatCode="#,##0_)\ \ ;[Red]\(#,##0\)\ \ "/>
    <numFmt numFmtId="208" formatCode="\£#,##0_);\(\£#,##0\)"/>
    <numFmt numFmtId="209" formatCode="_(* #,##0_);_(* \(#,##0\);_(* &quot;-&quot;_);_(@_)"/>
    <numFmt numFmtId="210" formatCode="#,##0;\-#,##0;&quot;-&quot;"/>
    <numFmt numFmtId="211" formatCode="_ * #,##0.00_ ;_ * \-#,##0.00_ ;_ * &quot;-&quot;??_ ;_ @_ "/>
    <numFmt numFmtId="212" formatCode="#,##0.00;\-#,##0.00;&quot;-&quot;"/>
    <numFmt numFmtId="213" formatCode="#,##0.00;[Red]\(#,##0.00\)"/>
    <numFmt numFmtId="214" formatCode="&quot;$&quot;#,##0.0_);[Red]\(&quot;$&quot;#,##0.0\)"/>
    <numFmt numFmtId="215" formatCode="#,##0%;\-#,##0%;&quot;- &quot;"/>
    <numFmt numFmtId="216" formatCode="#,##0.000;[Red]\(#,##0.000\)"/>
    <numFmt numFmtId="217" formatCode="#\ ##0_.\ &quot;zі&quot;\ 00\ &quot;gr&quot;;\(#\ ##0.00\z\і\)"/>
    <numFmt numFmtId="218" formatCode="#,##0.0%;\-#,##0.0%;&quot;- &quot;"/>
    <numFmt numFmtId="219" formatCode="#,##0.0000;[Red]\(#,##0.0000\)"/>
    <numFmt numFmtId="220" formatCode="#\ ##0&quot;zі&quot;00&quot;gr&quot;;\(#\ ##0.00\z\і\)"/>
    <numFmt numFmtId="221" formatCode="#,##0.00%;\-#,##0.00%;&quot;- &quot;"/>
    <numFmt numFmtId="222" formatCode="mmmm\-yy"/>
    <numFmt numFmtId="223" formatCode="_-&quot;$&quot;* #,##0.00_-;\-&quot;$&quot;* #,##0.00_-;_-&quot;$&quot;* &quot;-&quot;??_-;_-@_-"/>
    <numFmt numFmtId="224" formatCode="0.0%;\(0.0%\)"/>
    <numFmt numFmtId="225" formatCode="#,##0.0;\-#,##0.0;&quot;-&quot;"/>
    <numFmt numFmtId="226" formatCode="#,##0.0000_);\(#,##0.0000\)"/>
    <numFmt numFmtId="227" formatCode="&quot;$&quot;#,##0.0;[Red]\(&quot;$&quot;#,##0.0\)"/>
    <numFmt numFmtId="228" formatCode="_-* #,##0_р_._-;\-* #,##0_р_._-;_-* &quot;-&quot;_р_._-;_-@_-"/>
    <numFmt numFmtId="229" formatCode="0000"/>
    <numFmt numFmtId="230" formatCode="0.000_)"/>
    <numFmt numFmtId="231" formatCode="0.0000%"/>
    <numFmt numFmtId="232" formatCode="##,#0_;\(#,##0\);&quot;-&quot;??_);@"/>
    <numFmt numFmtId="233" formatCode="*(#,##0\);*#\,##0_);&quot;-&quot;??_);@"/>
    <numFmt numFmtId="234" formatCode="_*\(#,##0\);_*#,##0_);&quot;-&quot;??_);@"/>
    <numFmt numFmtId="235" formatCode="_-* #,##0.00_р_._-;\-* #,##0.00_р_._-;_-* &quot;-&quot;??_р_._-;_-@_-"/>
    <numFmt numFmtId="236" formatCode="_-* #,##0.00\ _F_-;\-* #,##0.00\ _F_-;_-* \-??\ _F_-;_-@_-"/>
    <numFmt numFmtId="237" formatCode="_-* #,##0.00_-;\-* #,##0.00_-;_-* &quot;-&quot;??_-;_-@_-"/>
    <numFmt numFmtId="238" formatCode="_(* #,##0.00_);_(* \(#,##0.00\);_(* &quot;-&quot;??_);_(@_)"/>
    <numFmt numFmtId="239" formatCode="#,##0.0;[Red]\(#,##0.0\)"/>
    <numFmt numFmtId="240" formatCode="#,##0;[Red]\(#,##0\)"/>
    <numFmt numFmtId="241" formatCode="_-* #,##0&quot;р.&quot;_-;\-* #,##0&quot;р.&quot;_-;_-* &quot;-&quot;&quot;р.&quot;_-;_-@_-"/>
    <numFmt numFmtId="242" formatCode="_(* #,##0.0_);_(* \(#,##0.0\);_(* &quot;-&quot;?_);_(@_)"/>
    <numFmt numFmtId="243" formatCode="* \(#,##0\);* #,##0_);&quot;-&quot;??_);@"/>
    <numFmt numFmtId="244" formatCode="0.00_);\(0.00\);0.00"/>
    <numFmt numFmtId="245" formatCode="&quot;$&quot;#,##0_);[Red]\(&quot;$&quot;#,##0\)"/>
    <numFmt numFmtId="246" formatCode="_(* #,##0.00_);[Red]_(* \(#,##0.00\);_(* &quot;-&quot;??_);_(@_)"/>
    <numFmt numFmtId="247" formatCode="_(&quot;$&quot;* #,##0.00_);_(&quot;$&quot;* \(#,##0.00\);@_)"/>
    <numFmt numFmtId="248" formatCode="_(&quot;$&quot;* #,##0.000_);_(&quot;$&quot;* \(#,##0.000\);@_)"/>
    <numFmt numFmtId="249" formatCode="#,##0_);\(#,##0\);&quot;-&quot;??_);@"/>
    <numFmt numFmtId="250" formatCode="* #,##0_);* \(#,##0\);&quot;-&quot;??_);@"/>
    <numFmt numFmtId="251" formatCode="&quot;$&quot;#,##0.00_);\(&quot;$&quot;#,##0.00\)"/>
    <numFmt numFmtId="252" formatCode="&quot;$&quot;#,##0_);\(&quot;$&quot;#,##0\)"/>
    <numFmt numFmtId="253" formatCode="\$#,##0\ ;\(\$#,##0\)"/>
    <numFmt numFmtId="254" formatCode="&quot;$&quot;#,##0\ ;\(&quot;$&quot;#,##0\)"/>
    <numFmt numFmtId="255" formatCode="\$#,##0.0000\ ;\(\$#,##0.0000\)"/>
    <numFmt numFmtId="256" formatCode="dd\.mm\.yyyy&quot;г.&quot;"/>
    <numFmt numFmtId="257" formatCode="dd\ mmm\ yyyy"/>
    <numFmt numFmtId="258" formatCode="dd\ mmm\ yyyy_);;;&quot;  &quot;@"/>
    <numFmt numFmtId="259" formatCode="m/d/yy\ h:mm"/>
    <numFmt numFmtId="260" formatCode="#,##0.00;[Red]\(#,##0.00\);\-"/>
    <numFmt numFmtId="261" formatCode="#,##0_);\(#,##0\);&quot;- &quot;;&quot;  &quot;@"/>
    <numFmt numFmtId="262" formatCode="_-* #,##0_-;\-* #,##0_-;_-* &quot;-&quot;_-;_-@_-"/>
    <numFmt numFmtId="263" formatCode="ddd\ dd\ mmm"/>
    <numFmt numFmtId="264" formatCode="0.0\x"/>
    <numFmt numFmtId="265" formatCode="[$-419]General"/>
    <numFmt numFmtId="266" formatCode="_(\ #,##0.0_%_);_(\ \(#,##0.0_%\);_(\ &quot; - &quot;_%_);_(@_)"/>
    <numFmt numFmtId="267" formatCode="_(\ #,##0.0%_);_(\ \(#,##0.0%\);_(\ &quot; - &quot;\%_);_(@_)"/>
    <numFmt numFmtId="268" formatCode="#,##0_);\(#,##0\);&quot; - &quot;_);@_)"/>
    <numFmt numFmtId="269" formatCode="\ #,##0.0_);\(#,##0.0\);&quot; - &quot;_);@_)"/>
    <numFmt numFmtId="270" formatCode="\ #,##0.00_);\(#,##0.00\);&quot; - &quot;_);@_)"/>
    <numFmt numFmtId="271" formatCode="\ #,##0.000_);\(#,##0.000\);&quot; - &quot;_);@_)"/>
    <numFmt numFmtId="272" formatCode="#,##0;\(#,##0\);&quot;-&quot;"/>
    <numFmt numFmtId="273" formatCode="d\ mmmm\ yyyy"/>
    <numFmt numFmtId="274" formatCode="#,##0;[Red]\(#,##0\);0"/>
    <numFmt numFmtId="275" formatCode="_-* #,##0\ _F_B_-;\-* #,##0\ _F_B_-;_-* &quot;-&quot;\ _F_B_-;_-@_-"/>
    <numFmt numFmtId="276" formatCode="_-* #,##0.00\ _F_B_-;\-* #,##0.00\ _F_B_-;_-* &quot;-&quot;??\ _F_B_-;_-@_-"/>
    <numFmt numFmtId="277" formatCode="#,##0.0000_);\(#,##0.0000\);&quot;- &quot;;&quot;  &quot;@"/>
    <numFmt numFmtId="278" formatCode="\ \ @"/>
    <numFmt numFmtId="279" formatCode="_(#,##0;\(#,##0\);\-;&quot;  &quot;@"/>
    <numFmt numFmtId="280" formatCode="#,##0_);\(#,##0\);\-??"/>
    <numFmt numFmtId="281" formatCode="#,##0;\(#,##0\);\-_)"/>
    <numFmt numFmtId="282" formatCode="#,##0.0_);\(#,##0.0\);\-_)"/>
    <numFmt numFmtId="283" formatCode="#,##0.00_);\(#,##0.00\);\-_)"/>
    <numFmt numFmtId="284" formatCode="0\ \ \ \ \ "/>
    <numFmt numFmtId="285" formatCode="#,##0_);[Blue]\(#,##0\)"/>
    <numFmt numFmtId="286" formatCode="&quot;₽&quot;"/>
    <numFmt numFmtId="287" formatCode="0.00_);\(0.00\);0.00_)"/>
    <numFmt numFmtId="288" formatCode="#,##0.00_ ;[Red]\(#,##0.00&quot;) &quot;"/>
    <numFmt numFmtId="289" formatCode="_(* #,##0.00_);[Red]_(* \(#,##0.00\);_(* &quot;-&quot;_);_(@_)"/>
    <numFmt numFmtId="290" formatCode="_(* #,##0_);[Red]_(* \(#,##0\);_(* &quot;-&quot;_);_(@_)"/>
    <numFmt numFmtId="291" formatCode="_-* #,##0_-;_-* #,##0\-;_-* &quot;-&quot;_-;_-@_-"/>
    <numFmt numFmtId="292" formatCode="_-* #,##0.00_-;_-* #,##0.00\-;_-* &quot;-&quot;??_-;_-@_-"/>
    <numFmt numFmtId="293" formatCode="_-* #,##0\ _$_-;\-* #,##0\ _$_-;_-* &quot;-&quot;\ _$_-;_-@_-"/>
    <numFmt numFmtId="294" formatCode="_-* #,##0.00\ _$_-;\-* #,##0.00\ _$_-;_-* &quot;-&quot;??\ _$_-;_-@_-"/>
    <numFmt numFmtId="295" formatCode="#,##0,,_);\(#,##0,,\);\-_)"/>
    <numFmt numFmtId="296" formatCode="#,##0%_);\(#,##0%\)"/>
    <numFmt numFmtId="297" formatCode="_-* #,##0.00_._-;\ * &quot;(&quot;#,##0.00&quot;)&quot;_-;_-* &quot;-&quot;??_._-;_-@_-"/>
    <numFmt numFmtId="298" formatCode="_-* #,##0\ &quot;$&quot;_-;\-* #,##0\ &quot;$&quot;_-;_-* &quot;-&quot;\ &quot;$&quot;_-;_-@_-"/>
    <numFmt numFmtId="299" formatCode="_-* #,##0.00\ &quot;$&quot;_-;\-* #,##0.00\ &quot;$&quot;_-;_-* &quot;-&quot;??\ &quot;$&quot;_-;_-@_-"/>
    <numFmt numFmtId="300" formatCode="_(* #,##0.000_);[Red]_(* \(#,##0.000\);_(* &quot;-&quot;??_);_(@_)"/>
    <numFmt numFmtId="301" formatCode="&quot;$&quot;#,##0.0_);\(&quot;$&quot;#,##0.0\)"/>
    <numFmt numFmtId="302" formatCode="0.00\x"/>
    <numFmt numFmtId="303" formatCode="#,##0\ &quot;F&quot;;[Red]\-#,##0\ &quot;F&quot;"/>
    <numFmt numFmtId="304" formatCode="_(* #,##0_);\(* #,##0\)"/>
    <numFmt numFmtId="305" formatCode="_(* #,##0,_);_(* \(#,##0,\);_(* &quot;-&quot;_);_(@_)"/>
    <numFmt numFmtId="306" formatCode="#,##0;\(#,##0\);\-"/>
    <numFmt numFmtId="307" formatCode="_-* #,##0\ &quot;FB&quot;_-;\-* #,##0\ &quot;FB&quot;_-;_-* &quot;-&quot;\ &quot;FB&quot;_-;_-@_-"/>
    <numFmt numFmtId="308" formatCode="_-* #,##0.00\ &quot;FB&quot;_-;\-* #,##0.00\ &quot;FB&quot;_-;_-* &quot;-&quot;??\ &quot;FB&quot;_-;_-@_-"/>
    <numFmt numFmtId="309" formatCode="0.0_)%;\(0.0\)%"/>
    <numFmt numFmtId="310" formatCode="0.00_)%;\(0.00\)%"/>
    <numFmt numFmtId="311" formatCode="0%_);\(0%\)"/>
    <numFmt numFmtId="312" formatCode="0%;\(0%\)"/>
    <numFmt numFmtId="313" formatCode="#,##0.00\ &quot;F&quot;;\-#,##0.00\ &quot;F&quot;"/>
    <numFmt numFmtId="314" formatCode="* \(#,##0.0\);* #,##0.0_);&quot;-&quot;??_);@"/>
    <numFmt numFmtId="315" formatCode="* \(#,##0.00\);* #,##0.00_);&quot;-&quot;??_);@"/>
    <numFmt numFmtId="316" formatCode="_(* \(#,##0.0\);_(* #,##0.0_);_(* &quot;-&quot;_);_(@_)"/>
    <numFmt numFmtId="317" formatCode="_(* \(#,##0.00\);_(* #,##0.00_);_(* &quot;-&quot;_);_(@_)"/>
    <numFmt numFmtId="318" formatCode="_(* \(#,##0.000\);_(* #,##0.000_);_(* &quot;-&quot;_);_(@_)"/>
    <numFmt numFmtId="319" formatCode="#,##0.000000;[Red]#,##0.000000"/>
    <numFmt numFmtId="320" formatCode="0%_);[Red]\(0%\)"/>
    <numFmt numFmtId="321" formatCode="0.00%_);[Red]\(0.00%\)"/>
    <numFmt numFmtId="322" formatCode="\+0.0;\-0.0"/>
    <numFmt numFmtId="323" formatCode="\+0.0%;\-0.0%"/>
    <numFmt numFmtId="324" formatCode="mm/dd/yy"/>
    <numFmt numFmtId="325" formatCode="#,###.00;\(#,###.00\);\-"/>
    <numFmt numFmtId="326" formatCode="0.00;[Red]0.00"/>
    <numFmt numFmtId="327" formatCode="_ * #,##0_ ;_ * \-#,##0_ ;_ * \-??_ ;_ @_ "/>
    <numFmt numFmtId="328" formatCode="_ * #,##0_ ;_ * \-#,##0_ ;_ * &quot;-&quot;??_ ;_ @_ "/>
    <numFmt numFmtId="329" formatCode="&quot;g = &quot;0.0%;&quot;g = -&quot;0.0%"/>
    <numFmt numFmtId="330" formatCode="\g\ \=\ 0.0%;\g\ \=\ \-0.0%"/>
    <numFmt numFmtId="331" formatCode="&quot;$&quot;#,##0"/>
    <numFmt numFmtId="332" formatCode="0.0&quot;x &quot;"/>
    <numFmt numFmtId="333" formatCode="0.0\x\ "/>
    <numFmt numFmtId="334" formatCode="#\ ##0&quot;zі&quot;_.00&quot;gr&quot;;\(#\ ##0.00\z\і\)"/>
    <numFmt numFmtId="335" formatCode="m/d"/>
    <numFmt numFmtId="336" formatCode="#\ ##0&quot;zі&quot;.00&quot;gr&quot;;\(#\ ##0&quot;zі&quot;.00&quot;gr&quot;\)"/>
    <numFmt numFmtId="337" formatCode="\ \ \ \ @"/>
    <numFmt numFmtId="338" formatCode="#,##0&quot;£&quot;_);\(#,##0&quot;£&quot;\)"/>
    <numFmt numFmtId="339" formatCode="#,##0,_);\(#,##0,\);\-_)"/>
    <numFmt numFmtId="340" formatCode="#,##0;\(#,##0\)"/>
    <numFmt numFmtId="341" formatCode="_-&quot;F&quot;\ * #,##0_-;_-&quot;F&quot;\ * #,##0\-;_-&quot;F&quot;\ * &quot;-&quot;_-;_-@_-"/>
    <numFmt numFmtId="342" formatCode="_-&quot;F&quot;\ * #,##0.00_-;_-&quot;F&quot;\ * #,##0.00\-;_-&quot;F&quot;\ * &quot;-&quot;??_-;_-@_-"/>
    <numFmt numFmtId="343" formatCode="&quot;$&quot;#,##0.00_);[Red]\(&quot;$&quot;#,##0.00\)"/>
    <numFmt numFmtId="344" formatCode="_ * #,##0_ ;_ * \(#,##0_ ;_ * &quot;-&quot;_ ;_ @_ "/>
    <numFmt numFmtId="345" formatCode="&quot;$&quot;#,##0.000000;[Red]&quot;$&quot;#,##0.000000"/>
    <numFmt numFmtId="346" formatCode="#,##0.0000000_$"/>
    <numFmt numFmtId="347" formatCode="&quot;$&quot;\ #,##0.00"/>
    <numFmt numFmtId="348" formatCode="_ * #,##0_ ;_ * \(#,##0_)\ ;_ * &quot;-&quot;_ ;_ @_ "/>
    <numFmt numFmtId="349" formatCode="&quot;$&quot;\ #,##0"/>
    <numFmt numFmtId="350" formatCode="&quot;$&quot;"/>
    <numFmt numFmtId="351" formatCode="_._.* #,##0_)_%;_._.* \(#,##0\)_%;_._.* \ _)_%"/>
    <numFmt numFmtId="352" formatCode="yyyy"/>
    <numFmt numFmtId="353" formatCode="yyyy\ &quot;год&quot;"/>
    <numFmt numFmtId="354" formatCode="\¥#,##0_);\(\¥#,##0\)"/>
    <numFmt numFmtId="355" formatCode=";;&quot;zero&quot;;&quot;  &quot;@"/>
    <numFmt numFmtId="356" formatCode="_(&quot;₽&quot;* #,##0.00_);_(&quot;₽&quot;* \(#,##0.00\);_(&quot;₽&quot;* &quot;-&quot;??_);_(@_)"/>
    <numFmt numFmtId="357" formatCode="_-* #,##0\ &quot;€&quot;_-;\-* #,##0\ &quot;€&quot;_-;_-* &quot;-&quot;\ &quot;€&quot;_-;_-@_-"/>
    <numFmt numFmtId="358" formatCode="_-* #,##0_р_._-;\-* #,##0_р_._-;_-* &quot;-&quot;??_р_._-;_-@_-"/>
    <numFmt numFmtId="359" formatCode="#,##0.00&quot;р.&quot;;\-#,##0.00&quot;р.&quot;"/>
    <numFmt numFmtId="360" formatCode="0_)"/>
    <numFmt numFmtId="361" formatCode="#,##0\т"/>
    <numFmt numFmtId="362" formatCode="0.0000"/>
    <numFmt numFmtId="363" formatCode="_-* #,##0.00_р_._-;\-* #,##0.00_р_._-;_-* \-??_р_._-;_-@_-"/>
    <numFmt numFmtId="364" formatCode="dd/mm/yy;@"/>
    <numFmt numFmtId="365" formatCode="#&quot; &quot;##0"/>
    <numFmt numFmtId="366" formatCode="_-* #,##0.00_р_._-;\-* #,##0.00_р_._-;_-* &quot;-&quot;_р_._-;_-@_-"/>
    <numFmt numFmtId="367" formatCode="%#\.00"/>
    <numFmt numFmtId="368"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medium">
        <color auto="1"/>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9" fontId="1" fillId="0" borderId="0" applyFont="0" applyFill="0" applyBorder="0" applyAlignment="0" applyProtection="0"/>
    <xf numFmtId="0" fontId="1" fillId="0" borderId="0"/>
    <xf numFmtId="0" fontId="32" fillId="0" borderId="0"/>
    <xf numFmtId="168" fontId="37" fillId="0" borderId="0"/>
    <xf numFmtId="0" fontId="38" fillId="0" borderId="0"/>
    <xf numFmtId="168" fontId="39" fillId="0" borderId="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0" fontId="32" fillId="0" borderId="0"/>
    <xf numFmtId="167" fontId="41" fillId="0" borderId="0">
      <alignment vertical="top"/>
    </xf>
    <xf numFmtId="170" fontId="41" fillId="7" borderId="0">
      <alignment vertical="top"/>
    </xf>
    <xf numFmtId="167" fontId="42" fillId="8" borderId="0">
      <alignment vertical="top"/>
    </xf>
    <xf numFmtId="0" fontId="37" fillId="0" borderId="0"/>
    <xf numFmtId="168" fontId="37" fillId="0" borderId="0"/>
    <xf numFmtId="0" fontId="40" fillId="0" borderId="0" applyNumberFormat="0" applyFont="0" applyFill="0" applyBorder="0" applyAlignment="0" applyProtection="0"/>
    <xf numFmtId="168" fontId="43" fillId="0" borderId="0" applyFont="0" applyFill="0" applyBorder="0" applyAlignment="0"/>
    <xf numFmtId="168" fontId="44"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5" fillId="0" borderId="25">
      <protection locked="0"/>
    </xf>
    <xf numFmtId="0" fontId="45" fillId="0" borderId="25">
      <protection locked="0"/>
    </xf>
    <xf numFmtId="0" fontId="45" fillId="0" borderId="25">
      <protection locked="0"/>
    </xf>
    <xf numFmtId="0" fontId="46" fillId="0" borderId="0"/>
    <xf numFmtId="171" fontId="46" fillId="0" borderId="0"/>
    <xf numFmtId="171" fontId="46" fillId="0" borderId="0"/>
    <xf numFmtId="171" fontId="46" fillId="0" borderId="0"/>
    <xf numFmtId="171" fontId="38" fillId="0" borderId="0"/>
    <xf numFmtId="171" fontId="38"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0" fontId="37" fillId="0" borderId="0"/>
    <xf numFmtId="0" fontId="37"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9" fillId="0" borderId="0"/>
    <xf numFmtId="0" fontId="49" fillId="0" borderId="0"/>
    <xf numFmtId="0" fontId="49" fillId="0" borderId="0"/>
    <xf numFmtId="0" fontId="49" fillId="0" borderId="0"/>
    <xf numFmtId="0" fontId="49" fillId="0" borderId="0"/>
    <xf numFmtId="171" fontId="46" fillId="0" borderId="0"/>
    <xf numFmtId="171" fontId="46" fillId="0" borderId="0"/>
    <xf numFmtId="171" fontId="38" fillId="0" borderId="0"/>
    <xf numFmtId="171" fontId="38" fillId="0" borderId="0"/>
    <xf numFmtId="171" fontId="38" fillId="0" borderId="0"/>
    <xf numFmtId="171" fontId="38" fillId="0" borderId="0"/>
    <xf numFmtId="171" fontId="38" fillId="0" borderId="0"/>
    <xf numFmtId="0" fontId="46" fillId="0" borderId="0"/>
    <xf numFmtId="168" fontId="38" fillId="0" borderId="0"/>
    <xf numFmtId="168" fontId="50" fillId="0" borderId="0"/>
    <xf numFmtId="171" fontId="46" fillId="0" borderId="0"/>
    <xf numFmtId="171" fontId="38" fillId="0" borderId="0"/>
    <xf numFmtId="171" fontId="46" fillId="0" borderId="0"/>
    <xf numFmtId="171"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38" fillId="0" borderId="0"/>
    <xf numFmtId="0" fontId="46" fillId="0" borderId="0"/>
    <xf numFmtId="171" fontId="38" fillId="0" borderId="0"/>
    <xf numFmtId="171" fontId="46" fillId="0" borderId="0"/>
    <xf numFmtId="171" fontId="38" fillId="0" borderId="0"/>
    <xf numFmtId="168" fontId="46" fillId="0" borderId="0"/>
    <xf numFmtId="168" fontId="52"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0" fontId="38" fillId="0" borderId="0"/>
    <xf numFmtId="171" fontId="46" fillId="0" borderId="0"/>
    <xf numFmtId="171" fontId="46" fillId="0" borderId="0"/>
    <xf numFmtId="171" fontId="46" fillId="0" borderId="0"/>
    <xf numFmtId="171" fontId="38" fillId="0" borderId="0"/>
    <xf numFmtId="171" fontId="46" fillId="0" borderId="0"/>
    <xf numFmtId="0" fontId="38" fillId="0" borderId="0"/>
    <xf numFmtId="168" fontId="46" fillId="0" borderId="0"/>
    <xf numFmtId="168" fontId="46"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6" fillId="0" borderId="0"/>
    <xf numFmtId="0" fontId="46" fillId="0" borderId="0"/>
    <xf numFmtId="168" fontId="38" fillId="0" borderId="0"/>
    <xf numFmtId="168" fontId="50" fillId="0" borderId="0"/>
    <xf numFmtId="172" fontId="37" fillId="0" borderId="0" applyFont="0" applyFill="0" applyBorder="0" applyAlignment="0" applyProtection="0"/>
    <xf numFmtId="168" fontId="46" fillId="0" borderId="0"/>
    <xf numFmtId="0" fontId="38" fillId="0" borderId="0"/>
    <xf numFmtId="0" fontId="54" fillId="0" borderId="0"/>
    <xf numFmtId="0" fontId="5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73" fontId="53" fillId="0" borderId="0" applyFont="0" applyFill="0" applyBorder="0" applyAlignment="0" applyProtection="0"/>
    <xf numFmtId="39" fontId="37" fillId="0" borderId="0" applyFont="0" applyFill="0" applyBorder="0" applyAlignment="0" applyProtection="0"/>
    <xf numFmtId="168" fontId="46" fillId="0" borderId="0"/>
    <xf numFmtId="168"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2" fillId="0" borderId="0"/>
    <xf numFmtId="0" fontId="46" fillId="0" borderId="0"/>
    <xf numFmtId="0" fontId="56" fillId="0" borderId="0" applyNumberFormat="0" applyFill="0" applyBorder="0" applyAlignment="0" applyProtection="0"/>
    <xf numFmtId="0" fontId="37" fillId="9" borderId="0" applyNumberFormat="0" applyFont="0" applyAlignment="0" applyProtection="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0" fontId="38" fillId="0" borderId="0"/>
    <xf numFmtId="0" fontId="38" fillId="0" borderId="0"/>
    <xf numFmtId="168" fontId="52" fillId="0" borderId="0"/>
    <xf numFmtId="0" fontId="46" fillId="0" borderId="0"/>
    <xf numFmtId="0" fontId="46" fillId="0" borderId="0"/>
    <xf numFmtId="0" fontId="46" fillId="0" borderId="0"/>
    <xf numFmtId="168" fontId="46" fillId="0" borderId="0"/>
    <xf numFmtId="168" fontId="52" fillId="0" borderId="0"/>
    <xf numFmtId="168" fontId="38"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75" fontId="57" fillId="0" borderId="0">
      <alignment vertical="top"/>
    </xf>
    <xf numFmtId="38" fontId="32" fillId="0" borderId="0">
      <alignment vertical="top"/>
    </xf>
    <xf numFmtId="176" fontId="48" fillId="0" borderId="0" applyFont="0" applyFill="0" applyBorder="0" applyAlignment="0" applyProtection="0"/>
    <xf numFmtId="177" fontId="53" fillId="0" borderId="0" applyFont="0" applyFill="0" applyBorder="0" applyAlignment="0" applyProtection="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7" fillId="0" borderId="0" applyNumberForma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54"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32" fillId="0" borderId="0"/>
    <xf numFmtId="168" fontId="38" fillId="0" borderId="0"/>
    <xf numFmtId="168" fontId="38" fillId="0" borderId="0"/>
    <xf numFmtId="168" fontId="38" fillId="0" borderId="0"/>
    <xf numFmtId="168" fontId="46" fillId="0" borderId="0"/>
    <xf numFmtId="168" fontId="46" fillId="0" borderId="0"/>
    <xf numFmtId="0" fontId="58" fillId="0" borderId="0" applyNumberFormat="0" applyFill="0" applyBorder="0" applyProtection="0">
      <alignment vertical="top"/>
    </xf>
    <xf numFmtId="168" fontId="38" fillId="0" borderId="0"/>
    <xf numFmtId="168" fontId="38" fillId="0" borderId="0"/>
    <xf numFmtId="168" fontId="38" fillId="0" borderId="0"/>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0" applyNumberFormat="0" applyFill="0" applyBorder="0" applyProtection="0">
      <alignment horizontal="left"/>
    </xf>
    <xf numFmtId="0" fontId="60" fillId="0" borderId="0" applyNumberFormat="0" applyFill="0" applyBorder="0" applyProtection="0">
      <alignment horizontal="centerContinuous"/>
    </xf>
    <xf numFmtId="0" fontId="46" fillId="0" borderId="0"/>
    <xf numFmtId="0" fontId="38" fillId="0" borderId="0"/>
    <xf numFmtId="168" fontId="38" fillId="0" borderId="0"/>
    <xf numFmtId="168" fontId="38" fillId="0" borderId="0"/>
    <xf numFmtId="168" fontId="38" fillId="0" borderId="0"/>
    <xf numFmtId="168" fontId="38" fillId="0" borderId="0"/>
    <xf numFmtId="4" fontId="47" fillId="0" borderId="0">
      <alignment vertical="center"/>
    </xf>
    <xf numFmtId="0" fontId="37" fillId="0" borderId="0"/>
    <xf numFmtId="168" fontId="46" fillId="0" borderId="0"/>
    <xf numFmtId="171" fontId="46" fillId="0" borderId="0"/>
    <xf numFmtId="171" fontId="46" fillId="0" borderId="0"/>
    <xf numFmtId="171" fontId="38" fillId="0" borderId="0"/>
    <xf numFmtId="168" fontId="46" fillId="0" borderId="0"/>
    <xf numFmtId="171" fontId="38" fillId="0" borderId="0"/>
    <xf numFmtId="171" fontId="46" fillId="0" borderId="0"/>
    <xf numFmtId="171" fontId="38" fillId="0" borderId="0"/>
    <xf numFmtId="0" fontId="38" fillId="0" borderId="0"/>
    <xf numFmtId="171" fontId="38" fillId="0" borderId="0"/>
    <xf numFmtId="171" fontId="38" fillId="0" borderId="0"/>
    <xf numFmtId="171" fontId="38" fillId="0" borderId="0"/>
    <xf numFmtId="171" fontId="38" fillId="0" borderId="0"/>
    <xf numFmtId="171" fontId="46" fillId="0" borderId="0"/>
    <xf numFmtId="168" fontId="54" fillId="0" borderId="0"/>
    <xf numFmtId="168" fontId="54" fillId="0" borderId="0"/>
    <xf numFmtId="168" fontId="46" fillId="0" borderId="0"/>
    <xf numFmtId="171" fontId="46" fillId="0" borderId="0"/>
    <xf numFmtId="168" fontId="46" fillId="0" borderId="0"/>
    <xf numFmtId="0" fontId="46" fillId="0" borderId="0"/>
    <xf numFmtId="0" fontId="38"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0" fontId="38" fillId="0" borderId="0"/>
    <xf numFmtId="171" fontId="38" fillId="0" borderId="0"/>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46" fillId="0" borderId="0"/>
    <xf numFmtId="0" fontId="38" fillId="0" borderId="0"/>
    <xf numFmtId="171" fontId="38" fillId="0" borderId="0"/>
    <xf numFmtId="171" fontId="38" fillId="0" borderId="0"/>
    <xf numFmtId="171" fontId="38" fillId="0" borderId="0"/>
    <xf numFmtId="0" fontId="38" fillId="0" borderId="0"/>
    <xf numFmtId="0" fontId="46" fillId="0" borderId="0"/>
    <xf numFmtId="4" fontId="47" fillId="0" borderId="0">
      <alignment vertical="center"/>
    </xf>
    <xf numFmtId="168" fontId="52" fillId="0" borderId="0"/>
    <xf numFmtId="168" fontId="46" fillId="0" borderId="0"/>
    <xf numFmtId="0" fontId="46" fillId="0" borderId="0"/>
    <xf numFmtId="168" fontId="53" fillId="0" borderId="0">
      <alignment vertical="center"/>
    </xf>
    <xf numFmtId="168" fontId="53" fillId="0" borderId="0">
      <alignment vertical="center"/>
    </xf>
    <xf numFmtId="168" fontId="53" fillId="0" borderId="0">
      <alignment vertical="center"/>
    </xf>
    <xf numFmtId="0" fontId="38" fillId="0" borderId="0"/>
    <xf numFmtId="0" fontId="46" fillId="0" borderId="0"/>
    <xf numFmtId="0" fontId="46" fillId="0" borderId="0"/>
    <xf numFmtId="0" fontId="46" fillId="0" borderId="0"/>
    <xf numFmtId="0" fontId="46" fillId="0" borderId="0"/>
    <xf numFmtId="0" fontId="46" fillId="0" borderId="0"/>
    <xf numFmtId="168" fontId="46" fillId="0" borderId="0"/>
    <xf numFmtId="0" fontId="46" fillId="0" borderId="0"/>
    <xf numFmtId="168" fontId="54"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46" fillId="0" borderId="0"/>
    <xf numFmtId="0" fontId="46" fillId="0" borderId="0"/>
    <xf numFmtId="0" fontId="46" fillId="0" borderId="0"/>
    <xf numFmtId="0" fontId="46"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168" fontId="38" fillId="0" borderId="0"/>
    <xf numFmtId="168" fontId="50" fillId="0" borderId="0"/>
    <xf numFmtId="168" fontId="38" fillId="0" borderId="0"/>
    <xf numFmtId="168" fontId="50" fillId="0" borderId="0"/>
    <xf numFmtId="171" fontId="38" fillId="0" borderId="0"/>
    <xf numFmtId="171" fontId="38" fillId="0" borderId="0"/>
    <xf numFmtId="171" fontId="38" fillId="0" borderId="0"/>
    <xf numFmtId="168" fontId="46" fillId="0" borderId="0"/>
    <xf numFmtId="4" fontId="47" fillId="0" borderId="0">
      <alignment vertical="center"/>
    </xf>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38" fillId="0" borderId="0"/>
    <xf numFmtId="0" fontId="46" fillId="0" borderId="0"/>
    <xf numFmtId="0" fontId="38" fillId="0" borderId="0"/>
    <xf numFmtId="0" fontId="46" fillId="0" borderId="0"/>
    <xf numFmtId="0" fontId="46" fillId="0" borderId="0"/>
    <xf numFmtId="0" fontId="38" fillId="0" borderId="0"/>
    <xf numFmtId="0" fontId="38" fillId="0" borderId="0"/>
    <xf numFmtId="0" fontId="38" fillId="0" borderId="0"/>
    <xf numFmtId="0" fontId="38" fillId="0" borderId="0"/>
    <xf numFmtId="171" fontId="38" fillId="0" borderId="0"/>
    <xf numFmtId="179" fontId="46" fillId="0" borderId="0"/>
    <xf numFmtId="168" fontId="46" fillId="0" borderId="0"/>
    <xf numFmtId="168" fontId="52" fillId="0" borderId="0"/>
    <xf numFmtId="0" fontId="46" fillId="0" borderId="0"/>
    <xf numFmtId="4" fontId="47" fillId="0" borderId="0">
      <alignment vertical="center"/>
    </xf>
    <xf numFmtId="168" fontId="46" fillId="0" borderId="0"/>
    <xf numFmtId="0" fontId="46" fillId="0" borderId="0"/>
    <xf numFmtId="168" fontId="46" fillId="0" borderId="0"/>
    <xf numFmtId="0" fontId="46" fillId="0" borderId="0"/>
    <xf numFmtId="178" fontId="37" fillId="0" borderId="0"/>
    <xf numFmtId="178" fontId="37" fillId="0" borderId="0"/>
    <xf numFmtId="0" fontId="37" fillId="0" borderId="0"/>
    <xf numFmtId="0" fontId="37" fillId="0" borderId="0"/>
    <xf numFmtId="178" fontId="37" fillId="0" borderId="0"/>
    <xf numFmtId="178" fontId="37" fillId="0" borderId="0"/>
    <xf numFmtId="0" fontId="37" fillId="0" borderId="0"/>
    <xf numFmtId="0" fontId="37" fillId="0" borderId="0"/>
    <xf numFmtId="171" fontId="46" fillId="0" borderId="0"/>
    <xf numFmtId="4" fontId="47" fillId="0" borderId="0">
      <alignment vertical="center"/>
    </xf>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38" fillId="0" borderId="0"/>
    <xf numFmtId="171" fontId="46" fillId="0" borderId="0"/>
    <xf numFmtId="0" fontId="46" fillId="0" borderId="0"/>
    <xf numFmtId="0" fontId="46" fillId="0" borderId="0"/>
    <xf numFmtId="168" fontId="54" fillId="0" borderId="0"/>
    <xf numFmtId="0" fontId="46" fillId="0" borderId="0"/>
    <xf numFmtId="171" fontId="38" fillId="0" borderId="0"/>
    <xf numFmtId="171" fontId="38" fillId="0" borderId="0"/>
    <xf numFmtId="168" fontId="32" fillId="0" borderId="0"/>
    <xf numFmtId="168" fontId="52" fillId="0" borderId="0"/>
    <xf numFmtId="168" fontId="32" fillId="0" borderId="0"/>
    <xf numFmtId="0" fontId="52" fillId="0" borderId="0"/>
    <xf numFmtId="0" fontId="38" fillId="0" borderId="0"/>
    <xf numFmtId="0" fontId="51" fillId="0" borderId="0"/>
    <xf numFmtId="0" fontId="51" fillId="0" borderId="0"/>
    <xf numFmtId="0" fontId="51" fillId="0" borderId="0"/>
    <xf numFmtId="0" fontId="51" fillId="0" borderId="0"/>
    <xf numFmtId="0" fontId="51" fillId="0" borderId="0"/>
    <xf numFmtId="168" fontId="32" fillId="0" borderId="0"/>
    <xf numFmtId="0" fontId="32"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52" fillId="0" borderId="0"/>
    <xf numFmtId="0" fontId="38" fillId="0" borderId="0"/>
    <xf numFmtId="0" fontId="46" fillId="0" borderId="0"/>
    <xf numFmtId="168" fontId="46" fillId="0" borderId="0"/>
    <xf numFmtId="0" fontId="46" fillId="0" borderId="0"/>
    <xf numFmtId="171" fontId="38" fillId="0" borderId="0"/>
    <xf numFmtId="171" fontId="46" fillId="0" borderId="0"/>
    <xf numFmtId="0" fontId="46"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0" fontId="46" fillId="0" borderId="0"/>
    <xf numFmtId="0" fontId="38" fillId="0" borderId="0"/>
    <xf numFmtId="0" fontId="46" fillId="0" borderId="0"/>
    <xf numFmtId="0" fontId="38" fillId="0" borderId="0"/>
    <xf numFmtId="168" fontId="38" fillId="0" borderId="0"/>
    <xf numFmtId="0" fontId="38" fillId="0" borderId="0"/>
    <xf numFmtId="175" fontId="57" fillId="0" borderId="0">
      <alignment vertical="top"/>
    </xf>
    <xf numFmtId="168" fontId="54"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6" fillId="0" borderId="0"/>
    <xf numFmtId="0" fontId="38" fillId="0" borderId="0"/>
    <xf numFmtId="0" fontId="51" fillId="0" borderId="0"/>
    <xf numFmtId="0" fontId="51" fillId="0" borderId="0"/>
    <xf numFmtId="0" fontId="51" fillId="0" borderId="0"/>
    <xf numFmtId="0" fontId="51" fillId="0" borderId="0"/>
    <xf numFmtId="0" fontId="51" fillId="0" borderId="0"/>
    <xf numFmtId="0" fontId="37" fillId="0" borderId="0"/>
    <xf numFmtId="0" fontId="37" fillId="0" borderId="0"/>
    <xf numFmtId="0" fontId="37" fillId="0" borderId="0"/>
    <xf numFmtId="0" fontId="37" fillId="0" borderId="0"/>
    <xf numFmtId="0" fontId="37" fillId="0" borderId="0"/>
    <xf numFmtId="0" fontId="38" fillId="0" borderId="0"/>
    <xf numFmtId="0" fontId="38"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171" fontId="46" fillId="0" borderId="0"/>
    <xf numFmtId="171" fontId="46" fillId="0" borderId="0"/>
    <xf numFmtId="0" fontId="38" fillId="0" borderId="0"/>
    <xf numFmtId="0" fontId="38" fillId="0" borderId="0"/>
    <xf numFmtId="171" fontId="46" fillId="0" borderId="0"/>
    <xf numFmtId="168" fontId="38" fillId="0" borderId="0"/>
    <xf numFmtId="168" fontId="52" fillId="0" borderId="0"/>
    <xf numFmtId="168" fontId="52" fillId="0" borderId="0"/>
    <xf numFmtId="0" fontId="52" fillId="0" borderId="0"/>
    <xf numFmtId="0" fontId="46"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46" fillId="0" borderId="0"/>
    <xf numFmtId="168" fontId="46" fillId="0" borderId="0"/>
    <xf numFmtId="168" fontId="46" fillId="0" borderId="0"/>
    <xf numFmtId="168" fontId="38" fillId="0" borderId="0"/>
    <xf numFmtId="0" fontId="38" fillId="0" borderId="0"/>
    <xf numFmtId="168" fontId="46" fillId="0" borderId="0"/>
    <xf numFmtId="168" fontId="52" fillId="0" borderId="0"/>
    <xf numFmtId="168" fontId="52" fillId="0" borderId="0"/>
    <xf numFmtId="4" fontId="47" fillId="0" borderId="0">
      <alignment vertical="center"/>
    </xf>
    <xf numFmtId="171" fontId="46" fillId="0" borderId="0"/>
    <xf numFmtId="0" fontId="38" fillId="0" borderId="0"/>
    <xf numFmtId="171" fontId="46" fillId="0" borderId="0"/>
    <xf numFmtId="175" fontId="57" fillId="0" borderId="0">
      <alignment vertical="top"/>
    </xf>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49" fillId="0" borderId="0"/>
    <xf numFmtId="0" fontId="49" fillId="0" borderId="0"/>
    <xf numFmtId="0" fontId="49" fillId="0" borderId="0"/>
    <xf numFmtId="0" fontId="49"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53" fillId="0" borderId="0" applyFont="0" applyFill="0" applyBorder="0" applyAlignment="0" applyProtection="0">
      <alignment vertical="center"/>
    </xf>
    <xf numFmtId="168" fontId="54" fillId="0" borderId="0" applyFill="0" applyBorder="0" applyAlignment="0" applyProtection="0"/>
    <xf numFmtId="171" fontId="38" fillId="0" borderId="0"/>
    <xf numFmtId="0" fontId="46" fillId="0" borderId="0"/>
    <xf numFmtId="0" fontId="46" fillId="0" borderId="0"/>
    <xf numFmtId="0" fontId="38" fillId="0" borderId="0"/>
    <xf numFmtId="0" fontId="38" fillId="0" borderId="0"/>
    <xf numFmtId="0" fontId="46" fillId="0" borderId="0"/>
    <xf numFmtId="168" fontId="52" fillId="0" borderId="0"/>
    <xf numFmtId="0" fontId="46" fillId="0" borderId="0"/>
    <xf numFmtId="0" fontId="49" fillId="0" borderId="0"/>
    <xf numFmtId="0" fontId="49" fillId="0" borderId="0"/>
    <xf numFmtId="0" fontId="49" fillId="0" borderId="0"/>
    <xf numFmtId="0" fontId="49" fillId="0" borderId="0"/>
    <xf numFmtId="0" fontId="49" fillId="0" borderId="0"/>
    <xf numFmtId="0" fontId="38" fillId="0" borderId="0"/>
    <xf numFmtId="0" fontId="38" fillId="0" borderId="0"/>
    <xf numFmtId="168" fontId="46" fillId="0" borderId="0"/>
    <xf numFmtId="0" fontId="46" fillId="0" borderId="0"/>
    <xf numFmtId="0" fontId="46" fillId="0" borderId="0"/>
    <xf numFmtId="168" fontId="46" fillId="0" borderId="0"/>
    <xf numFmtId="168" fontId="46" fillId="0" borderId="0"/>
    <xf numFmtId="0" fontId="46" fillId="0" borderId="0"/>
    <xf numFmtId="168" fontId="46" fillId="0" borderId="0"/>
    <xf numFmtId="0" fontId="46" fillId="0" borderId="0"/>
    <xf numFmtId="0" fontId="46" fillId="0" borderId="0"/>
    <xf numFmtId="168" fontId="46" fillId="0" borderId="0"/>
    <xf numFmtId="171" fontId="38" fillId="0" borderId="0"/>
    <xf numFmtId="171" fontId="38" fillId="0" borderId="0"/>
    <xf numFmtId="171" fontId="46" fillId="0" borderId="0"/>
    <xf numFmtId="168" fontId="38" fillId="0" borderId="0"/>
    <xf numFmtId="168" fontId="50" fillId="0" borderId="0"/>
    <xf numFmtId="168" fontId="46" fillId="0" borderId="0"/>
    <xf numFmtId="0" fontId="46"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32" fillId="0" borderId="0"/>
    <xf numFmtId="168" fontId="37" fillId="0" borderId="0"/>
    <xf numFmtId="168" fontId="32" fillId="0" borderId="0"/>
    <xf numFmtId="0" fontId="38" fillId="0" borderId="0"/>
    <xf numFmtId="168" fontId="38" fillId="0" borderId="0"/>
    <xf numFmtId="0" fontId="38" fillId="0" borderId="0"/>
    <xf numFmtId="168" fontId="38" fillId="0" borderId="0"/>
    <xf numFmtId="0" fontId="38" fillId="0" borderId="0"/>
    <xf numFmtId="168" fontId="38" fillId="0" borderId="0"/>
    <xf numFmtId="0" fontId="38" fillId="0" borderId="0"/>
    <xf numFmtId="168" fontId="32" fillId="0" borderId="0"/>
    <xf numFmtId="0" fontId="32" fillId="0" borderId="0"/>
    <xf numFmtId="168" fontId="38" fillId="0" borderId="0"/>
    <xf numFmtId="0" fontId="38" fillId="0" borderId="0"/>
    <xf numFmtId="168" fontId="38" fillId="0" borderId="0"/>
    <xf numFmtId="0" fontId="38" fillId="0" borderId="0"/>
    <xf numFmtId="168" fontId="38" fillId="0" borderId="0"/>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171" fontId="46" fillId="0" borderId="0"/>
    <xf numFmtId="171" fontId="46" fillId="0" borderId="0"/>
    <xf numFmtId="171" fontId="46" fillId="0" borderId="0"/>
    <xf numFmtId="171" fontId="46" fillId="0" borderId="0"/>
    <xf numFmtId="171" fontId="46" fillId="0" borderId="0"/>
    <xf numFmtId="0" fontId="38" fillId="0" borderId="0"/>
    <xf numFmtId="171" fontId="38" fillId="0" borderId="0"/>
    <xf numFmtId="168" fontId="38" fillId="0" borderId="0"/>
    <xf numFmtId="171" fontId="38" fillId="0" borderId="0"/>
    <xf numFmtId="171" fontId="38" fillId="0" borderId="0"/>
    <xf numFmtId="171" fontId="38" fillId="0" borderId="0"/>
    <xf numFmtId="171" fontId="38" fillId="0" borderId="0"/>
    <xf numFmtId="168" fontId="46" fillId="0" borderId="0"/>
    <xf numFmtId="171" fontId="38" fillId="0" borderId="0"/>
    <xf numFmtId="171" fontId="38" fillId="0" borderId="0"/>
    <xf numFmtId="171" fontId="46" fillId="0" borderId="0"/>
    <xf numFmtId="171" fontId="46" fillId="0" borderId="0"/>
    <xf numFmtId="171" fontId="38" fillId="0" borderId="0"/>
    <xf numFmtId="171" fontId="38" fillId="0" borderId="0"/>
    <xf numFmtId="171" fontId="46" fillId="0" borderId="0"/>
    <xf numFmtId="171" fontId="46" fillId="0" borderId="0"/>
    <xf numFmtId="171" fontId="46" fillId="0" borderId="0"/>
    <xf numFmtId="171" fontId="46" fillId="0" borderId="0"/>
    <xf numFmtId="171" fontId="38" fillId="0" borderId="0"/>
    <xf numFmtId="171" fontId="46" fillId="0" borderId="0"/>
    <xf numFmtId="175" fontId="57" fillId="0" borderId="0">
      <alignment vertical="top"/>
    </xf>
    <xf numFmtId="175" fontId="57" fillId="0" borderId="0">
      <alignment vertical="top"/>
    </xf>
    <xf numFmtId="171" fontId="46" fillId="0" borderId="0"/>
    <xf numFmtId="168" fontId="46" fillId="0" borderId="0"/>
    <xf numFmtId="0"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46" fillId="0" borderId="0"/>
    <xf numFmtId="171" fontId="46" fillId="0" borderId="0"/>
    <xf numFmtId="0" fontId="46" fillId="0" borderId="0"/>
    <xf numFmtId="0" fontId="46" fillId="0" borderId="0"/>
    <xf numFmtId="171" fontId="38" fillId="0" borderId="0"/>
    <xf numFmtId="171" fontId="38"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38" fillId="0" borderId="0"/>
    <xf numFmtId="0" fontId="46" fillId="0" borderId="0"/>
    <xf numFmtId="0" fontId="38" fillId="0" borderId="0"/>
    <xf numFmtId="0" fontId="38" fillId="0" borderId="0"/>
    <xf numFmtId="0" fontId="46" fillId="0" borderId="0"/>
    <xf numFmtId="171" fontId="46" fillId="0" borderId="0"/>
    <xf numFmtId="171" fontId="46" fillId="0" borderId="0"/>
    <xf numFmtId="168" fontId="46" fillId="0" borderId="0"/>
    <xf numFmtId="0" fontId="38" fillId="0" borderId="0"/>
    <xf numFmtId="171" fontId="38" fillId="0" borderId="0"/>
    <xf numFmtId="0" fontId="46" fillId="0" borderId="0"/>
    <xf numFmtId="171" fontId="38" fillId="0" borderId="0"/>
    <xf numFmtId="168" fontId="46" fillId="0" borderId="0"/>
    <xf numFmtId="0" fontId="46" fillId="0" borderId="0"/>
    <xf numFmtId="168" fontId="38" fillId="0" borderId="0"/>
    <xf numFmtId="168" fontId="50" fillId="0" borderId="0"/>
    <xf numFmtId="171" fontId="46" fillId="0" borderId="0"/>
    <xf numFmtId="168" fontId="52" fillId="0" borderId="0"/>
    <xf numFmtId="0" fontId="38" fillId="0" borderId="0"/>
    <xf numFmtId="171" fontId="38" fillId="0" borderId="0"/>
    <xf numFmtId="171" fontId="46" fillId="0" borderId="0"/>
    <xf numFmtId="4" fontId="47" fillId="0" borderId="0">
      <alignment vertical="center"/>
    </xf>
    <xf numFmtId="4" fontId="47"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4" fontId="47" fillId="0" borderId="0">
      <alignment vertical="center"/>
    </xf>
    <xf numFmtId="171" fontId="38" fillId="0" borderId="0"/>
    <xf numFmtId="0" fontId="38" fillId="0" borderId="0"/>
    <xf numFmtId="4" fontId="47" fillId="0" borderId="0">
      <alignment vertical="center"/>
    </xf>
    <xf numFmtId="0" fontId="46" fillId="0" borderId="0"/>
    <xf numFmtId="0" fontId="46" fillId="0" borderId="0"/>
    <xf numFmtId="168" fontId="46" fillId="0" borderId="0"/>
    <xf numFmtId="0" fontId="38" fillId="0" borderId="0"/>
    <xf numFmtId="171" fontId="38" fillId="0" borderId="0"/>
    <xf numFmtId="0" fontId="46" fillId="0" borderId="0"/>
    <xf numFmtId="0" fontId="49" fillId="0" borderId="0"/>
    <xf numFmtId="0" fontId="49" fillId="0" borderId="0"/>
    <xf numFmtId="0" fontId="49" fillId="0" borderId="0"/>
    <xf numFmtId="0" fontId="49" fillId="0" borderId="0"/>
    <xf numFmtId="0" fontId="49" fillId="0" borderId="0"/>
    <xf numFmtId="168" fontId="52" fillId="0" borderId="0"/>
    <xf numFmtId="171" fontId="46" fillId="0" borderId="0"/>
    <xf numFmtId="168" fontId="52" fillId="0" borderId="0"/>
    <xf numFmtId="171" fontId="38" fillId="0" borderId="0"/>
    <xf numFmtId="168" fontId="46" fillId="0" borderId="0"/>
    <xf numFmtId="0" fontId="46" fillId="0" borderId="0"/>
    <xf numFmtId="168" fontId="52" fillId="0" borderId="0"/>
    <xf numFmtId="168" fontId="32" fillId="0" borderId="0"/>
    <xf numFmtId="168" fontId="52" fillId="0" borderId="0"/>
    <xf numFmtId="168" fontId="32" fillId="0" borderId="0"/>
    <xf numFmtId="0" fontId="52" fillId="0" borderId="0"/>
    <xf numFmtId="168" fontId="32" fillId="0" borderId="0"/>
    <xf numFmtId="0" fontId="32" fillId="0" borderId="0"/>
    <xf numFmtId="168" fontId="52" fillId="0" borderId="0"/>
    <xf numFmtId="168" fontId="46" fillId="0" borderId="0"/>
    <xf numFmtId="0" fontId="46" fillId="0" borderId="0"/>
    <xf numFmtId="168" fontId="46" fillId="0" borderId="0"/>
    <xf numFmtId="0" fontId="46" fillId="0" borderId="0"/>
    <xf numFmtId="168" fontId="46" fillId="0" borderId="0"/>
    <xf numFmtId="0" fontId="46" fillId="0" borderId="0"/>
    <xf numFmtId="0" fontId="38" fillId="0" borderId="0"/>
    <xf numFmtId="168" fontId="46" fillId="0" borderId="0"/>
    <xf numFmtId="168" fontId="46" fillId="0" borderId="0"/>
    <xf numFmtId="168" fontId="52" fillId="0" borderId="0"/>
    <xf numFmtId="168" fontId="46" fillId="0" borderId="0"/>
    <xf numFmtId="171" fontId="38" fillId="0" borderId="0"/>
    <xf numFmtId="171" fontId="38" fillId="0" borderId="0"/>
    <xf numFmtId="171" fontId="38" fillId="0" borderId="0"/>
    <xf numFmtId="171" fontId="38" fillId="0" borderId="0"/>
    <xf numFmtId="171" fontId="38" fillId="0" borderId="0"/>
    <xf numFmtId="168" fontId="52" fillId="0" borderId="0"/>
    <xf numFmtId="171" fontId="46" fillId="0" borderId="0"/>
    <xf numFmtId="171" fontId="46" fillId="0" borderId="0"/>
    <xf numFmtId="171" fontId="46" fillId="0" borderId="0"/>
    <xf numFmtId="171" fontId="38" fillId="0" borderId="0"/>
    <xf numFmtId="0" fontId="46" fillId="0" borderId="0"/>
    <xf numFmtId="0" fontId="46" fillId="0" borderId="0"/>
    <xf numFmtId="0" fontId="46" fillId="0" borderId="0"/>
    <xf numFmtId="168" fontId="54"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71"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0" fontId="46" fillId="0" borderId="0"/>
    <xf numFmtId="171" fontId="38" fillId="0" borderId="0"/>
    <xf numFmtId="180" fontId="37" fillId="11" borderId="0" applyFont="0" applyBorder="0">
      <alignment horizontal="center" vertical="center" shrinkToFit="1"/>
    </xf>
    <xf numFmtId="168" fontId="32" fillId="0" borderId="0"/>
    <xf numFmtId="168" fontId="52" fillId="0" borderId="0"/>
    <xf numFmtId="168" fontId="32" fillId="0" borderId="0"/>
    <xf numFmtId="0" fontId="52" fillId="0" borderId="0"/>
    <xf numFmtId="168" fontId="32" fillId="0" borderId="0"/>
    <xf numFmtId="0" fontId="32" fillId="0" borderId="0"/>
    <xf numFmtId="0" fontId="38" fillId="0" borderId="0"/>
    <xf numFmtId="0" fontId="38" fillId="0" borderId="0"/>
    <xf numFmtId="0" fontId="45" fillId="0" borderId="0">
      <protection locked="0"/>
    </xf>
    <xf numFmtId="0" fontId="45" fillId="0" borderId="0">
      <protection locked="0"/>
    </xf>
    <xf numFmtId="181" fontId="61" fillId="0" borderId="0">
      <protection locked="0"/>
    </xf>
    <xf numFmtId="182" fontId="61" fillId="0" borderId="0">
      <protection locked="0"/>
    </xf>
    <xf numFmtId="181" fontId="61" fillId="0" borderId="0">
      <protection locked="0"/>
    </xf>
    <xf numFmtId="183" fontId="61" fillId="0" borderId="0">
      <protection locked="0"/>
    </xf>
    <xf numFmtId="182" fontId="61" fillId="0" borderId="0">
      <protection locked="0"/>
    </xf>
    <xf numFmtId="183" fontId="61" fillId="0" borderId="0">
      <protection locked="0"/>
    </xf>
    <xf numFmtId="0" fontId="45" fillId="0" borderId="0">
      <protection locked="0"/>
    </xf>
    <xf numFmtId="184" fontId="61" fillId="0" borderId="0">
      <protection locked="0"/>
    </xf>
    <xf numFmtId="183" fontId="61" fillId="0" borderId="0">
      <protection locked="0"/>
    </xf>
    <xf numFmtId="0" fontId="45" fillId="0" borderId="0">
      <protection locked="0"/>
    </xf>
    <xf numFmtId="168" fontId="45" fillId="0" borderId="0">
      <protection locked="0"/>
    </xf>
    <xf numFmtId="185" fontId="62" fillId="0" borderId="0" applyFont="0" applyFill="0" applyBorder="0" applyAlignment="0" applyProtection="0"/>
    <xf numFmtId="168" fontId="63" fillId="0" borderId="0"/>
    <xf numFmtId="186" fontId="62" fillId="0" borderId="0" applyFont="0" applyFill="0" applyBorder="0" applyAlignment="0" applyProtection="0"/>
    <xf numFmtId="187" fontId="61" fillId="0" borderId="29">
      <protection locked="0"/>
    </xf>
    <xf numFmtId="0" fontId="45" fillId="0" borderId="25">
      <protection locked="0"/>
    </xf>
    <xf numFmtId="0" fontId="45" fillId="0" borderId="25">
      <protection locked="0"/>
    </xf>
    <xf numFmtId="168" fontId="37" fillId="0" borderId="0"/>
    <xf numFmtId="168" fontId="37" fillId="0" borderId="0"/>
    <xf numFmtId="168" fontId="37" fillId="0" borderId="0"/>
    <xf numFmtId="168" fontId="53" fillId="0" borderId="0">
      <alignment vertical="center"/>
    </xf>
    <xf numFmtId="168" fontId="64" fillId="0" borderId="0">
      <alignment vertical="center"/>
    </xf>
    <xf numFmtId="168" fontId="53" fillId="0" borderId="0">
      <alignment vertical="center"/>
    </xf>
    <xf numFmtId="0" fontId="65" fillId="0" borderId="0">
      <protection locked="0"/>
    </xf>
    <xf numFmtId="0" fontId="65" fillId="0" borderId="0">
      <protection locked="0"/>
    </xf>
    <xf numFmtId="187" fontId="66" fillId="0" borderId="0">
      <protection locked="0"/>
    </xf>
    <xf numFmtId="168" fontId="66" fillId="0" borderId="0">
      <protection locked="0"/>
    </xf>
    <xf numFmtId="187" fontId="66" fillId="0" borderId="0">
      <protection locked="0"/>
    </xf>
    <xf numFmtId="168" fontId="66" fillId="0" borderId="0">
      <protection locked="0"/>
    </xf>
    <xf numFmtId="0" fontId="67" fillId="0" borderId="0"/>
    <xf numFmtId="187" fontId="61" fillId="0" borderId="29">
      <protection locked="0"/>
    </xf>
    <xf numFmtId="168" fontId="61" fillId="0" borderId="29">
      <protection locked="0"/>
    </xf>
    <xf numFmtId="0" fontId="45" fillId="0" borderId="0">
      <protection locked="0"/>
    </xf>
    <xf numFmtId="0" fontId="45" fillId="0" borderId="0">
      <protection locked="0"/>
    </xf>
    <xf numFmtId="0" fontId="45"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45" fillId="0" borderId="0">
      <protection locked="0"/>
    </xf>
    <xf numFmtId="0" fontId="45"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45" fillId="0" borderId="0">
      <protection locked="0"/>
    </xf>
    <xf numFmtId="0" fontId="65" fillId="0" borderId="0">
      <protection locked="0"/>
    </xf>
    <xf numFmtId="0" fontId="65" fillId="0" borderId="0">
      <protection locked="0"/>
    </xf>
    <xf numFmtId="188" fontId="32"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90" fontId="68" fillId="0" borderId="30" applyFont="0" applyFill="0" applyBorder="0" applyAlignment="0" applyProtection="0">
      <alignment horizontal="right"/>
    </xf>
    <xf numFmtId="9" fontId="32" fillId="0" borderId="0"/>
    <xf numFmtId="9" fontId="52" fillId="0" borderId="0"/>
    <xf numFmtId="9" fontId="32" fillId="0" borderId="0"/>
    <xf numFmtId="168" fontId="63" fillId="0" borderId="0"/>
    <xf numFmtId="168" fontId="69" fillId="0" borderId="0"/>
    <xf numFmtId="191" fontId="70" fillId="0" borderId="0" applyFont="0" applyAlignment="0" applyProtection="0">
      <protection locked="0" hidden="1"/>
    </xf>
    <xf numFmtId="168" fontId="71" fillId="0" borderId="0"/>
    <xf numFmtId="168" fontId="69" fillId="0" borderId="0"/>
    <xf numFmtId="168" fontId="72" fillId="12" borderId="0"/>
    <xf numFmtId="168" fontId="72" fillId="12" borderId="0"/>
    <xf numFmtId="168" fontId="72" fillId="12" borderId="0"/>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0" fontId="73" fillId="13" borderId="19" applyNumberFormat="0" applyFill="0" applyBorder="0" applyAlignment="0">
      <alignment horizontal="left"/>
    </xf>
    <xf numFmtId="0" fontId="73" fillId="13" borderId="19" applyNumberFormat="0" applyFill="0" applyBorder="0" applyAlignment="0">
      <alignment horizontal="left"/>
    </xf>
    <xf numFmtId="168" fontId="74" fillId="13" borderId="0" applyNumberFormat="0" applyFill="0" applyBorder="0" applyAlignment="0"/>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0" fontId="75" fillId="14" borderId="19" applyNumberFormat="0" applyFill="0" applyBorder="0" applyAlignment="0">
      <alignment horizontal="left"/>
    </xf>
    <xf numFmtId="0" fontId="75" fillId="14" borderId="19" applyNumberFormat="0" applyFill="0" applyBorder="0" applyAlignment="0">
      <alignment horizontal="left"/>
    </xf>
    <xf numFmtId="168" fontId="76" fillId="15" borderId="0" applyNumberFormat="0" applyFill="0" applyBorder="0" applyAlignment="0"/>
    <xf numFmtId="168" fontId="77" fillId="0" borderId="0" applyNumberFormat="0" applyFill="0" applyBorder="0" applyAlignment="0"/>
    <xf numFmtId="168" fontId="78" fillId="0" borderId="7" applyNumberFormat="0" applyFill="0" applyBorder="0" applyAlignment="0">
      <alignment horizontal="left"/>
    </xf>
    <xf numFmtId="168" fontId="79" fillId="16" borderId="21" applyNumberFormat="0" applyFill="0" applyBorder="0" applyAlignment="0">
      <alignment horizontal="centerContinuous"/>
    </xf>
    <xf numFmtId="168" fontId="80" fillId="0" borderId="0" applyNumberFormat="0" applyFill="0" applyBorder="0" applyAlignment="0"/>
    <xf numFmtId="168" fontId="80" fillId="17" borderId="31" applyNumberFormat="0" applyFill="0" applyBorder="0" applyAlignment="0"/>
    <xf numFmtId="0" fontId="80" fillId="17" borderId="31" applyNumberFormat="0" applyFill="0" applyBorder="0" applyAlignment="0"/>
    <xf numFmtId="0" fontId="80" fillId="17" borderId="31" applyNumberFormat="0" applyFill="0" applyBorder="0" applyAlignment="0"/>
    <xf numFmtId="168" fontId="81" fillId="0" borderId="7" applyNumberFormat="0" applyFill="0" applyBorder="0" applyAlignment="0"/>
    <xf numFmtId="168" fontId="80" fillId="0" borderId="0" applyNumberFormat="0" applyFill="0" applyBorder="0" applyAlignment="0"/>
    <xf numFmtId="0"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4" fillId="5"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4" fillId="5" borderId="0" applyNumberFormat="0" applyBorder="0" applyAlignment="0" applyProtection="0"/>
    <xf numFmtId="168" fontId="83" fillId="18" borderId="0" applyNumberFormat="0" applyBorder="0" applyAlignment="0" applyProtection="0"/>
    <xf numFmtId="168" fontId="3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3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0" fontId="8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3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3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0" fontId="8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18" borderId="0" applyNumberFormat="0" applyBorder="0" applyAlignment="0" applyProtection="0"/>
    <xf numFmtId="0" fontId="82" fillId="18" borderId="0" applyNumberFormat="0" applyBorder="0" applyAlignment="0" applyProtection="0"/>
    <xf numFmtId="0"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0" fontId="82" fillId="18" borderId="0" applyNumberFormat="0" applyBorder="0" applyAlignment="0" applyProtection="0"/>
    <xf numFmtId="168" fontId="82" fillId="18" borderId="0" applyNumberFormat="0" applyBorder="0" applyAlignment="0" applyProtection="0"/>
    <xf numFmtId="168" fontId="8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9" borderId="0" applyNumberFormat="0" applyBorder="0" applyAlignment="0" applyProtection="0"/>
    <xf numFmtId="0" fontId="82" fillId="19" borderId="0" applyNumberFormat="0" applyBorder="0" applyAlignment="0" applyProtection="0"/>
    <xf numFmtId="0"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0" fontId="82" fillId="19" borderId="0" applyNumberFormat="0" applyBorder="0" applyAlignment="0" applyProtection="0"/>
    <xf numFmtId="168" fontId="82" fillId="19" borderId="0" applyNumberFormat="0" applyBorder="0" applyAlignment="0" applyProtection="0"/>
    <xf numFmtId="168" fontId="8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20" borderId="0" applyNumberFormat="0" applyBorder="0" applyAlignment="0" applyProtection="0"/>
    <xf numFmtId="0" fontId="82" fillId="20" borderId="0" applyNumberFormat="0" applyBorder="0" applyAlignment="0" applyProtection="0"/>
    <xf numFmtId="0"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0" fontId="82" fillId="20" borderId="0" applyNumberFormat="0" applyBorder="0" applyAlignment="0" applyProtection="0"/>
    <xf numFmtId="168" fontId="82" fillId="20" borderId="0" applyNumberFormat="0" applyBorder="0" applyAlignment="0" applyProtection="0"/>
    <xf numFmtId="168" fontId="8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2" borderId="0" applyNumberFormat="0" applyBorder="0" applyAlignment="0" applyProtection="0"/>
    <xf numFmtId="0"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5" fillId="28"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3" borderId="0" applyNumberFormat="0" applyBorder="0" applyAlignment="0" applyProtection="0"/>
    <xf numFmtId="0" fontId="82" fillId="23" borderId="0" applyNumberFormat="0" applyBorder="0" applyAlignment="0" applyProtection="0"/>
    <xf numFmtId="0"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0" fontId="82" fillId="23" borderId="0" applyNumberFormat="0" applyBorder="0" applyAlignment="0" applyProtection="0"/>
    <xf numFmtId="168" fontId="82" fillId="23" borderId="0" applyNumberFormat="0" applyBorder="0" applyAlignment="0" applyProtection="0"/>
    <xf numFmtId="168" fontId="8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7" fillId="18" borderId="0" applyNumberFormat="0" applyBorder="0" applyAlignment="0" applyProtection="0">
      <alignment vertical="center"/>
    </xf>
    <xf numFmtId="0" fontId="37" fillId="18" borderId="0" applyNumberFormat="0" applyBorder="0" applyAlignment="0" applyProtection="0">
      <alignment vertical="center"/>
    </xf>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22" borderId="0" applyNumberFormat="0" applyBorder="0" applyAlignment="0" applyProtection="0">
      <alignment vertical="center"/>
    </xf>
    <xf numFmtId="0" fontId="37" fillId="22" borderId="0" applyNumberFormat="0" applyBorder="0" applyAlignment="0" applyProtection="0">
      <alignment vertical="center"/>
    </xf>
    <xf numFmtId="168" fontId="37" fillId="23" borderId="0" applyNumberFormat="0" applyBorder="0" applyAlignment="0" applyProtection="0">
      <alignment vertical="center"/>
    </xf>
    <xf numFmtId="0" fontId="37" fillId="23" borderId="0" applyNumberFormat="0" applyBorder="0" applyAlignment="0" applyProtection="0">
      <alignment vertical="center"/>
    </xf>
    <xf numFmtId="192" fontId="70" fillId="0" borderId="0" applyFill="0" applyBorder="0" applyProtection="0">
      <alignment horizontal="right"/>
    </xf>
    <xf numFmtId="168" fontId="63" fillId="0" borderId="0"/>
    <xf numFmtId="168" fontId="69" fillId="0" borderId="0"/>
    <xf numFmtId="168" fontId="63" fillId="0" borderId="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3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0" fontId="8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3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5" borderId="0" applyNumberFormat="0" applyBorder="0" applyAlignment="0" applyProtection="0"/>
    <xf numFmtId="0" fontId="82" fillId="25" borderId="0" applyNumberFormat="0" applyBorder="0" applyAlignment="0" applyProtection="0"/>
    <xf numFmtId="0"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0"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2" fillId="31" borderId="0" applyNumberFormat="0" applyBorder="0" applyAlignment="0" applyProtection="0"/>
    <xf numFmtId="0"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0" fontId="82" fillId="31" borderId="0" applyNumberFormat="0" applyBorder="0" applyAlignment="0" applyProtection="0"/>
    <xf numFmtId="168" fontId="82" fillId="31" borderId="0" applyNumberFormat="0" applyBorder="0" applyAlignment="0" applyProtection="0"/>
    <xf numFmtId="168" fontId="8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6" borderId="0" applyNumberFormat="0" applyBorder="0" applyAlignment="0" applyProtection="0"/>
    <xf numFmtId="0" fontId="82" fillId="26" borderId="0" applyNumberFormat="0" applyBorder="0" applyAlignment="0" applyProtection="0"/>
    <xf numFmtId="0"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0"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6" borderId="0" applyNumberFormat="0" applyBorder="0" applyAlignment="0" applyProtection="0">
      <alignment vertical="center"/>
    </xf>
    <xf numFmtId="0" fontId="37" fillId="26" borderId="0" applyNumberFormat="0" applyBorder="0" applyAlignment="0" applyProtection="0">
      <alignment vertical="center"/>
    </xf>
    <xf numFmtId="0" fontId="86"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32"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0" fontId="86"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32"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0" fontId="86"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32"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0" fontId="86"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35" borderId="0" applyNumberFormat="0" applyBorder="0" applyAlignment="0" applyProtection="0"/>
    <xf numFmtId="0" fontId="86" fillId="35" borderId="0" applyNumberFormat="0" applyBorder="0" applyAlignment="0" applyProtection="0"/>
    <xf numFmtId="0"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0" fontId="86" fillId="35" borderId="0" applyNumberFormat="0" applyBorder="0" applyAlignment="0" applyProtection="0"/>
    <xf numFmtId="168" fontId="86" fillId="35" borderId="0" applyNumberFormat="0" applyBorder="0" applyAlignment="0" applyProtection="0"/>
    <xf numFmtId="168" fontId="86"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25" borderId="0" applyNumberFormat="0" applyBorder="0" applyAlignment="0" applyProtection="0"/>
    <xf numFmtId="0" fontId="86" fillId="25" borderId="0" applyNumberFormat="0" applyBorder="0" applyAlignment="0" applyProtection="0"/>
    <xf numFmtId="0"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0"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6" fillId="31" borderId="0" applyNumberFormat="0" applyBorder="0" applyAlignment="0" applyProtection="0"/>
    <xf numFmtId="0"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0" fontId="86" fillId="31" borderId="0" applyNumberFormat="0" applyBorder="0" applyAlignment="0" applyProtection="0"/>
    <xf numFmtId="168" fontId="86" fillId="31" borderId="0" applyNumberFormat="0" applyBorder="0" applyAlignment="0" applyProtection="0"/>
    <xf numFmtId="168" fontId="86"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0"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0"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24" borderId="0" applyNumberFormat="0" applyBorder="0" applyAlignment="0" applyProtection="0"/>
    <xf numFmtId="0" fontId="86" fillId="24" borderId="0" applyNumberFormat="0" applyBorder="0" applyAlignment="0" applyProtection="0"/>
    <xf numFmtId="0"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0" fontId="86" fillId="24" borderId="0" applyNumberFormat="0" applyBorder="0" applyAlignment="0" applyProtection="0"/>
    <xf numFmtId="168" fontId="86" fillId="24" borderId="0" applyNumberFormat="0" applyBorder="0" applyAlignment="0" applyProtection="0"/>
    <xf numFmtId="168" fontId="86"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7" fillId="35" borderId="0" applyNumberFormat="0" applyBorder="0" applyAlignment="0" applyProtection="0">
      <alignment vertical="center"/>
    </xf>
    <xf numFmtId="0" fontId="37" fillId="35"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24" borderId="0" applyNumberFormat="0" applyBorder="0" applyAlignment="0" applyProtection="0">
      <alignment vertical="center"/>
    </xf>
    <xf numFmtId="0" fontId="37" fillId="24" borderId="0" applyNumberFormat="0" applyBorder="0" applyAlignment="0" applyProtection="0">
      <alignment vertical="center"/>
    </xf>
    <xf numFmtId="193" fontId="88" fillId="0" borderId="0" applyFont="0" applyFill="0" applyBorder="0">
      <alignment horizontal="center"/>
    </xf>
    <xf numFmtId="168" fontId="89" fillId="0" borderId="0">
      <alignment horizontal="right"/>
    </xf>
    <xf numFmtId="194" fontId="37" fillId="0" borderId="0" applyFont="0" applyFill="0" applyBorder="0" applyAlignment="0" applyProtection="0"/>
    <xf numFmtId="195" fontId="37" fillId="0" borderId="0" applyFont="0" applyFill="0" applyBorder="0" applyAlignment="0" applyProtection="0"/>
    <xf numFmtId="194" fontId="37" fillId="0" borderId="0" applyFont="0" applyFill="0" applyBorder="0" applyAlignment="0" applyProtection="0"/>
    <xf numFmtId="195" fontId="37" fillId="0" borderId="0" applyFont="0" applyFill="0" applyBorder="0" applyAlignment="0" applyProtection="0"/>
    <xf numFmtId="0" fontId="86" fillId="39" borderId="0" applyNumberFormat="0" applyBorder="0" applyAlignment="0" applyProtection="0"/>
    <xf numFmtId="168" fontId="83" fillId="40"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32"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0" fontId="86" fillId="39" borderId="0" applyNumberFormat="0" applyBorder="0" applyAlignment="0" applyProtection="0"/>
    <xf numFmtId="0" fontId="86" fillId="42" borderId="0" applyNumberFormat="0" applyBorder="0" applyAlignment="0" applyProtection="0"/>
    <xf numFmtId="168" fontId="83" fillId="43" borderId="0" applyNumberFormat="0" applyBorder="0" applyAlignment="0" applyProtection="0"/>
    <xf numFmtId="168" fontId="83" fillId="44" borderId="0" applyNumberFormat="0" applyBorder="0" applyAlignment="0" applyProtection="0"/>
    <xf numFmtId="168" fontId="87" fillId="45"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32"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0" fontId="86" fillId="42" borderId="0" applyNumberFormat="0" applyBorder="0" applyAlignment="0" applyProtection="0"/>
    <xf numFmtId="0" fontId="86" fillId="46" borderId="0" applyNumberFormat="0" applyBorder="0" applyAlignment="0" applyProtection="0"/>
    <xf numFmtId="168" fontId="83" fillId="43" borderId="0" applyNumberFormat="0" applyBorder="0" applyAlignment="0" applyProtection="0"/>
    <xf numFmtId="168" fontId="83" fillId="47" borderId="0" applyNumberFormat="0" applyBorder="0" applyAlignment="0" applyProtection="0"/>
    <xf numFmtId="168" fontId="87" fillId="44"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32"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0" fontId="86" fillId="46" borderId="0" applyNumberFormat="0" applyBorder="0" applyAlignment="0" applyProtection="0"/>
    <xf numFmtId="0" fontId="86" fillId="36" borderId="0" applyNumberFormat="0" applyBorder="0" applyAlignment="0" applyProtection="0"/>
    <xf numFmtId="168" fontId="83" fillId="40" borderId="0" applyNumberFormat="0" applyBorder="0" applyAlignment="0" applyProtection="0"/>
    <xf numFmtId="168" fontId="83" fillId="44" borderId="0" applyNumberFormat="0" applyBorder="0" applyAlignment="0" applyProtection="0"/>
    <xf numFmtId="168" fontId="87" fillId="44"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6" borderId="0" applyNumberFormat="0" applyBorder="0" applyAlignment="0" applyProtection="0"/>
    <xf numFmtId="0" fontId="86" fillId="37" borderId="0" applyNumberFormat="0" applyBorder="0" applyAlignment="0" applyProtection="0"/>
    <xf numFmtId="168" fontId="83" fillId="48"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37" borderId="0" applyNumberFormat="0" applyBorder="0" applyAlignment="0" applyProtection="0"/>
    <xf numFmtId="0" fontId="86" fillId="49" borderId="0" applyNumberFormat="0" applyBorder="0" applyAlignment="0" applyProtection="0"/>
    <xf numFmtId="168" fontId="83" fillId="43" borderId="0" applyNumberFormat="0" applyBorder="0" applyAlignment="0" applyProtection="0"/>
    <xf numFmtId="168" fontId="83" fillId="50" borderId="0" applyNumberFormat="0" applyBorder="0" applyAlignment="0" applyProtection="0"/>
    <xf numFmtId="168" fontId="87" fillId="50"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32"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0" fontId="86" fillId="49" borderId="0" applyNumberFormat="0" applyBorder="0" applyAlignment="0" applyProtection="0"/>
    <xf numFmtId="196" fontId="90" fillId="51" borderId="0">
      <alignment horizontal="center" vertical="center"/>
    </xf>
    <xf numFmtId="197" fontId="91" fillId="0" borderId="32" applyFont="0" applyFill="0">
      <alignment horizontal="right" vertical="center"/>
      <protection locked="0"/>
    </xf>
    <xf numFmtId="198" fontId="37" fillId="0" borderId="0" applyFont="0" applyFill="0" applyBorder="0" applyProtection="0"/>
    <xf numFmtId="0" fontId="92" fillId="0" borderId="0" applyNumberFormat="0" applyFill="0" applyBorder="0" applyAlignment="0" applyProtection="0">
      <alignment vertical="top"/>
      <protection locked="0"/>
    </xf>
    <xf numFmtId="199"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200"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168" fontId="95" fillId="0" borderId="0" applyNumberFormat="0" applyFill="0" applyBorder="0" applyAlignment="0" applyProtection="0">
      <alignment vertical="top"/>
      <protection locked="0"/>
    </xf>
    <xf numFmtId="168" fontId="40" fillId="0" borderId="0"/>
    <xf numFmtId="201" fontId="54" fillId="0" borderId="33">
      <protection locked="0"/>
    </xf>
    <xf numFmtId="202" fontId="32" fillId="0" borderId="0" applyFont="0" applyFill="0" applyBorder="0" applyAlignment="0" applyProtection="0"/>
    <xf numFmtId="203" fontId="32" fillId="0" borderId="0" applyFont="0" applyFill="0" applyBorder="0" applyAlignment="0" applyProtection="0"/>
    <xf numFmtId="204" fontId="96" fillId="0" borderId="0">
      <alignment horizontal="left"/>
    </xf>
    <xf numFmtId="204" fontId="96" fillId="0" borderId="0">
      <alignment horizontal="left"/>
    </xf>
    <xf numFmtId="204" fontId="96" fillId="0" borderId="0">
      <alignment horizontal="left"/>
    </xf>
    <xf numFmtId="39" fontId="97" fillId="0" borderId="0" applyFont="0" applyFill="0">
      <alignment vertical="center"/>
    </xf>
    <xf numFmtId="205" fontId="67" fillId="0" borderId="0"/>
    <xf numFmtId="0" fontId="98" fillId="0" borderId="0">
      <alignment horizontal="right"/>
    </xf>
    <xf numFmtId="197" fontId="91" fillId="0" borderId="0" applyFont="0" applyBorder="0" applyProtection="0">
      <alignment vertical="center"/>
    </xf>
    <xf numFmtId="196" fontId="37" fillId="0" borderId="0" applyNumberFormat="0" applyFont="0" applyAlignment="0">
      <alignment horizontal="center" vertical="center"/>
    </xf>
    <xf numFmtId="168" fontId="40" fillId="0" borderId="0" applyNumberFormat="0" applyFill="0" applyBorder="0" applyAlignment="0" applyProtection="0"/>
    <xf numFmtId="168" fontId="99" fillId="0" borderId="0" applyNumberFormat="0" applyFill="0" applyBorder="0" applyAlignment="0" applyProtection="0"/>
    <xf numFmtId="206" fontId="100" fillId="8" borderId="0" applyBorder="0">
      <protection locked="0"/>
    </xf>
    <xf numFmtId="198" fontId="101" fillId="52" borderId="12"/>
    <xf numFmtId="198" fontId="101" fillId="52" borderId="12"/>
    <xf numFmtId="198" fontId="101" fillId="52" borderId="12"/>
    <xf numFmtId="179" fontId="94" fillId="0" borderId="0" applyFont="0" applyFill="0" applyBorder="0" applyAlignment="0" applyProtection="0"/>
    <xf numFmtId="179" fontId="94" fillId="0" borderId="0" applyFont="0" applyFill="0" applyBorder="0" applyAlignment="0" applyProtection="0"/>
    <xf numFmtId="0" fontId="102" fillId="0" borderId="0"/>
    <xf numFmtId="170" fontId="103" fillId="0" borderId="0"/>
    <xf numFmtId="39" fontId="104" fillId="7" borderId="0" applyNumberFormat="0" applyBorder="0">
      <alignment vertical="center"/>
    </xf>
    <xf numFmtId="0" fontId="105"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32"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53" fillId="53" borderId="0"/>
    <xf numFmtId="168" fontId="107" fillId="53" borderId="0"/>
    <xf numFmtId="0" fontId="108" fillId="0" borderId="0"/>
    <xf numFmtId="168" fontId="109" fillId="0" borderId="0" applyNumberFormat="0" applyFill="0" applyBorder="0" applyAlignment="0" applyProtection="0"/>
    <xf numFmtId="0" fontId="54" fillId="0" borderId="0">
      <alignment horizontal="left"/>
    </xf>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38" fontId="111" fillId="0" borderId="0" applyNumberFormat="0" applyFill="0" applyBorder="0" applyAlignment="0" applyProtection="0">
      <alignment horizontal="right"/>
      <protection locked="0"/>
    </xf>
    <xf numFmtId="172" fontId="103" fillId="0" borderId="0"/>
    <xf numFmtId="168" fontId="112" fillId="0" borderId="0" applyNumberFormat="0" applyFill="0" applyBorder="0" applyAlignment="0" applyProtection="0"/>
    <xf numFmtId="0" fontId="113" fillId="0" borderId="31" applyNumberFormat="0" applyFill="0" applyAlignment="0" applyProtection="0"/>
    <xf numFmtId="0" fontId="113" fillId="0" borderId="31" applyNumberFormat="0" applyFill="0" applyAlignment="0" applyProtection="0"/>
    <xf numFmtId="0" fontId="113" fillId="0" borderId="31" applyNumberFormat="0" applyFill="0" applyAlignment="0" applyProtection="0"/>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left"/>
    </xf>
    <xf numFmtId="168" fontId="104" fillId="0" borderId="0">
      <alignment horizontal="right"/>
    </xf>
    <xf numFmtId="168" fontId="63"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8" fontId="115" fillId="0" borderId="0" applyFont="0" applyFill="0" applyBorder="0" applyAlignment="0" applyProtection="0"/>
    <xf numFmtId="49" fontId="116" fillId="0" borderId="0" applyFill="0" applyBorder="0">
      <alignment horizontal="left"/>
    </xf>
    <xf numFmtId="201" fontId="117" fillId="0" borderId="0" applyFill="0" applyBorder="0">
      <alignment horizontal="left"/>
    </xf>
    <xf numFmtId="49" fontId="118" fillId="0" borderId="0" applyFill="0" applyBorder="0">
      <alignment horizontal="left"/>
    </xf>
    <xf numFmtId="2" fontId="119" fillId="0" borderId="0" applyFill="0" applyBorder="0">
      <alignment horizontal="left"/>
    </xf>
    <xf numFmtId="0" fontId="62" fillId="0" borderId="0" applyFont="0" applyFill="0" applyBorder="0" applyAlignment="0" applyProtection="0"/>
    <xf numFmtId="209" fontId="120" fillId="0" borderId="0"/>
    <xf numFmtId="168" fontId="121" fillId="0" borderId="0"/>
    <xf numFmtId="179" fontId="122" fillId="0" borderId="0"/>
    <xf numFmtId="179" fontId="94" fillId="0" borderId="0"/>
    <xf numFmtId="179" fontId="123" fillId="0" borderId="0"/>
    <xf numFmtId="179" fontId="123" fillId="0" borderId="0"/>
    <xf numFmtId="179" fontId="93" fillId="0" borderId="0"/>
    <xf numFmtId="179" fontId="94" fillId="0" borderId="0"/>
    <xf numFmtId="179" fontId="93" fillId="0" borderId="0"/>
    <xf numFmtId="179" fontId="94" fillId="0" borderId="0"/>
    <xf numFmtId="179" fontId="93" fillId="0" borderId="0"/>
    <xf numFmtId="179" fontId="94" fillId="0" borderId="0"/>
    <xf numFmtId="179" fontId="124" fillId="0" borderId="0"/>
    <xf numFmtId="210" fontId="125" fillId="0" borderId="0" applyFill="0" applyBorder="0" applyAlignment="0"/>
    <xf numFmtId="168" fontId="39" fillId="0" borderId="0" applyFill="0" applyBorder="0" applyAlignment="0"/>
    <xf numFmtId="168" fontId="39" fillId="0" borderId="0" applyFill="0" applyBorder="0" applyAlignment="0"/>
    <xf numFmtId="211"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214" fontId="37" fillId="0" borderId="0" applyFill="0" applyBorder="0" applyAlignment="0"/>
    <xf numFmtId="215" fontId="125" fillId="0" borderId="0" applyFill="0" applyBorder="0" applyAlignment="0"/>
    <xf numFmtId="216" fontId="40" fillId="0" borderId="0" applyFill="0" applyBorder="0" applyAlignment="0"/>
    <xf numFmtId="216" fontId="40" fillId="0" borderId="0" applyFill="0" applyBorder="0" applyAlignment="0"/>
    <xf numFmtId="217" fontId="126" fillId="0" borderId="0" applyFill="0" applyBorder="0" applyAlignment="0"/>
    <xf numFmtId="218" fontId="125" fillId="0" borderId="0" applyFill="0" applyBorder="0" applyAlignment="0"/>
    <xf numFmtId="219" fontId="40" fillId="0" borderId="0" applyFill="0" applyBorder="0" applyAlignment="0"/>
    <xf numFmtId="219" fontId="40" fillId="0" borderId="0" applyFill="0" applyBorder="0" applyAlignment="0"/>
    <xf numFmtId="220" fontId="126" fillId="0" borderId="0" applyFill="0" applyBorder="0" applyAlignment="0"/>
    <xf numFmtId="221" fontId="125" fillId="0" borderId="0" applyFill="0" applyBorder="0" applyAlignment="0"/>
    <xf numFmtId="222" fontId="40" fillId="0" borderId="0" applyFill="0" applyBorder="0" applyAlignment="0"/>
    <xf numFmtId="222" fontId="40" fillId="0" borderId="0" applyFill="0" applyBorder="0" applyAlignment="0"/>
    <xf numFmtId="223" fontId="46" fillId="0" borderId="0" applyFill="0" applyBorder="0" applyAlignment="0"/>
    <xf numFmtId="210" fontId="125"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25"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0" fontId="127" fillId="54" borderId="35" applyNumberFormat="0" applyAlignment="0" applyProtection="0"/>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39" fontId="128" fillId="0" borderId="36">
      <protection locked="0"/>
    </xf>
    <xf numFmtId="39" fontId="128" fillId="0" borderId="36">
      <protection locked="0"/>
    </xf>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38" fontId="117" fillId="0" borderId="0">
      <alignment horizontal="left"/>
    </xf>
    <xf numFmtId="168" fontId="37" fillId="55" borderId="0" applyNumberFormat="0" applyFont="0" applyBorder="0" applyAlignment="0"/>
    <xf numFmtId="201" fontId="130" fillId="0" borderId="0"/>
    <xf numFmtId="168" fontId="40" fillId="0" borderId="0">
      <alignment horizontal="center" wrapText="1"/>
    </xf>
    <xf numFmtId="168" fontId="40" fillId="0" borderId="0">
      <alignment horizontal="center" wrapText="1"/>
    </xf>
    <xf numFmtId="168"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168" fontId="131" fillId="0" borderId="0" applyFill="0" applyBorder="0" applyProtection="0">
      <alignment horizontal="center"/>
      <protection locked="0"/>
    </xf>
    <xf numFmtId="1" fontId="132" fillId="0" borderId="0"/>
    <xf numFmtId="228" fontId="54" fillId="56" borderId="37">
      <alignment vertical="center"/>
    </xf>
    <xf numFmtId="0" fontId="133"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32"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229" fontId="37" fillId="0" borderId="39" applyFont="0" applyFill="0" applyBorder="0" applyProtection="0">
      <alignment horizontal="center"/>
      <protection locked="0"/>
    </xf>
    <xf numFmtId="0" fontId="57" fillId="0" borderId="36"/>
    <xf numFmtId="0" fontId="72" fillId="0" borderId="0">
      <alignment horizontal="center" wrapText="1"/>
      <protection hidden="1"/>
    </xf>
    <xf numFmtId="168" fontId="113" fillId="0" borderId="0" applyNumberFormat="0" applyFill="0" applyBorder="0" applyProtection="0">
      <alignment horizontal="center" vertical="center"/>
    </xf>
    <xf numFmtId="0" fontId="135" fillId="0" borderId="0">
      <alignment horizontal="right"/>
    </xf>
    <xf numFmtId="168" fontId="32" fillId="0" borderId="0"/>
    <xf numFmtId="230" fontId="136" fillId="0" borderId="0"/>
    <xf numFmtId="168" fontId="32"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23" fontId="46" fillId="0" borderId="0" applyFont="0" applyFill="0" applyBorder="0" applyAlignment="0" applyProtection="0"/>
    <xf numFmtId="210" fontId="40" fillId="0" borderId="0" applyFont="0" applyFill="0" applyBorder="0" applyAlignment="0" applyProtection="0"/>
    <xf numFmtId="210" fontId="40" fillId="0" borderId="0" applyFont="0" applyFill="0" applyBorder="0" applyAlignment="0" applyProtection="0"/>
    <xf numFmtId="211" fontId="40" fillId="0" borderId="0" applyFont="0" applyFill="0" applyBorder="0" applyAlignment="0" applyProtection="0"/>
    <xf numFmtId="211" fontId="40" fillId="0" borderId="0" applyFont="0" applyFill="0" applyBorder="0" applyAlignment="0" applyProtection="0"/>
    <xf numFmtId="168" fontId="137" fillId="0" borderId="0" applyFont="0" applyFill="0" applyBorder="0" applyAlignment="0" applyProtection="0"/>
    <xf numFmtId="168" fontId="63" fillId="0" borderId="0"/>
    <xf numFmtId="168" fontId="71" fillId="0" borderId="0"/>
    <xf numFmtId="168" fontId="138" fillId="0" borderId="0" applyFont="0" applyFill="0" applyBorder="0" applyAlignment="0" applyProtection="0">
      <alignment horizontal="right"/>
    </xf>
    <xf numFmtId="168" fontId="138"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8" fontId="54" fillId="0" borderId="0" applyFill="0" applyBorder="0" applyAlignment="0" applyProtection="0"/>
    <xf numFmtId="168" fontId="139"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alignment vertical="center"/>
    </xf>
    <xf numFmtId="168" fontId="139" fillId="0" borderId="0" applyFont="0" applyFill="0" applyBorder="0" applyAlignment="0" applyProtection="0"/>
    <xf numFmtId="168"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0" fontId="100" fillId="0" borderId="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7"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82"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7" fontId="84" fillId="0" borderId="0" applyFont="0" applyFill="0" applyBorder="0" applyAlignment="0" applyProtection="0"/>
    <xf numFmtId="238"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3"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7"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7" fontId="11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83"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37"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76" fontId="140" fillId="0" borderId="0" applyFont="0" applyFill="0" applyBorder="0" applyAlignment="0" applyProtection="0"/>
    <xf numFmtId="3" fontId="72" fillId="0" borderId="0" applyNumberFormat="0" applyFont="0" applyFill="0" applyBorder="0" applyAlignment="0" applyProtection="0">
      <alignment vertical="top"/>
    </xf>
    <xf numFmtId="0" fontId="141" fillId="0" borderId="0"/>
    <xf numFmtId="0" fontId="46" fillId="0" borderId="0"/>
    <xf numFmtId="3" fontId="142" fillId="0" borderId="0" applyFont="0" applyFill="0" applyBorder="0" applyAlignment="0" applyProtection="0"/>
    <xf numFmtId="3" fontId="142" fillId="0" borderId="0" applyFont="0" applyFill="0" applyBorder="0" applyAlignment="0" applyProtection="0"/>
    <xf numFmtId="3" fontId="142"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141" fillId="0" borderId="0"/>
    <xf numFmtId="0" fontId="46" fillId="0" borderId="0"/>
    <xf numFmtId="0" fontId="143" fillId="0" borderId="0"/>
    <xf numFmtId="168" fontId="144" fillId="0" borderId="0" applyFill="0" applyBorder="0" applyAlignment="0" applyProtection="0">
      <protection locked="0"/>
    </xf>
    <xf numFmtId="201" fontId="145" fillId="0" borderId="0" applyFill="0" applyBorder="0">
      <alignment horizontal="left"/>
    </xf>
    <xf numFmtId="197" fontId="146" fillId="0" borderId="24" applyNumberFormat="0" applyFill="0" applyBorder="0" applyAlignment="0" applyProtection="0"/>
    <xf numFmtId="191" fontId="147" fillId="0" borderId="0"/>
    <xf numFmtId="239" fontId="147" fillId="0" borderId="0"/>
    <xf numFmtId="240" fontId="147" fillId="0" borderId="0"/>
    <xf numFmtId="168" fontId="148" fillId="0" borderId="30" applyNumberFormat="0" applyFill="0" applyBorder="0" applyAlignment="0" applyProtection="0">
      <alignment horizontal="left"/>
    </xf>
    <xf numFmtId="168" fontId="149" fillId="0" borderId="0" applyNumberFormat="0" applyAlignment="0">
      <alignment horizontal="left"/>
    </xf>
    <xf numFmtId="241" fontId="150" fillId="9" borderId="0" applyBorder="0"/>
    <xf numFmtId="228" fontId="150" fillId="9" borderId="36" applyBorder="0"/>
    <xf numFmtId="242" fontId="150" fillId="9" borderId="36" applyBorder="0"/>
    <xf numFmtId="9" fontId="150" fillId="9" borderId="30" applyBorder="0"/>
    <xf numFmtId="183" fontId="150" fillId="9" borderId="0" applyBorder="0"/>
    <xf numFmtId="235" fontId="150" fillId="9" borderId="40" applyBorder="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0" applyFill="0" applyBorder="0" applyProtection="0"/>
    <xf numFmtId="201" fontId="151" fillId="52" borderId="33"/>
    <xf numFmtId="3" fontId="32" fillId="0" borderId="42" applyNumberFormat="0" applyAlignment="0">
      <alignment vertical="center"/>
    </xf>
    <xf numFmtId="3" fontId="152" fillId="0" borderId="42" applyNumberFormat="0" applyAlignment="0">
      <alignment vertical="center"/>
    </xf>
    <xf numFmtId="168" fontId="152" fillId="0" borderId="43" applyNumberFormat="0" applyAlignment="0"/>
    <xf numFmtId="3" fontId="32" fillId="0" borderId="42" applyNumberFormat="0" applyAlignment="0">
      <alignment vertical="center"/>
    </xf>
    <xf numFmtId="3" fontId="152" fillId="0" borderId="42" applyNumberFormat="0" applyAlignment="0">
      <alignment vertical="center"/>
    </xf>
    <xf numFmtId="244" fontId="72" fillId="0" borderId="0" applyFill="0" applyBorder="0">
      <alignment horizontal="right"/>
      <protection locked="0"/>
    </xf>
    <xf numFmtId="168" fontId="153" fillId="0" borderId="0"/>
    <xf numFmtId="168" fontId="153" fillId="0" borderId="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172" fontId="46" fillId="0" borderId="0" applyFont="0" applyFill="0" applyBorder="0" applyAlignment="0" applyProtection="0"/>
    <xf numFmtId="212" fontId="40" fillId="0" borderId="0" applyFont="0" applyFill="0" applyBorder="0" applyAlignment="0" applyProtection="0"/>
    <xf numFmtId="212" fontId="40" fillId="0" borderId="0" applyFont="0" applyFill="0" applyBorder="0" applyAlignment="0" applyProtection="0"/>
    <xf numFmtId="213" fontId="40" fillId="0" borderId="0" applyFont="0" applyFill="0" applyBorder="0" applyAlignment="0" applyProtection="0"/>
    <xf numFmtId="213" fontId="40" fillId="0" borderId="0" applyFont="0" applyFill="0" applyBorder="0" applyAlignment="0" applyProtection="0"/>
    <xf numFmtId="246" fontId="43" fillId="0" borderId="0" applyFont="0" applyFill="0" applyBorder="0" applyAlignment="0" applyProtection="0"/>
    <xf numFmtId="247" fontId="154" fillId="0" borderId="0" applyFont="0" applyFill="0" applyBorder="0" applyProtection="0">
      <alignment horizontal="right"/>
    </xf>
    <xf numFmtId="248" fontId="154" fillId="0" borderId="0" applyFont="0" applyFill="0" applyBorder="0" applyProtection="0">
      <alignment horizontal="right"/>
    </xf>
    <xf numFmtId="168" fontId="138" fillId="0" borderId="0" applyFont="0" applyFill="0" applyBorder="0" applyAlignment="0" applyProtection="0">
      <alignment horizontal="right"/>
    </xf>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3"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251" fontId="67" fillId="0" borderId="0" applyFont="0" applyFill="0" applyBorder="0" applyAlignment="0" applyProtection="0"/>
    <xf numFmtId="251" fontId="67"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3"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68" fontId="138" fillId="0" borderId="0" applyFont="0" applyFill="0" applyBorder="0" applyAlignment="0" applyProtection="0">
      <alignment horizontal="right"/>
    </xf>
    <xf numFmtId="195" fontId="37" fillId="0" borderId="0" applyFont="0" applyFill="0" applyBorder="0" applyAlignment="0" applyProtection="0"/>
    <xf numFmtId="183" fontId="37" fillId="0" borderId="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37" fontId="155" fillId="0" borderId="44" applyFont="0" applyFill="0" applyBorder="0"/>
    <xf numFmtId="37" fontId="90" fillId="0" borderId="44" applyFont="0" applyFill="0" applyBorder="0">
      <protection locked="0"/>
    </xf>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90" fillId="0" borderId="44" applyFill="0" applyBorder="0">
      <protection locked="0"/>
    </xf>
    <xf numFmtId="252" fontId="72" fillId="0" borderId="0" applyNumberFormat="0" applyFont="0" applyFill="0" applyBorder="0" applyAlignment="0" applyProtection="0">
      <alignment vertical="top"/>
    </xf>
    <xf numFmtId="253" fontId="142" fillId="0" borderId="0" applyFont="0" applyFill="0" applyBorder="0" applyAlignment="0" applyProtection="0"/>
    <xf numFmtId="253" fontId="142" fillId="0" borderId="0" applyFont="0" applyFill="0" applyBorder="0" applyAlignment="0" applyProtection="0"/>
    <xf numFmtId="253" fontId="142"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2" fontId="40" fillId="0" borderId="0" applyFont="0" applyFill="0" applyBorder="0" applyAlignment="0" applyProtection="0"/>
    <xf numFmtId="252" fontId="40" fillId="0"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01" fontId="116" fillId="9" borderId="45" applyNumberFormat="0" applyBorder="0" applyProtection="0">
      <alignment horizontal="right"/>
    </xf>
    <xf numFmtId="0" fontId="72" fillId="0" borderId="0" applyFont="0" applyFill="0" applyBorder="0" applyAlignment="0">
      <protection locked="0"/>
    </xf>
    <xf numFmtId="0" fontId="157" fillId="10" borderId="46" applyNumberFormat="0" applyFont="0" applyBorder="0" applyAlignment="0" applyProtection="0"/>
    <xf numFmtId="0" fontId="37" fillId="0" borderId="0"/>
    <xf numFmtId="0" fontId="62" fillId="0" borderId="0" applyFont="0" applyFill="0" applyBorder="0" applyAlignment="0" applyProtection="0"/>
    <xf numFmtId="168" fontId="53" fillId="43" borderId="0"/>
    <xf numFmtId="168" fontId="107" fillId="59" borderId="0"/>
    <xf numFmtId="15" fontId="32" fillId="0" borderId="0"/>
    <xf numFmtId="15" fontId="158" fillId="0" borderId="0"/>
    <xf numFmtId="15" fontId="32" fillId="0" borderId="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68" fontId="138" fillId="0" borderId="0" applyFont="0" applyFill="0" applyBorder="0" applyAlignment="0" applyProtection="0"/>
    <xf numFmtId="15" fontId="159" fillId="0" borderId="47" applyFont="0" applyFill="0" applyBorder="0" applyAlignment="0">
      <alignment horizontal="centerContinuous"/>
    </xf>
    <xf numFmtId="256" fontId="159" fillId="0" borderId="47" applyFont="0" applyFill="0" applyBorder="0" applyAlignment="0">
      <alignment horizontal="centerContinuous"/>
    </xf>
    <xf numFmtId="14" fontId="125" fillId="0" borderId="0" applyFill="0" applyBorder="0" applyAlignment="0"/>
    <xf numFmtId="168" fontId="37" fillId="11" borderId="0" applyFont="0" applyFill="0" applyBorder="0" applyAlignment="0" applyProtection="0"/>
    <xf numFmtId="257" fontId="103" fillId="0" borderId="0" applyFill="0" applyBorder="0" applyProtection="0"/>
    <xf numFmtId="14" fontId="103" fillId="0" borderId="0" applyFill="0" applyBorder="0" applyProtection="0"/>
    <xf numFmtId="258"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7" fontId="37" fillId="7" borderId="7">
      <alignment horizontal="center"/>
    </xf>
    <xf numFmtId="15" fontId="120" fillId="0" borderId="0">
      <alignment vertical="center"/>
    </xf>
    <xf numFmtId="259" fontId="37" fillId="0" borderId="0" applyFont="0" applyFill="0" applyBorder="0" applyAlignment="0" applyProtection="0">
      <alignment wrapText="1"/>
    </xf>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0" applyFill="0" applyBorder="0" applyProtection="0"/>
    <xf numFmtId="168" fontId="71" fillId="0" borderId="0">
      <alignment horizontal="right"/>
    </xf>
    <xf numFmtId="168" fontId="71" fillId="0" borderId="0">
      <alignment horizontal="right"/>
      <protection locked="0"/>
    </xf>
    <xf numFmtId="168" fontId="71" fillId="0" borderId="0"/>
    <xf numFmtId="168" fontId="71" fillId="0" borderId="0">
      <alignment horizontal="right"/>
      <protection locked="0"/>
    </xf>
    <xf numFmtId="260" fontId="71" fillId="0" borderId="0"/>
    <xf numFmtId="38" fontId="48" fillId="0" borderId="0" applyFont="0" applyFill="0" applyBorder="0" applyAlignment="0" applyProtection="0"/>
    <xf numFmtId="0" fontId="54" fillId="0" borderId="0" applyNumberFormat="0" applyFill="0" applyBorder="0" applyAlignment="0" applyProtection="0"/>
    <xf numFmtId="38" fontId="72" fillId="0" borderId="48">
      <alignment vertical="center"/>
    </xf>
    <xf numFmtId="261" fontId="104" fillId="60" borderId="0" applyNumberFormat="0" applyBorder="0" applyAlignment="0" applyProtection="0"/>
    <xf numFmtId="262" fontId="37" fillId="0" borderId="0" applyFont="0" applyFill="0" applyBorder="0" applyAlignment="0" applyProtection="0"/>
    <xf numFmtId="238" fontId="37" fillId="0" borderId="0" applyFont="0" applyFill="0" applyBorder="0" applyAlignment="0" applyProtection="0"/>
    <xf numFmtId="0" fontId="45" fillId="0" borderId="0">
      <protection locked="0"/>
    </xf>
    <xf numFmtId="263" fontId="160" fillId="0" borderId="0">
      <alignment horizontal="left"/>
    </xf>
    <xf numFmtId="227" fontId="161" fillId="0" borderId="0"/>
    <xf numFmtId="264" fontId="43" fillId="0" borderId="0" applyFont="0" applyFill="0" applyBorder="0" applyAlignment="0" applyProtection="0"/>
    <xf numFmtId="201" fontId="162" fillId="0" borderId="0">
      <alignment horizontal="center"/>
    </xf>
    <xf numFmtId="201" fontId="162" fillId="0" borderId="0">
      <alignment horizontal="center"/>
    </xf>
    <xf numFmtId="201" fontId="162" fillId="0" borderId="0">
      <alignment horizontal="center"/>
    </xf>
    <xf numFmtId="168" fontId="138" fillId="0" borderId="49" applyNumberFormat="0" applyFont="0" applyFill="0" applyAlignment="0" applyProtection="0"/>
    <xf numFmtId="168" fontId="163" fillId="0" borderId="0" applyFill="0" applyBorder="0" applyAlignment="0" applyProtection="0"/>
    <xf numFmtId="168" fontId="71" fillId="0" borderId="0"/>
    <xf numFmtId="38" fontId="72" fillId="0" borderId="0" applyFont="0" applyFill="0" applyBorder="0" applyAlignment="0" applyProtection="0"/>
    <xf numFmtId="168" fontId="164" fillId="0" borderId="0" applyFont="0" applyFill="0" applyBorder="0" applyAlignment="0" applyProtection="0"/>
    <xf numFmtId="168" fontId="165" fillId="0" borderId="0" applyNumberFormat="0" applyFill="0" applyBorder="0" applyAlignment="0" applyProtection="0"/>
    <xf numFmtId="3" fontId="37" fillId="0" borderId="12"/>
    <xf numFmtId="3" fontId="37" fillId="0" borderId="12"/>
    <xf numFmtId="3" fontId="37" fillId="0" borderId="12"/>
    <xf numFmtId="38" fontId="32" fillId="0" borderId="0">
      <alignment vertical="top"/>
    </xf>
    <xf numFmtId="168" fontId="166" fillId="61" borderId="0" applyNumberFormat="0" applyBorder="0" applyAlignment="0" applyProtection="0"/>
    <xf numFmtId="168" fontId="166" fillId="62" borderId="0" applyNumberFormat="0" applyBorder="0" applyAlignment="0" applyProtection="0"/>
    <xf numFmtId="168" fontId="166" fillId="63" borderId="0" applyNumberFormat="0" applyBorder="0" applyAlignment="0" applyProtection="0"/>
    <xf numFmtId="0" fontId="65" fillId="0" borderId="0">
      <protection locked="0"/>
    </xf>
    <xf numFmtId="0" fontId="65" fillId="0" borderId="0">
      <protection locked="0"/>
    </xf>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6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168" fontId="168" fillId="0" borderId="0" applyNumberFormat="0" applyAlignment="0">
      <alignment horizontal="left"/>
    </xf>
    <xf numFmtId="178" fontId="169" fillId="0" borderId="0" applyFont="0" applyFill="0" applyBorder="0" applyAlignment="0" applyProtection="0"/>
    <xf numFmtId="178" fontId="20" fillId="0" borderId="0" applyFont="0" applyFill="0" applyBorder="0" applyAlignment="0" applyProtection="0">
      <alignment vertical="top"/>
    </xf>
    <xf numFmtId="168" fontId="62" fillId="0" borderId="0" applyFont="0" applyFill="0" applyBorder="0" applyAlignment="0" applyProtection="0"/>
    <xf numFmtId="168" fontId="62" fillId="0" borderId="0" applyFont="0" applyFill="0" applyBorder="0" applyAlignment="0" applyProtection="0"/>
    <xf numFmtId="168" fontId="62" fillId="0" borderId="0" applyFont="0" applyFill="0" applyBorder="0" applyAlignment="0" applyProtection="0"/>
    <xf numFmtId="168" fontId="37" fillId="0" borderId="0" applyFont="0" applyFill="0" applyBorder="0" applyAlignment="0" applyProtection="0"/>
    <xf numFmtId="178" fontId="46" fillId="0" borderId="0" applyFont="0" applyFill="0" applyBorder="0" applyAlignment="0" applyProtection="0"/>
    <xf numFmtId="168" fontId="46" fillId="0" borderId="0" applyFont="0" applyFill="0" applyBorder="0" applyAlignment="0" applyProtection="0"/>
    <xf numFmtId="265" fontId="170" fillId="0" borderId="0" applyBorder="0" applyProtection="0"/>
    <xf numFmtId="265" fontId="171" fillId="0" borderId="0" applyBorder="0" applyProtection="0"/>
    <xf numFmtId="0" fontId="17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3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49" fontId="110" fillId="0" borderId="0" applyNumberFormat="0" applyFill="0" applyBorder="0" applyProtection="0">
      <alignment horizontal="center" vertical="top"/>
    </xf>
    <xf numFmtId="266" fontId="174" fillId="0" borderId="0" applyBorder="0">
      <alignment horizontal="right" vertical="top"/>
    </xf>
    <xf numFmtId="267" fontId="110" fillId="0" borderId="0" applyBorder="0">
      <alignment horizontal="right" vertical="top"/>
    </xf>
    <xf numFmtId="267" fontId="174" fillId="0" borderId="0" applyBorder="0">
      <alignment horizontal="right" vertical="top"/>
    </xf>
    <xf numFmtId="268" fontId="110" fillId="0" borderId="0" applyFill="0" applyBorder="0">
      <alignment horizontal="right" vertical="top"/>
    </xf>
    <xf numFmtId="269" fontId="110" fillId="0" borderId="0" applyFill="0" applyBorder="0">
      <alignment horizontal="right" vertical="top"/>
    </xf>
    <xf numFmtId="270" fontId="110" fillId="0" borderId="0" applyFill="0" applyBorder="0">
      <alignment horizontal="right" vertical="top"/>
    </xf>
    <xf numFmtId="271" fontId="110" fillId="0" borderId="0" applyFill="0" applyBorder="0">
      <alignment horizontal="right" vertical="top"/>
    </xf>
    <xf numFmtId="168" fontId="175" fillId="0" borderId="0">
      <alignment horizontal="left"/>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168" fontId="177" fillId="0" borderId="0">
      <alignment vertical="center"/>
    </xf>
    <xf numFmtId="273" fontId="177" fillId="0" borderId="0">
      <alignment horizontal="left" vertical="center"/>
    </xf>
    <xf numFmtId="274" fontId="178" fillId="0" borderId="0">
      <alignment vertical="center"/>
    </xf>
    <xf numFmtId="168" fontId="80" fillId="0" borderId="0">
      <alignment vertical="center"/>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10" fillId="0" borderId="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73" fontId="99" fillId="0" borderId="0">
      <alignment horizontal="left" vertical="center"/>
    </xf>
    <xf numFmtId="272" fontId="99" fillId="0" borderId="0"/>
    <xf numFmtId="272" fontId="180" fillId="0" borderId="0"/>
    <xf numFmtId="272" fontId="181" fillId="0" borderId="0"/>
    <xf numFmtId="272" fontId="40" fillId="0" borderId="0"/>
    <xf numFmtId="272" fontId="182" fillId="0" borderId="0">
      <alignment horizontal="left" vertical="top"/>
    </xf>
    <xf numFmtId="168" fontId="110" fillId="0" borderId="0" applyFill="0" applyBorder="0">
      <alignment horizontal="left" vertical="top" wrapText="1"/>
    </xf>
    <xf numFmtId="168" fontId="183" fillId="0" borderId="0">
      <alignment horizontal="left" vertical="top" wrapText="1"/>
    </xf>
    <xf numFmtId="168" fontId="184" fillId="0" borderId="0">
      <alignment horizontal="left" vertical="top" wrapText="1"/>
    </xf>
    <xf numFmtId="168" fontId="174" fillId="0" borderId="0">
      <alignment horizontal="left" vertical="top" wrapText="1"/>
    </xf>
    <xf numFmtId="275" fontId="37" fillId="0" borderId="0" applyFont="0" applyFill="0" applyBorder="0" applyAlignment="0" applyProtection="0"/>
    <xf numFmtId="276" fontId="37" fillId="0" borderId="0" applyFont="0" applyFill="0" applyBorder="0" applyAlignment="0" applyProtection="0"/>
    <xf numFmtId="190" fontId="185" fillId="0" borderId="0" applyFill="0" applyBorder="0" applyAlignment="0" applyProtection="0"/>
    <xf numFmtId="168" fontId="45" fillId="0" borderId="0">
      <protection locked="0"/>
    </xf>
    <xf numFmtId="190" fontId="57" fillId="0" borderId="0" applyFill="0" applyBorder="0" applyAlignment="0" applyProtection="0"/>
    <xf numFmtId="190" fontId="57" fillId="0" borderId="0" applyFill="0" applyBorder="0" applyAlignment="0" applyProtection="0"/>
    <xf numFmtId="168" fontId="45" fillId="0" borderId="0">
      <protection locked="0"/>
    </xf>
    <xf numFmtId="190" fontId="186" fillId="0" borderId="0" applyFill="0" applyBorder="0" applyAlignment="0" applyProtection="0"/>
    <xf numFmtId="168" fontId="187" fillId="0" borderId="0">
      <protection locked="0"/>
    </xf>
    <xf numFmtId="190" fontId="188" fillId="0" borderId="0" applyFill="0" applyBorder="0" applyAlignment="0" applyProtection="0"/>
    <xf numFmtId="168" fontId="45" fillId="0" borderId="0">
      <protection locked="0"/>
    </xf>
    <xf numFmtId="190" fontId="189" fillId="0" borderId="0" applyFill="0" applyBorder="0" applyAlignment="0" applyProtection="0"/>
    <xf numFmtId="168" fontId="45" fillId="0" borderId="0">
      <protection locked="0"/>
    </xf>
    <xf numFmtId="190" fontId="190" fillId="0" borderId="0" applyFill="0" applyBorder="0" applyAlignment="0" applyProtection="0"/>
    <xf numFmtId="168" fontId="45" fillId="0" borderId="0">
      <protection locked="0"/>
    </xf>
    <xf numFmtId="190" fontId="191" fillId="0" borderId="0" applyFill="0" applyBorder="0" applyAlignment="0" applyProtection="0"/>
    <xf numFmtId="168" fontId="45" fillId="0" borderId="0">
      <protection locked="0"/>
    </xf>
    <xf numFmtId="277" fontId="40" fillId="0" borderId="0" applyFont="0" applyFill="0" applyBorder="0" applyAlignment="0" applyProtection="0"/>
    <xf numFmtId="168" fontId="32" fillId="0" borderId="0"/>
    <xf numFmtId="191" fontId="192" fillId="0" borderId="0"/>
    <xf numFmtId="191" fontId="193" fillId="0" borderId="0"/>
    <xf numFmtId="191" fontId="192" fillId="0" borderId="0"/>
    <xf numFmtId="191" fontId="192" fillId="0" borderId="0"/>
    <xf numFmtId="191" fontId="192" fillId="0" borderId="0"/>
    <xf numFmtId="168" fontId="32" fillId="0" borderId="0"/>
    <xf numFmtId="191" fontId="192" fillId="0" borderId="0"/>
    <xf numFmtId="0" fontId="45" fillId="0" borderId="0">
      <protection locked="0"/>
    </xf>
    <xf numFmtId="0" fontId="45" fillId="0" borderId="0">
      <protection locked="0"/>
    </xf>
    <xf numFmtId="2" fontId="142" fillId="0" borderId="0" applyFont="0" applyFill="0" applyBorder="0" applyAlignment="0" applyProtection="0"/>
    <xf numFmtId="2" fontId="142" fillId="0" borderId="0" applyFont="0" applyFill="0" applyBorder="0" applyAlignment="0" applyProtection="0"/>
    <xf numFmtId="2" fontId="142"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40" fillId="0" borderId="0" applyFont="0" applyFill="0" applyBorder="0" applyAlignment="0" applyProtection="0"/>
    <xf numFmtId="2" fontId="40" fillId="0"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0" fontId="37" fillId="0" borderId="0"/>
    <xf numFmtId="15" fontId="37" fillId="0" borderId="0">
      <alignment vertical="center"/>
    </xf>
    <xf numFmtId="168" fontId="194" fillId="0" borderId="0" applyFill="0" applyBorder="0" applyProtection="0">
      <alignment horizontal="left"/>
    </xf>
    <xf numFmtId="0" fontId="37" fillId="0" borderId="0" applyNumberFormat="0" applyFont="0">
      <alignment wrapText="1"/>
    </xf>
    <xf numFmtId="168" fontId="32" fillId="0" borderId="0"/>
    <xf numFmtId="168" fontId="195" fillId="0" borderId="0"/>
    <xf numFmtId="168" fontId="32" fillId="0" borderId="0"/>
    <xf numFmtId="0" fontId="195" fillId="0" borderId="0"/>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49" fontId="197" fillId="0" borderId="0">
      <alignment horizontal="left"/>
    </xf>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235" fontId="119" fillId="0" borderId="0" applyFill="0" applyBorder="0"/>
    <xf numFmtId="168" fontId="40" fillId="0" borderId="0" applyNumberFormat="0" applyFont="0" applyBorder="0" applyAlignment="0"/>
    <xf numFmtId="228" fontId="119" fillId="0" borderId="30" applyFill="0" applyBorder="0"/>
    <xf numFmtId="241" fontId="119" fillId="0" borderId="0" applyFill="0" applyBorder="0"/>
    <xf numFmtId="0" fontId="199"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32"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235" fontId="201" fillId="0" borderId="0" applyNumberFormat="0" applyFill="0" applyBorder="0" applyAlignment="0" applyProtection="0">
      <alignment horizontal="center"/>
    </xf>
    <xf numFmtId="38" fontId="120" fillId="7" borderId="0" applyNumberFormat="0" applyBorder="0" applyAlignment="0" applyProtection="0"/>
    <xf numFmtId="0" fontId="202" fillId="0" borderId="0" applyNumberFormat="0">
      <alignment horizontal="right"/>
    </xf>
    <xf numFmtId="0" fontId="203" fillId="0" borderId="0" applyNumberFormat="0">
      <alignment horizontal="right"/>
    </xf>
    <xf numFmtId="0" fontId="203" fillId="0" borderId="0" applyNumberFormat="0">
      <alignment horizontal="left"/>
    </xf>
    <xf numFmtId="0" fontId="202" fillId="0" borderId="0" applyNumberFormat="0">
      <alignment horizontal="left"/>
    </xf>
    <xf numFmtId="0" fontId="204" fillId="0" borderId="0" applyNumberFormat="0">
      <alignment horizontal="left" vertical="top"/>
    </xf>
    <xf numFmtId="167" fontId="40" fillId="8" borderId="12" applyNumberFormat="0" applyFont="0" applyBorder="0" applyAlignment="0" applyProtection="0"/>
    <xf numFmtId="167" fontId="40" fillId="8" borderId="12" applyNumberFormat="0" applyFont="0" applyBorder="0" applyAlignment="0" applyProtection="0"/>
    <xf numFmtId="167" fontId="40" fillId="8" borderId="12" applyNumberFormat="0" applyFont="0" applyBorder="0" applyAlignment="0" applyProtection="0"/>
    <xf numFmtId="172" fontId="205" fillId="0" borderId="0">
      <alignment vertical="center"/>
    </xf>
    <xf numFmtId="168" fontId="138" fillId="0" borderId="0" applyFont="0" applyFill="0" applyBorder="0" applyAlignment="0" applyProtection="0">
      <alignment horizontal="right"/>
    </xf>
    <xf numFmtId="172" fontId="206" fillId="8" borderId="0" applyNumberFormat="0" applyFont="0" applyAlignment="0"/>
    <xf numFmtId="168" fontId="207" fillId="0" borderId="0" applyProtection="0">
      <alignment horizontal="right"/>
    </xf>
    <xf numFmtId="168" fontId="208" fillId="0" borderId="51" applyNumberFormat="0" applyAlignment="0" applyProtection="0">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4" fontId="104" fillId="52" borderId="7">
      <alignment horizontal="center" vertical="center" wrapText="1"/>
    </xf>
    <xf numFmtId="0" fontId="209" fillId="0" borderId="52" applyNumberFormat="0" applyFill="0" applyAlignment="0" applyProtection="0"/>
    <xf numFmtId="0" fontId="210" fillId="0" borderId="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83" fillId="0" borderId="0"/>
    <xf numFmtId="168" fontId="212" fillId="0" borderId="1"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2" fillId="0" borderId="1" applyNumberFormat="0" applyFill="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32"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6" fillId="0" borderId="2"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6" fillId="0" borderId="2" applyNumberFormat="0" applyFill="0" applyAlignment="0" applyProtection="0"/>
    <xf numFmtId="168" fontId="217" fillId="0" borderId="0" applyNumberFormat="0" applyFill="0" applyBorder="0" applyAlignment="0" applyProtection="0"/>
    <xf numFmtId="168" fontId="2" fillId="0" borderId="2" applyNumberFormat="0" applyFill="0" applyAlignment="0" applyProtection="0"/>
    <xf numFmtId="168" fontId="218" fillId="0" borderId="53" applyNumberFormat="0" applyFill="0" applyAlignment="0" applyProtection="0"/>
    <xf numFmtId="168" fontId="32"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7" fillId="0" borderId="0" applyNumberFormat="0" applyFill="0" applyBorder="0" applyAlignment="0" applyProtection="0"/>
    <xf numFmtId="168" fontId="218"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1" fillId="0" borderId="3"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21" fillId="0" borderId="3" applyNumberFormat="0" applyFill="0" applyAlignment="0" applyProtection="0"/>
    <xf numFmtId="168" fontId="220" fillId="0" borderId="54" applyNumberFormat="0" applyFill="0" applyAlignment="0" applyProtection="0"/>
    <xf numFmtId="168" fontId="32"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1"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0" fontId="221" fillId="0" borderId="0" applyNumberFormat="0" applyFill="0" applyBorder="0" applyAlignment="0" applyProtection="0"/>
    <xf numFmtId="168" fontId="220" fillId="0" borderId="0" applyNumberFormat="0" applyFill="0" applyBorder="0" applyAlignment="0" applyProtection="0"/>
    <xf numFmtId="168" fontId="32"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99" fillId="0" borderId="0"/>
    <xf numFmtId="37" fontId="222" fillId="0" borderId="0"/>
    <xf numFmtId="168" fontId="131" fillId="0" borderId="0" applyFill="0" applyAlignment="0" applyProtection="0">
      <protection locked="0"/>
    </xf>
    <xf numFmtId="168" fontId="131" fillId="0" borderId="31" applyFill="0" applyAlignment="0" applyProtection="0">
      <protection locked="0"/>
    </xf>
    <xf numFmtId="0" fontId="223" fillId="0" borderId="0">
      <alignment horizontal="center"/>
    </xf>
    <xf numFmtId="0" fontId="224" fillId="0" borderId="0"/>
    <xf numFmtId="0" fontId="224" fillId="0" borderId="0"/>
    <xf numFmtId="0" fontId="224" fillId="0" borderId="0"/>
    <xf numFmtId="38" fontId="32" fillId="0" borderId="0">
      <alignment vertical="top"/>
    </xf>
    <xf numFmtId="0" fontId="186" fillId="0" borderId="0"/>
    <xf numFmtId="0" fontId="225" fillId="0" borderId="0"/>
    <xf numFmtId="0" fontId="131" fillId="0" borderId="0"/>
    <xf numFmtId="0" fontId="162" fillId="0" borderId="0"/>
    <xf numFmtId="168" fontId="226" fillId="0" borderId="55" applyNumberFormat="0" applyFill="0" applyBorder="0" applyAlignment="0" applyProtection="0">
      <alignment horizontal="left"/>
    </xf>
    <xf numFmtId="0" fontId="37" fillId="0" borderId="0"/>
    <xf numFmtId="0" fontId="37" fillId="0" borderId="0"/>
    <xf numFmtId="0" fontId="104" fillId="66" borderId="12">
      <alignment horizontal="center" vertical="center" wrapText="1"/>
      <protection locked="0"/>
    </xf>
    <xf numFmtId="176" fontId="227" fillId="11" borderId="0" applyNumberFormat="0" applyBorder="0" applyAlignment="0" applyProtection="0">
      <protection locked="0"/>
    </xf>
    <xf numFmtId="0" fontId="37" fillId="0" borderId="0">
      <alignment horizontal="center"/>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0" fontId="230" fillId="0" borderId="0" applyFont="0" applyFill="0" applyBorder="0" applyAlignment="0" applyProtection="0"/>
    <xf numFmtId="168" fontId="32" fillId="0" borderId="0"/>
    <xf numFmtId="201" fontId="53" fillId="0" borderId="0"/>
    <xf numFmtId="168" fontId="231" fillId="0" borderId="0"/>
    <xf numFmtId="278" fontId="232" fillId="0" borderId="0" applyFont="0" applyFill="0" applyBorder="0" applyAlignment="0" applyProtection="0"/>
    <xf numFmtId="2" fontId="233" fillId="0" borderId="0"/>
    <xf numFmtId="0" fontId="234" fillId="0" borderId="0" applyNumberFormat="0" applyFill="0" applyBorder="0" applyAlignment="0" applyProtection="0">
      <alignment vertical="top"/>
      <protection locked="0"/>
    </xf>
    <xf numFmtId="0" fontId="235" fillId="23" borderId="35" applyNumberFormat="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80" fontId="238" fillId="10" borderId="0" applyProtection="0">
      <alignment horizontal="right" vertical="center"/>
      <protection locked="0"/>
    </xf>
    <xf numFmtId="10" fontId="239" fillId="0" borderId="0">
      <protection locked="0"/>
    </xf>
    <xf numFmtId="281" fontId="240" fillId="0" borderId="0" applyFill="0" applyBorder="0" applyProtection="0"/>
    <xf numFmtId="282" fontId="240" fillId="0" borderId="0" applyFill="0" applyBorder="0" applyProtection="0"/>
    <xf numFmtId="283" fontId="240" fillId="0" borderId="0" applyFill="0" applyBorder="0" applyProtection="0"/>
    <xf numFmtId="37" fontId="140" fillId="68" borderId="0">
      <protection locked="0"/>
    </xf>
    <xf numFmtId="0" fontId="167" fillId="0" borderId="0" applyNumberFormat="0" applyFill="0" applyBorder="0" applyAlignment="0">
      <protection locked="0"/>
    </xf>
    <xf numFmtId="15" fontId="239" fillId="0" borderId="0">
      <protection locked="0"/>
    </xf>
    <xf numFmtId="2" fontId="239" fillId="0" borderId="36">
      <protection locked="0"/>
    </xf>
    <xf numFmtId="284" fontId="241" fillId="67" borderId="0" applyNumberFormat="0" applyFont="0" applyBorder="0" applyAlignment="0">
      <alignment horizontal="right"/>
      <protection locked="0"/>
    </xf>
    <xf numFmtId="175" fontId="41" fillId="0" borderId="0">
      <alignment vertical="top"/>
    </xf>
    <xf numFmtId="175" fontId="41" fillId="7" borderId="0">
      <alignment vertical="top"/>
    </xf>
    <xf numFmtId="285" fontId="41" fillId="8" borderId="0">
      <alignment vertical="top"/>
    </xf>
    <xf numFmtId="0" fontId="239" fillId="0" borderId="0">
      <protection locked="0"/>
    </xf>
    <xf numFmtId="3" fontId="70" fillId="0" borderId="0"/>
    <xf numFmtId="168" fontId="242" fillId="69" borderId="0" applyNumberFormat="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168" fontId="244" fillId="0" borderId="0" applyNumberFormat="0" applyFill="0" applyBorder="0" applyAlignment="0" applyProtection="0">
      <alignment vertical="top"/>
      <protection locked="0"/>
    </xf>
    <xf numFmtId="168" fontId="245" fillId="0" borderId="0">
      <alignment vertical="center"/>
    </xf>
    <xf numFmtId="168" fontId="245" fillId="0" borderId="0">
      <alignment vertical="center"/>
    </xf>
    <xf numFmtId="168" fontId="245" fillId="0" borderId="0">
      <alignment vertical="center"/>
    </xf>
    <xf numFmtId="167" fontId="246" fillId="0" borderId="0" applyFill="0" applyBorder="0" applyProtection="0">
      <alignment vertical="top"/>
    </xf>
    <xf numFmtId="287" fontId="72" fillId="0" borderId="0" applyFill="0" applyBorder="0">
      <alignment horizontal="right"/>
      <protection locked="0"/>
    </xf>
    <xf numFmtId="0" fontId="247" fillId="70" borderId="57">
      <alignment horizontal="left" vertical="center" wrapText="1"/>
    </xf>
    <xf numFmtId="0" fontId="247" fillId="70" borderId="57">
      <alignment horizontal="left" vertical="center" wrapText="1"/>
    </xf>
    <xf numFmtId="3" fontId="248" fillId="71" borderId="57">
      <protection locked="0"/>
    </xf>
    <xf numFmtId="3" fontId="248" fillId="71" borderId="57">
      <protection locked="0"/>
    </xf>
    <xf numFmtId="164" fontId="249" fillId="72" borderId="57">
      <alignment horizontal="left"/>
      <protection locked="0"/>
    </xf>
    <xf numFmtId="164" fontId="249" fillId="72" borderId="57">
      <alignment horizontal="left"/>
      <protection locked="0"/>
    </xf>
    <xf numFmtId="288" fontId="249" fillId="72" borderId="57">
      <protection locked="0"/>
    </xf>
    <xf numFmtId="288" fontId="249" fillId="72" borderId="57">
      <protection locked="0"/>
    </xf>
    <xf numFmtId="0" fontId="249" fillId="72" borderId="57">
      <alignment horizontal="center"/>
      <protection locked="0"/>
    </xf>
    <xf numFmtId="0" fontId="249" fillId="72" borderId="57">
      <alignment horizontal="center"/>
      <protection locked="0"/>
    </xf>
    <xf numFmtId="198" fontId="37" fillId="73" borderId="12">
      <alignment vertical="center"/>
    </xf>
    <xf numFmtId="289" fontId="40" fillId="0" borderId="0"/>
    <xf numFmtId="289" fontId="40" fillId="0" borderId="0"/>
    <xf numFmtId="290" fontId="40" fillId="0" borderId="0"/>
    <xf numFmtId="290" fontId="40" fillId="0" borderId="0"/>
    <xf numFmtId="291" fontId="37" fillId="0" borderId="0" applyFont="0" applyFill="0" applyBorder="0" applyAlignment="0" applyProtection="0"/>
    <xf numFmtId="292" fontId="37" fillId="0" borderId="0" applyFont="0" applyFill="0" applyBorder="0" applyAlignment="0" applyProtection="0"/>
    <xf numFmtId="38" fontId="250" fillId="0" borderId="0"/>
    <xf numFmtId="38" fontId="251" fillId="0" borderId="0"/>
    <xf numFmtId="38" fontId="252" fillId="0" borderId="0"/>
    <xf numFmtId="38" fontId="253" fillId="0" borderId="0"/>
    <xf numFmtId="168" fontId="254" fillId="0" borderId="0"/>
    <xf numFmtId="168" fontId="254" fillId="0" borderId="0"/>
    <xf numFmtId="168" fontId="40" fillId="0" borderId="0">
      <alignment horizontal="left"/>
    </xf>
    <xf numFmtId="168" fontId="40" fillId="0" borderId="0">
      <alignment horizontal="left"/>
    </xf>
    <xf numFmtId="196" fontId="255" fillId="74" borderId="58" applyBorder="0" applyAlignment="0">
      <alignment horizontal="left" indent="1"/>
    </xf>
    <xf numFmtId="168" fontId="229" fillId="0" borderId="0" applyNumberFormat="0" applyFill="0" applyBorder="0" applyAlignment="0" applyProtection="0">
      <alignment vertical="top"/>
      <protection locked="0"/>
    </xf>
    <xf numFmtId="197" fontId="57" fillId="0" borderId="0" applyFill="0" applyBorder="0" applyAlignment="0" applyProtection="0"/>
    <xf numFmtId="198" fontId="256" fillId="0" borderId="36" applyNumberFormat="0" applyFill="0" applyBorder="0" applyAlignment="0" applyProtection="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5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0" fontId="258"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32"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70" fontId="103" fillId="0" borderId="0"/>
    <xf numFmtId="0" fontId="46" fillId="0" borderId="0"/>
    <xf numFmtId="168" fontId="99" fillId="0" borderId="0"/>
    <xf numFmtId="167" fontId="260" fillId="0" borderId="0"/>
    <xf numFmtId="0" fontId="37" fillId="0" borderId="0">
      <alignment horizontal="center"/>
    </xf>
    <xf numFmtId="201" fontId="261" fillId="0" borderId="60" applyFill="0" applyBorder="0">
      <alignment horizontal="left"/>
    </xf>
    <xf numFmtId="0" fontId="37" fillId="0" borderId="0" applyFont="0" applyFill="0" applyBorder="0" applyAlignment="0" applyProtection="0"/>
    <xf numFmtId="0" fontId="37" fillId="0" borderId="0" applyFont="0" applyFill="0" applyBorder="0" applyAlignment="0" applyProtection="0"/>
    <xf numFmtId="293" fontId="37" fillId="0" borderId="0" applyFont="0" applyFill="0" applyBorder="0" applyAlignment="0" applyProtection="0"/>
    <xf numFmtId="294" fontId="37" fillId="0" borderId="0" applyFont="0" applyFill="0" applyBorder="0" applyAlignment="0" applyProtection="0"/>
    <xf numFmtId="168" fontId="32" fillId="0" borderId="0" applyFont="0" applyFill="0" applyBorder="0" applyAlignment="0" applyProtection="0"/>
    <xf numFmtId="295" fontId="40" fillId="0" borderId="0" applyFont="0" applyFill="0" applyBorder="0" applyAlignment="0" applyProtection="0"/>
    <xf numFmtId="168" fontId="32" fillId="0" borderId="0" applyFont="0" applyFill="0" applyBorder="0" applyAlignment="0" applyProtection="0"/>
    <xf numFmtId="2" fontId="70" fillId="0" borderId="61" applyFont="0" applyFill="0" applyBorder="0" applyAlignment="0"/>
    <xf numFmtId="37" fontId="40" fillId="0" borderId="0" applyFont="0" applyFill="0" applyBorder="0" applyAlignment="0" applyProtection="0"/>
    <xf numFmtId="168" fontId="40" fillId="0" borderId="0" applyFont="0" applyFill="0" applyBorder="0" applyAlignment="0" applyProtection="0"/>
    <xf numFmtId="296" fontId="40" fillId="0" borderId="0" applyFont="0" applyFill="0" applyBorder="0" applyAlignment="0" applyProtection="0"/>
    <xf numFmtId="297" fontId="40" fillId="0" borderId="0" applyFont="0" applyFill="0" applyBorder="0" applyAlignment="0" applyProtection="0"/>
    <xf numFmtId="296" fontId="40"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298" fontId="37" fillId="0" borderId="0" applyFont="0" applyFill="0" applyBorder="0" applyAlignment="0" applyProtection="0"/>
    <xf numFmtId="299" fontId="37"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300" fontId="43" fillId="0" borderId="0" applyFont="0" applyFill="0" applyBorder="0" applyAlignment="0" applyProtection="0"/>
    <xf numFmtId="301" fontId="43" fillId="0" borderId="0" applyFont="0" applyFill="0" applyBorder="0" applyAlignment="0" applyProtection="0"/>
    <xf numFmtId="302" fontId="43" fillId="0" borderId="0" applyFont="0" applyFill="0" applyBorder="0" applyAlignment="0" applyProtection="0"/>
    <xf numFmtId="264" fontId="114" fillId="0" borderId="0" applyFont="0" applyFill="0" applyBorder="0" applyAlignment="0" applyProtection="0"/>
    <xf numFmtId="168" fontId="262" fillId="0" borderId="0">
      <alignment horizontal="left" vertical="center"/>
    </xf>
    <xf numFmtId="0" fontId="263"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0" borderId="0"/>
    <xf numFmtId="168" fontId="67" fillId="0" borderId="0"/>
    <xf numFmtId="168" fontId="32" fillId="0" borderId="0"/>
    <xf numFmtId="0" fontId="67" fillId="0" borderId="0"/>
    <xf numFmtId="37" fontId="265" fillId="0" borderId="0"/>
    <xf numFmtId="168" fontId="53" fillId="0" borderId="0"/>
    <xf numFmtId="1" fontId="266" fillId="0" borderId="0" applyProtection="0"/>
    <xf numFmtId="168" fontId="72" fillId="0" borderId="28"/>
    <xf numFmtId="168" fontId="72" fillId="0" borderId="28"/>
    <xf numFmtId="168" fontId="72" fillId="0" borderId="28"/>
    <xf numFmtId="168" fontId="32" fillId="0" borderId="0"/>
    <xf numFmtId="168" fontId="37" fillId="0" borderId="0"/>
    <xf numFmtId="168" fontId="267" fillId="0" borderId="0"/>
    <xf numFmtId="168" fontId="37" fillId="0" borderId="0"/>
    <xf numFmtId="303" fontId="40" fillId="0" borderId="0"/>
    <xf numFmtId="168" fontId="32" fillId="0" borderId="0"/>
    <xf numFmtId="0" fontId="267" fillId="0" borderId="0"/>
    <xf numFmtId="168" fontId="267" fillId="0" borderId="0"/>
    <xf numFmtId="168" fontId="153" fillId="0" borderId="0"/>
    <xf numFmtId="168" fontId="153"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40" fillId="0" borderId="0"/>
    <xf numFmtId="168" fontId="268"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125"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0" fontId="40" fillId="0" borderId="0"/>
    <xf numFmtId="168"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3"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84" fillId="0" borderId="0"/>
    <xf numFmtId="168" fontId="6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168" fontId="40"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7"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84" fillId="0" borderId="0"/>
    <xf numFmtId="0" fontId="84" fillId="0" borderId="0"/>
    <xf numFmtId="0" fontId="84" fillId="0" borderId="0"/>
    <xf numFmtId="0" fontId="40" fillId="0" borderId="0"/>
    <xf numFmtId="0" fontId="84" fillId="0" borderId="0"/>
    <xf numFmtId="168" fontId="32" fillId="0" borderId="0"/>
    <xf numFmtId="168" fontId="40" fillId="0" borderId="0"/>
    <xf numFmtId="0" fontId="1" fillId="0" borderId="0"/>
    <xf numFmtId="0" fontId="84" fillId="0" borderId="0"/>
    <xf numFmtId="168" fontId="32" fillId="0" borderId="0"/>
    <xf numFmtId="168" fontId="40" fillId="0" borderId="0"/>
    <xf numFmtId="0" fontId="32"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228" fontId="269" fillId="0" borderId="0"/>
    <xf numFmtId="228" fontId="269" fillId="0" borderId="0"/>
    <xf numFmtId="228" fontId="269"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0"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0" fontId="8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40" fillId="0" borderId="0"/>
    <xf numFmtId="168" fontId="32" fillId="0" borderId="0"/>
    <xf numFmtId="168" fontId="40" fillId="0" borderId="0"/>
    <xf numFmtId="228" fontId="37" fillId="0" borderId="0"/>
    <xf numFmtId="228" fontId="269" fillId="0" borderId="0"/>
    <xf numFmtId="228" fontId="269" fillId="0" borderId="0"/>
    <xf numFmtId="228" fontId="269" fillId="0" borderId="0"/>
    <xf numFmtId="228" fontId="269"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2" fillId="0" borderId="0"/>
    <xf numFmtId="168" fontId="32" fillId="0" borderId="0"/>
    <xf numFmtId="0" fontId="40" fillId="0" borderId="0" applyNumberFormat="0" applyFont="0" applyFill="0" applyBorder="0" applyAlignment="0" applyProtection="0"/>
    <xf numFmtId="0" fontId="100" fillId="0" borderId="0" applyProtection="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37" fillId="0" borderId="0"/>
    <xf numFmtId="228" fontId="37" fillId="0" borderId="0"/>
    <xf numFmtId="16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228" fontId="37" fillId="0" borderId="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1"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225" fillId="0" borderId="0" applyNumberFormat="0" applyFill="0" applyBorder="0" applyAlignment="0" applyProtection="0"/>
    <xf numFmtId="0" fontId="270" fillId="0" borderId="0" applyNumberFormat="0" applyFill="0" applyBorder="0" applyAlignment="0" applyProtection="0">
      <alignment vertical="top"/>
      <protection locked="0"/>
    </xf>
    <xf numFmtId="168" fontId="271" fillId="0" borderId="0"/>
    <xf numFmtId="168" fontId="40" fillId="0" borderId="0"/>
    <xf numFmtId="0" fontId="40" fillId="0" borderId="0"/>
    <xf numFmtId="168" fontId="84" fillId="0" borderId="0"/>
    <xf numFmtId="168" fontId="1" fillId="0" borderId="0"/>
    <xf numFmtId="168" fontId="84" fillId="0" borderId="0"/>
    <xf numFmtId="168" fontId="1"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40" fillId="0" borderId="0">
      <alignment vertical="center"/>
    </xf>
    <xf numFmtId="0" fontId="1" fillId="0" borderId="0"/>
    <xf numFmtId="168" fontId="1" fillId="0" borderId="0"/>
    <xf numFmtId="0" fontId="100" fillId="0" borderId="0" applyProtection="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0" fontId="225" fillId="0" borderId="0" applyNumberFormat="0" applyFill="0" applyBorder="0" applyAlignment="0" applyProtection="0"/>
    <xf numFmtId="228" fontId="40" fillId="0" borderId="0"/>
    <xf numFmtId="228" fontId="40" fillId="0" borderId="0"/>
    <xf numFmtId="168" fontId="40" fillId="0" borderId="0"/>
    <xf numFmtId="168" fontId="1" fillId="0" borderId="0"/>
    <xf numFmtId="168" fontId="40" fillId="0" borderId="0"/>
    <xf numFmtId="228" fontId="40" fillId="0" borderId="0"/>
    <xf numFmtId="0" fontId="100" fillId="0" borderId="0" applyProtection="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168" fontId="84" fillId="0" borderId="0"/>
    <xf numFmtId="168" fontId="83" fillId="0" borderId="0"/>
    <xf numFmtId="168" fontId="40" fillId="0" borderId="0"/>
    <xf numFmtId="168" fontId="83" fillId="0" borderId="0"/>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228" fontId="40" fillId="0" borderId="0"/>
    <xf numFmtId="168" fontId="84" fillId="0" borderId="0"/>
    <xf numFmtId="22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1" fillId="0" borderId="0"/>
    <xf numFmtId="168" fontId="82" fillId="0" borderId="0"/>
    <xf numFmtId="168" fontId="40" fillId="0" borderId="0"/>
    <xf numFmtId="168" fontId="84" fillId="0" borderId="0"/>
    <xf numFmtId="168" fontId="84" fillId="0" borderId="0"/>
    <xf numFmtId="168" fontId="84" fillId="0" borderId="0"/>
    <xf numFmtId="0" fontId="84" fillId="0" borderId="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32" fillId="0" borderId="0"/>
    <xf numFmtId="168" fontId="1"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1" fillId="0" borderId="0"/>
    <xf numFmtId="0" fontId="268" fillId="0" borderId="0"/>
    <xf numFmtId="168" fontId="1" fillId="0" borderId="0"/>
    <xf numFmtId="168" fontId="40" fillId="0" borderId="0"/>
    <xf numFmtId="168" fontId="37" fillId="0" borderId="0"/>
    <xf numFmtId="0" fontId="271"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2" fillId="0" borderId="0"/>
    <xf numFmtId="168" fontId="272" fillId="0" borderId="0"/>
    <xf numFmtId="168" fontId="272" fillId="0" borderId="0"/>
    <xf numFmtId="168" fontId="272" fillId="0" borderId="0"/>
    <xf numFmtId="0" fontId="120" fillId="0" borderId="0"/>
    <xf numFmtId="168" fontId="40" fillId="0" borderId="0"/>
    <xf numFmtId="168" fontId="120" fillId="0" borderId="0"/>
    <xf numFmtId="168" fontId="84" fillId="0" borderId="0"/>
    <xf numFmtId="168" fontId="84" fillId="0" borderId="0"/>
    <xf numFmtId="168" fontId="84" fillId="0" borderId="0"/>
    <xf numFmtId="168" fontId="84" fillId="0" borderId="0"/>
    <xf numFmtId="168" fontId="84" fillId="0" borderId="0"/>
    <xf numFmtId="168" fontId="272"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63" fillId="0" borderId="62"/>
    <xf numFmtId="168" fontId="273" fillId="0" borderId="0"/>
    <xf numFmtId="0" fontId="89" fillId="0" borderId="0"/>
    <xf numFmtId="168" fontId="89" fillId="0" borderId="0"/>
    <xf numFmtId="179" fontId="89" fillId="0" borderId="0"/>
    <xf numFmtId="168" fontId="274" fillId="0" borderId="0"/>
    <xf numFmtId="168" fontId="46" fillId="0" borderId="0"/>
    <xf numFmtId="168" fontId="275" fillId="0" borderId="0"/>
    <xf numFmtId="0" fontId="46" fillId="0" borderId="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32"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304" fontId="277" fillId="0" borderId="62"/>
    <xf numFmtId="304" fontId="278" fillId="0" borderId="62"/>
    <xf numFmtId="305" fontId="37" fillId="11" borderId="0"/>
    <xf numFmtId="306" fontId="279" fillId="0" borderId="0"/>
    <xf numFmtId="228" fontId="231" fillId="0" borderId="0" applyFont="0" applyFill="0" applyBorder="0" applyAlignment="0" applyProtection="0"/>
    <xf numFmtId="235" fontId="231" fillId="0" borderId="0" applyFont="0" applyFill="0" applyBorder="0" applyAlignment="0" applyProtection="0"/>
    <xf numFmtId="242" fontId="119" fillId="0" borderId="0" applyFill="0" applyBorder="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40" fontId="125" fillId="27" borderId="0">
      <alignment horizontal="right"/>
    </xf>
    <xf numFmtId="168" fontId="282" fillId="70" borderId="0">
      <alignment horizontal="center"/>
    </xf>
    <xf numFmtId="168" fontId="283" fillId="75" borderId="0"/>
    <xf numFmtId="168" fontId="284" fillId="27" borderId="0" applyBorder="0">
      <alignment horizontal="centerContinuous"/>
    </xf>
    <xf numFmtId="168" fontId="285" fillId="75" borderId="0" applyBorder="0">
      <alignment horizontal="centerContinuous"/>
    </xf>
    <xf numFmtId="168" fontId="208" fillId="0" borderId="0" applyNumberFormat="0" applyFill="0" applyBorder="0" applyAlignment="0" applyProtection="0"/>
    <xf numFmtId="179" fontId="102" fillId="0" borderId="0">
      <alignment vertical="center"/>
    </xf>
    <xf numFmtId="168" fontId="286" fillId="0" borderId="0"/>
    <xf numFmtId="168" fontId="286" fillId="0" borderId="0"/>
    <xf numFmtId="168" fontId="286" fillId="0" borderId="0"/>
    <xf numFmtId="1" fontId="287" fillId="0" borderId="0" applyProtection="0">
      <alignment horizontal="right" vertical="center"/>
    </xf>
    <xf numFmtId="168" fontId="288" fillId="11" borderId="0"/>
    <xf numFmtId="201" fontId="289" fillId="0" borderId="31">
      <alignment vertical="center"/>
    </xf>
    <xf numFmtId="307" fontId="37" fillId="0" borderId="0" applyFont="0" applyFill="0" applyBorder="0" applyAlignment="0" applyProtection="0"/>
    <xf numFmtId="308" fontId="37"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220" fontId="126"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222" fontId="40" fillId="0" borderId="0" applyFont="0" applyFill="0" applyBorder="0" applyAlignment="0" applyProtection="0"/>
    <xf numFmtId="222" fontId="40" fillId="0" borderId="0" applyFont="0" applyFill="0" applyBorder="0" applyAlignment="0" applyProtection="0"/>
    <xf numFmtId="293" fontId="126" fillId="0" borderId="0" applyFont="0" applyFill="0" applyBorder="0" applyAlignment="0" applyProtection="0"/>
    <xf numFmtId="312" fontId="40" fillId="0" borderId="0" applyFont="0" applyFill="0" applyBorder="0" applyAlignment="0" applyProtection="0"/>
    <xf numFmtId="312"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167" fontId="62" fillId="0" borderId="0" applyFont="0" applyFill="0" applyBorder="0" applyAlignment="0" applyProtection="0"/>
    <xf numFmtId="10" fontId="37"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32" fillId="0" borderId="0" applyFont="0" applyFill="0" applyBorder="0" applyAlignment="0" applyProtection="0"/>
    <xf numFmtId="9" fontId="67" fillId="0" borderId="0" applyFont="0" applyFill="0" applyBorder="0" applyAlignment="0" applyProtection="0"/>
    <xf numFmtId="9" fontId="67"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40" fillId="0" borderId="0" applyFill="0" applyBorder="0" applyAlignment="0" applyProtection="0"/>
    <xf numFmtId="9" fontId="67" fillId="0" borderId="0" applyFont="0" applyFill="0" applyBorder="0" applyAlignment="0" applyProtection="0"/>
    <xf numFmtId="168" fontId="71" fillId="0" borderId="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320" fontId="120" fillId="44" borderId="65"/>
    <xf numFmtId="321" fontId="120" fillId="0" borderId="65" applyFont="0" applyFill="0" applyBorder="0" applyAlignment="0" applyProtection="0">
      <protection locked="0"/>
    </xf>
    <xf numFmtId="168" fontId="63" fillId="0" borderId="0"/>
    <xf numFmtId="168" fontId="63" fillId="0" borderId="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9" fontId="119" fillId="0" borderId="30" applyFill="0" applyBorder="0"/>
    <xf numFmtId="183" fontId="119" fillId="0" borderId="0" applyFill="0" applyBorder="0"/>
    <xf numFmtId="235" fontId="119" fillId="0" borderId="0" applyFill="0" applyBorder="0"/>
    <xf numFmtId="322" fontId="46" fillId="0" borderId="0"/>
    <xf numFmtId="323" fontId="46" fillId="0" borderId="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90"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3" fontId="32" fillId="0" borderId="0"/>
    <xf numFmtId="3" fontId="192" fillId="0" borderId="0"/>
    <xf numFmtId="3" fontId="193" fillId="0" borderId="0"/>
    <xf numFmtId="3" fontId="192" fillId="0" borderId="0"/>
    <xf numFmtId="3" fontId="192" fillId="0" borderId="0"/>
    <xf numFmtId="3" fontId="192" fillId="0" borderId="0"/>
    <xf numFmtId="3" fontId="32" fillId="0" borderId="0"/>
    <xf numFmtId="3" fontId="192" fillId="0" borderId="0"/>
    <xf numFmtId="168" fontId="286" fillId="0" borderId="0"/>
    <xf numFmtId="168" fontId="286" fillId="0" borderId="0"/>
    <xf numFmtId="168" fontId="286" fillId="0" borderId="0"/>
    <xf numFmtId="168" fontId="291" fillId="0" borderId="0" applyNumberFormat="0" applyFill="0" applyBorder="0" applyAlignment="0" applyProtection="0">
      <alignment horizontal="left"/>
      <protection locked="0"/>
    </xf>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277" fillId="0" borderId="0"/>
    <xf numFmtId="168" fontId="292" fillId="0" borderId="0"/>
    <xf numFmtId="168" fontId="293" fillId="0" borderId="0"/>
    <xf numFmtId="168" fontId="278" fillId="0" borderId="0"/>
    <xf numFmtId="324" fontId="70" fillId="0" borderId="0" applyNumberFormat="0" applyFill="0" applyBorder="0" applyAlignment="0" applyProtection="0">
      <alignment horizontal="left"/>
    </xf>
    <xf numFmtId="325" fontId="71" fillId="0" borderId="0"/>
    <xf numFmtId="3" fontId="54" fillId="0" borderId="0" applyFont="0" applyFill="0" applyBorder="0" applyAlignment="0"/>
    <xf numFmtId="168" fontId="32" fillId="0" borderId="0">
      <alignment horizontal="right"/>
    </xf>
    <xf numFmtId="167" fontId="294" fillId="0" borderId="0">
      <alignment horizontal="right"/>
    </xf>
    <xf numFmtId="168" fontId="32" fillId="0" borderId="0">
      <alignment horizontal="right"/>
    </xf>
    <xf numFmtId="167" fontId="295" fillId="0" borderId="0">
      <alignment horizontal="right"/>
    </xf>
    <xf numFmtId="179" fontId="296" fillId="0" borderId="0"/>
    <xf numFmtId="179" fontId="296" fillId="0" borderId="66">
      <alignment horizontal="centerContinuous"/>
    </xf>
    <xf numFmtId="168" fontId="297" fillId="0" borderId="67">
      <alignment vertical="center"/>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168" fontId="298" fillId="0" borderId="0">
      <alignment horizontal="left" vertical="top" wrapText="1"/>
    </xf>
    <xf numFmtId="168" fontId="32" fillId="0" borderId="0"/>
    <xf numFmtId="168" fontId="299" fillId="0" borderId="0"/>
    <xf numFmtId="168" fontId="32" fillId="0" borderId="0"/>
    <xf numFmtId="0" fontId="300" fillId="0" borderId="0"/>
    <xf numFmtId="168" fontId="71" fillId="0" borderId="23"/>
    <xf numFmtId="168" fontId="32" fillId="0" borderId="0">
      <alignment horizontal="right"/>
    </xf>
    <xf numFmtId="327" fontId="57" fillId="0" borderId="0">
      <alignment horizontal="right"/>
    </xf>
    <xf numFmtId="168" fontId="32" fillId="0" borderId="0">
      <alignment horizontal="right"/>
    </xf>
    <xf numFmtId="328" fontId="301" fillId="0" borderId="0">
      <alignment horizontal="right"/>
    </xf>
    <xf numFmtId="168" fontId="32" fillId="0" borderId="0">
      <alignment horizontal="right"/>
    </xf>
    <xf numFmtId="329" fontId="294" fillId="0" borderId="0">
      <alignment horizontal="right"/>
    </xf>
    <xf numFmtId="168" fontId="32" fillId="0" borderId="0">
      <alignment horizontal="right"/>
    </xf>
    <xf numFmtId="330" fontId="295" fillId="0" borderId="0">
      <alignment horizontal="right"/>
    </xf>
    <xf numFmtId="168" fontId="63" fillId="78" borderId="0" applyFont="0"/>
    <xf numFmtId="168" fontId="302" fillId="0" borderId="0" applyNumberFormat="0" applyFill="0" applyBorder="0" applyAlignment="0" applyProtection="0"/>
    <xf numFmtId="168" fontId="32" fillId="0" borderId="62"/>
    <xf numFmtId="168" fontId="195" fillId="0" borderId="62"/>
    <xf numFmtId="168" fontId="32" fillId="0" borderId="62"/>
    <xf numFmtId="0" fontId="195" fillId="0" borderId="62"/>
    <xf numFmtId="168" fontId="32" fillId="0" borderId="0">
      <alignment horizontal="right"/>
    </xf>
    <xf numFmtId="167" fontId="303" fillId="0" borderId="0">
      <alignment horizontal="right"/>
    </xf>
    <xf numFmtId="167" fontId="304" fillId="0" borderId="0">
      <alignment horizontal="right"/>
    </xf>
    <xf numFmtId="167" fontId="303" fillId="0" borderId="0">
      <alignment horizontal="right"/>
    </xf>
    <xf numFmtId="167" fontId="303" fillId="0" borderId="0">
      <alignment horizontal="right"/>
    </xf>
    <xf numFmtId="167" fontId="303" fillId="0" borderId="0">
      <alignment horizontal="right"/>
    </xf>
    <xf numFmtId="168" fontId="32" fillId="0" borderId="0">
      <alignment horizontal="right"/>
    </xf>
    <xf numFmtId="167" fontId="303" fillId="0" borderId="0">
      <alignment horizontal="right"/>
    </xf>
    <xf numFmtId="168" fontId="115" fillId="0" borderId="0" applyFill="0" applyBorder="0" applyAlignment="0" applyProtection="0"/>
    <xf numFmtId="168" fontId="89" fillId="0" borderId="0" applyNumberFormat="0" applyFill="0" applyBorder="0" applyAlignment="0" applyProtection="0">
      <alignment horizontal="center"/>
    </xf>
    <xf numFmtId="168" fontId="32" fillId="0" borderId="0"/>
    <xf numFmtId="168" fontId="301" fillId="0" borderId="0"/>
    <xf numFmtId="168" fontId="301" fillId="0" borderId="0"/>
    <xf numFmtId="168" fontId="57"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2" fillId="0" borderId="0"/>
    <xf numFmtId="0" fontId="301" fillId="0" borderId="0"/>
    <xf numFmtId="168" fontId="301" fillId="0" borderId="0"/>
    <xf numFmtId="168" fontId="32" fillId="0" borderId="0">
      <alignment horizontal="right"/>
    </xf>
    <xf numFmtId="167" fontId="305" fillId="0" borderId="0">
      <alignment horizontal="right"/>
    </xf>
    <xf numFmtId="167" fontId="306" fillId="0" borderId="0">
      <alignment horizontal="right"/>
    </xf>
    <xf numFmtId="167" fontId="305" fillId="0" borderId="0">
      <alignment horizontal="right"/>
    </xf>
    <xf numFmtId="167" fontId="305" fillId="0" borderId="0">
      <alignment horizontal="right"/>
    </xf>
    <xf numFmtId="167" fontId="305" fillId="0" borderId="0">
      <alignment horizontal="right"/>
    </xf>
    <xf numFmtId="168" fontId="32" fillId="0" borderId="0">
      <alignment horizontal="right"/>
    </xf>
    <xf numFmtId="167" fontId="305" fillId="0" borderId="0">
      <alignment horizontal="right"/>
    </xf>
    <xf numFmtId="179" fontId="307" fillId="0" borderId="66"/>
    <xf numFmtId="331" fontId="308" fillId="0" borderId="12">
      <alignment horizontal="left" vertical="center"/>
      <protection locked="0"/>
    </xf>
    <xf numFmtId="168" fontId="84" fillId="0" borderId="0"/>
    <xf numFmtId="168" fontId="37" fillId="0" borderId="0"/>
    <xf numFmtId="168" fontId="37" fillId="0" borderId="0"/>
    <xf numFmtId="168" fontId="37"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37"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168" fontId="309" fillId="0" borderId="0"/>
    <xf numFmtId="168" fontId="32" fillId="0" borderId="0"/>
    <xf numFmtId="0" fontId="310" fillId="0" borderId="0"/>
    <xf numFmtId="168" fontId="32" fillId="0" borderId="0">
      <alignment horizontal="right"/>
    </xf>
    <xf numFmtId="328" fontId="301" fillId="0" borderId="0">
      <alignment horizontal="right"/>
    </xf>
    <xf numFmtId="328" fontId="301" fillId="0" borderId="0">
      <alignment horizontal="right"/>
    </xf>
    <xf numFmtId="327" fontId="57"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168" fontId="32" fillId="0" borderId="0">
      <alignment horizontal="right"/>
    </xf>
    <xf numFmtId="328" fontId="301" fillId="0" borderId="0">
      <alignment horizontal="right"/>
    </xf>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311" fillId="0" borderId="0"/>
    <xf numFmtId="168" fontId="53" fillId="0" borderId="0"/>
    <xf numFmtId="168" fontId="53" fillId="0" borderId="0"/>
    <xf numFmtId="168" fontId="53" fillId="0" borderId="0"/>
    <xf numFmtId="0" fontId="311" fillId="0" borderId="0"/>
    <xf numFmtId="168" fontId="312" fillId="0" borderId="0"/>
    <xf numFmtId="168" fontId="313" fillId="0" borderId="0"/>
    <xf numFmtId="40" fontId="314" fillId="0" borderId="0" applyBorder="0">
      <alignment horizontal="right"/>
    </xf>
    <xf numFmtId="168" fontId="32" fillId="0" borderId="0">
      <alignment horizontal="right"/>
    </xf>
    <xf numFmtId="332" fontId="57" fillId="0" borderId="0">
      <alignment horizontal="right"/>
    </xf>
    <xf numFmtId="168" fontId="32" fillId="0" borderId="0">
      <alignment horizontal="right"/>
    </xf>
    <xf numFmtId="333" fontId="301" fillId="0" borderId="0">
      <alignment horizontal="right"/>
    </xf>
    <xf numFmtId="168" fontId="315" fillId="0" borderId="0" applyBorder="0" applyProtection="0">
      <alignment vertical="center"/>
    </xf>
    <xf numFmtId="168" fontId="315" fillId="0" borderId="69" applyBorder="0" applyProtection="0">
      <alignment horizontal="right" vertical="center"/>
    </xf>
    <xf numFmtId="168" fontId="316" fillId="79" borderId="0" applyBorder="0" applyProtection="0">
      <alignment horizontal="centerContinuous" vertical="center"/>
    </xf>
    <xf numFmtId="168" fontId="316" fillId="80" borderId="69" applyBorder="0" applyProtection="0">
      <alignment horizontal="centerContinuous" vertical="center"/>
    </xf>
    <xf numFmtId="168" fontId="305" fillId="0" borderId="0"/>
    <xf numFmtId="168" fontId="104" fillId="0" borderId="69" applyAlignment="0"/>
    <xf numFmtId="168" fontId="274" fillId="0" borderId="0"/>
    <xf numFmtId="168" fontId="317" fillId="0" borderId="0" applyFill="0" applyBorder="0" applyProtection="0">
      <alignment horizontal="left"/>
    </xf>
    <xf numFmtId="168" fontId="194" fillId="0" borderId="30" applyFill="0" applyBorder="0" applyProtection="0">
      <alignment horizontal="left" vertical="top"/>
    </xf>
    <xf numFmtId="168" fontId="318" fillId="0" borderId="0">
      <alignment horizontal="centerContinuous"/>
    </xf>
    <xf numFmtId="0" fontId="12" fillId="6" borderId="22"/>
    <xf numFmtId="49" fontId="319" fillId="0" borderId="31">
      <alignment vertical="center"/>
    </xf>
    <xf numFmtId="49" fontId="40" fillId="0" borderId="0" applyFont="0" applyFill="0" applyBorder="0" applyAlignment="0" applyProtection="0"/>
    <xf numFmtId="168" fontId="320" fillId="0" borderId="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168" fontId="321" fillId="0" borderId="0"/>
    <xf numFmtId="49" fontId="125" fillId="0" borderId="0" applyFill="0" applyBorder="0" applyAlignment="0"/>
    <xf numFmtId="334" fontId="126" fillId="0" borderId="0" applyFill="0" applyBorder="0" applyAlignment="0"/>
    <xf numFmtId="278" fontId="125" fillId="0" borderId="0" applyFill="0" applyBorder="0" applyAlignment="0"/>
    <xf numFmtId="335" fontId="40" fillId="0" borderId="0" applyFill="0" applyBorder="0" applyAlignment="0"/>
    <xf numFmtId="335" fontId="40" fillId="0" borderId="0" applyFill="0" applyBorder="0" applyAlignment="0"/>
    <xf numFmtId="336" fontId="126" fillId="0" borderId="0" applyFill="0" applyBorder="0" applyAlignment="0"/>
    <xf numFmtId="337" fontId="125" fillId="0" borderId="0" applyFill="0" applyBorder="0" applyAlignment="0"/>
    <xf numFmtId="338" fontId="40" fillId="0" borderId="0" applyFill="0" applyBorder="0" applyAlignment="0"/>
    <xf numFmtId="338" fontId="40" fillId="0" borderId="0" applyFill="0" applyBorder="0" applyAlignment="0"/>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32" fillId="0" borderId="0" applyFont="0" applyFill="0" applyBorder="0" applyAlignment="0" applyProtection="0"/>
    <xf numFmtId="339" fontId="40" fillId="0" borderId="0" applyFont="0" applyFill="0" applyBorder="0" applyAlignment="0" applyProtection="0"/>
    <xf numFmtId="168" fontId="32" fillId="0" borderId="0" applyFont="0" applyFill="0" applyBorder="0" applyAlignment="0" applyProtection="0"/>
    <xf numFmtId="168" fontId="322" fillId="0" borderId="0" applyFill="0" applyBorder="0" applyProtection="0">
      <alignment horizontal="left" vertical="top"/>
    </xf>
    <xf numFmtId="201" fontId="130" fillId="0" borderId="0" applyNumberFormat="0" applyFill="0" applyBorder="0"/>
    <xf numFmtId="168" fontId="67" fillId="0" borderId="0" applyNumberFormat="0" applyFill="0" applyBorder="0" applyAlignment="0" applyProtection="0"/>
    <xf numFmtId="168" fontId="114" fillId="0" borderId="0" applyNumberFormat="0" applyFill="0" applyBorder="0" applyAlignment="0" applyProtection="0"/>
    <xf numFmtId="3" fontId="323" fillId="0" borderId="0" applyNumberFormat="0" applyFont="0" applyFill="0" applyBorder="0" applyAlignment="0"/>
    <xf numFmtId="0"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5"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0" fontId="325" fillId="0" borderId="0" applyNumberFormat="0" applyFill="0" applyBorder="0" applyAlignment="0" applyProtection="0"/>
    <xf numFmtId="168" fontId="326" fillId="0" borderId="0" applyNumberFormat="0" applyFill="0" applyBorder="0" applyAlignment="0" applyProtection="0"/>
    <xf numFmtId="168" fontId="32"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6"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261" fontId="290" fillId="0" borderId="0" applyNumberFormat="0" applyFill="0" applyBorder="0" applyAlignment="0" applyProtection="0"/>
    <xf numFmtId="168" fontId="32" fillId="0" borderId="0"/>
    <xf numFmtId="340" fontId="192" fillId="0" borderId="0"/>
    <xf numFmtId="340" fontId="193" fillId="0" borderId="0"/>
    <xf numFmtId="168" fontId="32" fillId="0" borderId="0"/>
    <xf numFmtId="0" fontId="327" fillId="0" borderId="70" applyNumberForma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125" fillId="0" borderId="71" applyNumberFormat="0" applyFont="0" applyFill="0" applyAlignment="0" applyProtection="0"/>
    <xf numFmtId="168" fontId="238" fillId="0" borderId="0">
      <alignment horizontal="fill"/>
    </xf>
    <xf numFmtId="168" fontId="328" fillId="0" borderId="0">
      <alignment vertical="top"/>
    </xf>
    <xf numFmtId="168" fontId="329" fillId="0" borderId="0"/>
    <xf numFmtId="168" fontId="329" fillId="0" borderId="0"/>
    <xf numFmtId="168" fontId="329" fillId="0" borderId="0"/>
    <xf numFmtId="341" fontId="37" fillId="0" borderId="0" applyFont="0" applyFill="0" applyBorder="0" applyAlignment="0" applyProtection="0"/>
    <xf numFmtId="342" fontId="37" fillId="0" borderId="0" applyFont="0" applyFill="0" applyBorder="0" applyAlignment="0" applyProtection="0"/>
    <xf numFmtId="168" fontId="329" fillId="0" borderId="0"/>
    <xf numFmtId="168" fontId="329" fillId="0" borderId="0"/>
    <xf numFmtId="168" fontId="329" fillId="0" borderId="0"/>
    <xf numFmtId="194" fontId="37" fillId="0" borderId="0" applyFont="0" applyFill="0" applyBorder="0" applyAlignment="0" applyProtection="0"/>
    <xf numFmtId="195" fontId="37" fillId="0" borderId="0" applyFont="0" applyFill="0" applyBorder="0" applyAlignment="0" applyProtection="0"/>
    <xf numFmtId="245" fontId="72" fillId="0" borderId="0" applyFont="0" applyFill="0" applyBorder="0" applyAlignment="0" applyProtection="0"/>
    <xf numFmtId="343" fontId="72" fillId="0" borderId="0" applyFont="0" applyFill="0" applyBorder="0" applyAlignment="0" applyProtection="0"/>
    <xf numFmtId="0" fontId="330"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2"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40" fillId="31" borderId="0" applyNumberFormat="0" applyBorder="0" applyAlignment="0" applyProtection="0"/>
    <xf numFmtId="344" fontId="37"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8" fontId="37"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168" fontId="332" fillId="0" borderId="69" applyBorder="0" applyProtection="0">
      <alignment horizontal="right"/>
    </xf>
    <xf numFmtId="352" fontId="159" fillId="0" borderId="47" applyFont="0" applyFill="0" applyBorder="0" applyAlignment="0">
      <alignment horizontal="centerContinuous"/>
    </xf>
    <xf numFmtId="353" fontId="333" fillId="0" borderId="47" applyFont="0" applyFill="0" applyBorder="0" applyAlignment="0">
      <alignment horizontal="centerContinuous"/>
    </xf>
    <xf numFmtId="1" fontId="334" fillId="0" borderId="0" applyFill="0" applyProtection="0">
      <alignment horizontal="right"/>
    </xf>
    <xf numFmtId="354" fontId="115" fillId="0" borderId="0" applyFont="0" applyFill="0" applyBorder="0" applyAlignment="0" applyProtection="0"/>
    <xf numFmtId="355" fontId="40" fillId="0" borderId="0" applyFont="0" applyFill="0" applyBorder="0" applyAlignment="0" applyProtection="0"/>
    <xf numFmtId="168" fontId="32" fillId="39" borderId="0" applyNumberFormat="0" applyBorder="0" applyAlignment="0" applyProtection="0"/>
    <xf numFmtId="0" fontId="86" fillId="39" borderId="0" applyNumberFormat="0" applyBorder="0" applyAlignment="0" applyProtection="0"/>
    <xf numFmtId="0"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42" borderId="0" applyNumberFormat="0" applyBorder="0" applyAlignment="0" applyProtection="0"/>
    <xf numFmtId="0" fontId="86" fillId="42" borderId="0" applyNumberFormat="0" applyBorder="0" applyAlignment="0" applyProtection="0"/>
    <xf numFmtId="0"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6" borderId="0" applyNumberFormat="0" applyBorder="0" applyAlignment="0" applyProtection="0"/>
    <xf numFmtId="0" fontId="86" fillId="46" borderId="0" applyNumberFormat="0" applyBorder="0" applyAlignment="0" applyProtection="0"/>
    <xf numFmtId="0"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49" borderId="0" applyNumberFormat="0" applyBorder="0" applyAlignment="0" applyProtection="0"/>
    <xf numFmtId="0" fontId="86" fillId="49" borderId="0" applyNumberFormat="0" applyBorder="0" applyAlignment="0" applyProtection="0"/>
    <xf numFmtId="0"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201" fontId="54" fillId="0" borderId="33">
      <protection locked="0"/>
    </xf>
    <xf numFmtId="201" fontId="54" fillId="0" borderId="33">
      <protection locked="0"/>
    </xf>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3" fontId="336" fillId="0" borderId="0">
      <alignment horizontal="center" vertical="center" textRotation="90" wrapText="1"/>
    </xf>
    <xf numFmtId="3" fontId="336" fillId="0" borderId="0">
      <alignment horizontal="center" vertical="center" textRotation="90" wrapText="1"/>
    </xf>
    <xf numFmtId="3" fontId="336" fillId="0" borderId="0">
      <alignment horizontal="center" vertical="center" textRotation="90" wrapText="1"/>
    </xf>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0"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35" applyNumberFormat="0" applyAlignment="0" applyProtection="0"/>
    <xf numFmtId="0"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338" fillId="0" borderId="0" applyNumberFormat="0" applyFill="0" applyBorder="0" applyAlignment="0" applyProtection="0"/>
    <xf numFmtId="0" fontId="339" fillId="0" borderId="0" applyNumberFormat="0" applyFill="0" applyBorder="0" applyAlignment="0" applyProtection="0"/>
    <xf numFmtId="168" fontId="340" fillId="0" borderId="0" applyNumberFormat="0" applyFill="0" applyBorder="0" applyAlignment="0" applyProtection="0">
      <alignment vertical="top"/>
      <protection locked="0"/>
    </xf>
    <xf numFmtId="0" fontId="100" fillId="0" borderId="0"/>
    <xf numFmtId="168" fontId="95" fillId="0" borderId="0" applyNumberFormat="0" applyFill="0" applyBorder="0" applyAlignment="0" applyProtection="0">
      <alignment vertical="top"/>
      <protection locked="0"/>
    </xf>
    <xf numFmtId="0" fontId="339" fillId="0" borderId="0" applyNumberFormat="0" applyFill="0" applyBorder="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228" fillId="0" borderId="0" applyNumberFormat="0" applyFill="0" applyBorder="0" applyAlignment="0" applyProtection="0"/>
    <xf numFmtId="0" fontId="270" fillId="0" borderId="0" applyNumberFormat="0" applyFill="0" applyBorder="0" applyAlignment="0" applyProtection="0">
      <alignment vertical="top"/>
      <protection locked="0"/>
    </xf>
    <xf numFmtId="168" fontId="340" fillId="0" borderId="0" applyNumberFormat="0" applyFill="0" applyBorder="0" applyAlignment="0" applyProtection="0">
      <alignment vertical="top"/>
      <protection locked="0"/>
    </xf>
    <xf numFmtId="0" fontId="338" fillId="0" borderId="0" applyNumberFormat="0" applyFill="0" applyBorder="0" applyAlignment="0" applyProtection="0"/>
    <xf numFmtId="168" fontId="340"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159" fillId="7" borderId="37"/>
    <xf numFmtId="168" fontId="48" fillId="0" borderId="36" applyNumberFormat="0" applyFill="0" applyBorder="0" applyProtection="0">
      <alignment horizontal="right" vertical="center"/>
    </xf>
    <xf numFmtId="0" fontId="225" fillId="0" borderId="0" applyNumberFormat="0" applyFill="0" applyBorder="0" applyAlignment="0" applyProtection="0"/>
    <xf numFmtId="0" fontId="225" fillId="0" borderId="0" applyNumberFormat="0" applyFill="0" applyBorder="0" applyAlignment="0" applyProtection="0"/>
    <xf numFmtId="14" fontId="54" fillId="0" borderId="0">
      <alignment horizontal="right"/>
    </xf>
    <xf numFmtId="195" fontId="84" fillId="0" borderId="0" applyFont="0" applyFill="0" applyBorder="0" applyAlignment="0" applyProtection="0"/>
    <xf numFmtId="195" fontId="1" fillId="0" borderId="0" applyFont="0" applyFill="0" applyBorder="0" applyAlignment="0" applyProtection="0"/>
    <xf numFmtId="356" fontId="1" fillId="0" borderId="0" applyFont="0" applyFill="0" applyBorder="0" applyAlignment="0" applyProtection="0"/>
    <xf numFmtId="183" fontId="32"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40" fontId="37" fillId="0" borderId="0" applyFont="0" applyFill="0" applyBorder="0" applyAlignment="0" applyProtection="0"/>
    <xf numFmtId="357" fontId="37" fillId="0" borderId="0" applyFont="0" applyFill="0" applyBorder="0" applyAlignment="0" applyProtection="0"/>
    <xf numFmtId="223" fontId="84" fillId="0" borderId="0" applyFont="0" applyFill="0" applyBorder="0" applyAlignment="0" applyProtection="0"/>
    <xf numFmtId="357" fontId="37" fillId="0" borderId="0" applyFont="0" applyFill="0" applyBorder="0" applyAlignment="0" applyProtection="0"/>
    <xf numFmtId="195" fontId="83"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183" fontId="32" fillId="0" borderId="0" applyFont="0" applyFill="0" applyBorder="0" applyAlignment="0" applyProtection="0"/>
    <xf numFmtId="164" fontId="37" fillId="0" borderId="0" applyFont="0" applyFill="0" applyBorder="0" applyAlignment="0" applyProtection="0"/>
    <xf numFmtId="230" fontId="37" fillId="0" borderId="0" applyFont="0" applyFill="0" applyBorder="0" applyAlignment="0" applyProtection="0"/>
    <xf numFmtId="241" fontId="82" fillId="0" borderId="0" applyFont="0" applyFill="0" applyBorder="0" applyAlignment="0" applyProtection="0"/>
    <xf numFmtId="230" fontId="37" fillId="0" borderId="0" applyFont="0" applyFill="0" applyBorder="0" applyAlignment="0" applyProtection="0"/>
    <xf numFmtId="230" fontId="37" fillId="0" borderId="0" applyFont="0" applyFill="0" applyBorder="0" applyAlignment="0" applyProtection="0"/>
    <xf numFmtId="358" fontId="37" fillId="0" borderId="0" applyFont="0" applyFill="0" applyBorder="0" applyAlignment="0" applyProtection="0"/>
    <xf numFmtId="195" fontId="32" fillId="0" borderId="0" applyFont="0" applyFill="0" applyBorder="0" applyAlignment="0" applyProtection="0"/>
    <xf numFmtId="0" fontId="341" fillId="0" borderId="0" applyBorder="0">
      <alignment horizontal="center" vertical="center" wrapText="1"/>
    </xf>
    <xf numFmtId="0" fontId="209"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42" fillId="0" borderId="7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2" fillId="0" borderId="52" applyNumberFormat="0" applyFill="0" applyAlignment="0" applyProtection="0"/>
    <xf numFmtId="0" fontId="209" fillId="0" borderId="52" applyNumberFormat="0" applyFill="0" applyAlignment="0" applyProtection="0"/>
    <xf numFmtId="0" fontId="214"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43" fillId="0" borderId="7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2" fillId="0" borderId="53" applyNumberFormat="0" applyFill="0" applyAlignment="0" applyProtection="0"/>
    <xf numFmtId="0" fontId="214" fillId="0" borderId="53" applyNumberFormat="0" applyFill="0" applyAlignment="0" applyProtection="0"/>
    <xf numFmtId="0" fontId="219"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44" fillId="0" borderId="7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2" fillId="0" borderId="54" applyNumberFormat="0" applyFill="0" applyAlignment="0" applyProtection="0"/>
    <xf numFmtId="0" fontId="219" fillId="0" borderId="54" applyNumberFormat="0" applyFill="0" applyAlignment="0" applyProtection="0"/>
    <xf numFmtId="0" fontId="219"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44"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2" fillId="0" borderId="0" applyNumberFormat="0" applyFill="0" applyBorder="0" applyAlignment="0" applyProtection="0"/>
    <xf numFmtId="0" fontId="219" fillId="0" borderId="0" applyNumberFormat="0" applyFill="0" applyBorder="0" applyAlignment="0" applyProtection="0"/>
    <xf numFmtId="0" fontId="345" fillId="0" borderId="0" applyNumberFormat="0" applyFill="0" applyBorder="0" applyAlignment="0" applyProtection="0"/>
    <xf numFmtId="0" fontId="74" fillId="0" borderId="0" applyNumberFormat="0" applyFill="0" applyBorder="0" applyAlignment="0" applyProtection="0"/>
    <xf numFmtId="0" fontId="346" fillId="0" borderId="75" applyBorder="0">
      <alignment horizontal="center" vertical="center" wrapText="1"/>
    </xf>
    <xf numFmtId="201" fontId="151" fillId="52" borderId="33"/>
    <xf numFmtId="201" fontId="151" fillId="52" borderId="33"/>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0"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225" fillId="0" borderId="29" applyNumberFormat="0" applyFill="0" applyAlignment="0" applyProtection="0"/>
    <xf numFmtId="0" fontId="225" fillId="0" borderId="29" applyNumberFormat="0" applyFill="0" applyAlignment="0" applyProtection="0"/>
    <xf numFmtId="168" fontId="37" fillId="0" borderId="0"/>
    <xf numFmtId="168" fontId="32" fillId="57" borderId="38" applyNumberFormat="0" applyAlignment="0" applyProtection="0"/>
    <xf numFmtId="0" fontId="133" fillId="57" borderId="38" applyNumberFormat="0" applyAlignment="0" applyProtection="0"/>
    <xf numFmtId="0" fontId="133" fillId="57" borderId="38"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57" borderId="38" applyNumberFormat="0" applyAlignment="0" applyProtection="0"/>
    <xf numFmtId="168" fontId="133" fillId="38" borderId="77" applyNumberFormat="0" applyAlignment="0" applyProtection="0"/>
    <xf numFmtId="0" fontId="3" fillId="3" borderId="5" applyNumberFormat="0" applyAlignment="0" applyProtection="0"/>
    <xf numFmtId="168" fontId="133" fillId="38" borderId="77" applyNumberFormat="0" applyAlignment="0" applyProtection="0"/>
    <xf numFmtId="168" fontId="133" fillId="57" borderId="38" applyNumberFormat="0" applyAlignment="0" applyProtection="0"/>
    <xf numFmtId="168" fontId="133" fillId="57" borderId="38" applyNumberFormat="0" applyAlignment="0" applyProtection="0"/>
    <xf numFmtId="168" fontId="133"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74" fillId="0" borderId="0">
      <alignment horizontal="center" vertical="top" wrapText="1"/>
    </xf>
    <xf numFmtId="0" fontId="224" fillId="0" borderId="0">
      <alignment horizontal="centerContinuous" vertical="center" wrapText="1"/>
    </xf>
    <xf numFmtId="165" fontId="347" fillId="8" borderId="12">
      <alignment wrapText="1"/>
    </xf>
    <xf numFmtId="165" fontId="347" fillId="8" borderId="12">
      <alignment wrapText="1"/>
    </xf>
    <xf numFmtId="165" fontId="347" fillId="8" borderId="12">
      <alignment wrapText="1"/>
    </xf>
    <xf numFmtId="165" fontId="347" fillId="8" borderId="12">
      <alignment wrapText="1"/>
    </xf>
    <xf numFmtId="0" fontId="324"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48"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2" fillId="0" borderId="0" applyNumberFormat="0" applyFill="0" applyBorder="0" applyAlignment="0" applyProtection="0"/>
    <xf numFmtId="0" fontId="324" fillId="0" borderId="0" applyNumberFormat="0" applyFill="0" applyBorder="0" applyAlignment="0" applyProtection="0"/>
    <xf numFmtId="359" fontId="349" fillId="0" borderId="0"/>
    <xf numFmtId="168" fontId="198" fillId="11" borderId="0" applyFill="0"/>
    <xf numFmtId="0" fontId="263" fillId="9"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50" fillId="34"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2" fillId="9" borderId="0" applyNumberFormat="0" applyBorder="0" applyAlignment="0" applyProtection="0"/>
    <xf numFmtId="0" fontId="263" fillId="9" borderId="0" applyNumberFormat="0" applyBorder="0" applyAlignment="0" applyProtection="0"/>
    <xf numFmtId="49" fontId="276" fillId="0" borderId="0" applyBorder="0">
      <alignment vertical="top"/>
    </xf>
    <xf numFmtId="0" fontId="1" fillId="0" borderId="0"/>
    <xf numFmtId="0" fontId="1" fillId="0" borderId="0"/>
    <xf numFmtId="0" fontId="100" fillId="0" borderId="0" applyProtection="0"/>
    <xf numFmtId="168" fontId="1" fillId="0" borderId="0"/>
    <xf numFmtId="0" fontId="37" fillId="0" borderId="0"/>
    <xf numFmtId="168" fontId="84" fillId="0" borderId="0"/>
    <xf numFmtId="168" fontId="84" fillId="0" borderId="0"/>
    <xf numFmtId="168" fontId="82" fillId="0" borderId="0"/>
    <xf numFmtId="168" fontId="82" fillId="0" borderId="0"/>
    <xf numFmtId="168" fontId="82" fillId="0" borderId="0"/>
    <xf numFmtId="0" fontId="1" fillId="0" borderId="0"/>
    <xf numFmtId="168" fontId="82" fillId="0" borderId="0"/>
    <xf numFmtId="0" fontId="1" fillId="0" borderId="0"/>
    <xf numFmtId="168" fontId="82" fillId="0" borderId="0"/>
    <xf numFmtId="168" fontId="82" fillId="0" borderId="0"/>
    <xf numFmtId="168" fontId="82" fillId="0" borderId="0"/>
    <xf numFmtId="168" fontId="82" fillId="0" borderId="0"/>
    <xf numFmtId="168" fontId="82" fillId="0" borderId="0"/>
    <xf numFmtId="0" fontId="351" fillId="0" borderId="0"/>
    <xf numFmtId="168" fontId="32" fillId="0" borderId="0"/>
    <xf numFmtId="0" fontId="32" fillId="0" borderId="0"/>
    <xf numFmtId="168" fontId="32" fillId="0" borderId="0"/>
    <xf numFmtId="168" fontId="32" fillId="0" borderId="0"/>
    <xf numFmtId="168" fontId="32" fillId="0" borderId="0"/>
    <xf numFmtId="168" fontId="1" fillId="0" borderId="0"/>
    <xf numFmtId="179" fontId="1" fillId="0" borderId="0"/>
    <xf numFmtId="0" fontId="32" fillId="0" borderId="0"/>
    <xf numFmtId="168" fontId="40" fillId="0" borderId="0"/>
    <xf numFmtId="0" fontId="84" fillId="0" borderId="0"/>
    <xf numFmtId="179" fontId="1" fillId="0" borderId="0"/>
    <xf numFmtId="0" fontId="32" fillId="0" borderId="0"/>
    <xf numFmtId="168" fontId="37" fillId="0" borderId="0"/>
    <xf numFmtId="168" fontId="37" fillId="0" borderId="0"/>
    <xf numFmtId="168" fontId="37" fillId="0" borderId="0"/>
    <xf numFmtId="168" fontId="37" fillId="0" borderId="0"/>
    <xf numFmtId="168" fontId="37" fillId="0" borderId="0"/>
    <xf numFmtId="0" fontId="32" fillId="0" borderId="0"/>
    <xf numFmtId="168" fontId="32" fillId="0" borderId="0"/>
    <xf numFmtId="0" fontId="1" fillId="0" borderId="0"/>
    <xf numFmtId="0" fontId="32" fillId="0" borderId="0"/>
    <xf numFmtId="168" fontId="32" fillId="0" borderId="0"/>
    <xf numFmtId="168" fontId="32"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32" fillId="0" borderId="0"/>
    <xf numFmtId="0" fontId="32" fillId="0" borderId="0"/>
    <xf numFmtId="168" fontId="32" fillId="0" borderId="0"/>
    <xf numFmtId="0" fontId="1" fillId="0" borderId="0"/>
    <xf numFmtId="168" fontId="32" fillId="0" borderId="0"/>
    <xf numFmtId="0" fontId="84" fillId="0" borderId="0"/>
    <xf numFmtId="168" fontId="82" fillId="0" borderId="0"/>
    <xf numFmtId="0" fontId="32" fillId="0" borderId="0"/>
    <xf numFmtId="168" fontId="32" fillId="0" borderId="0"/>
    <xf numFmtId="0" fontId="352" fillId="0" borderId="0" applyBorder="0"/>
    <xf numFmtId="168" fontId="82" fillId="0" borderId="0"/>
    <xf numFmtId="0" fontId="32" fillId="0" borderId="0"/>
    <xf numFmtId="0" fontId="37" fillId="0" borderId="0"/>
    <xf numFmtId="168" fontId="82" fillId="0" borderId="0"/>
    <xf numFmtId="0" fontId="32" fillId="0" borderId="0"/>
    <xf numFmtId="168" fontId="32" fillId="0" borderId="0"/>
    <xf numFmtId="168" fontId="82" fillId="0" borderId="0"/>
    <xf numFmtId="0" fontId="32" fillId="0" borderId="0"/>
    <xf numFmtId="168" fontId="1" fillId="0" borderId="0"/>
    <xf numFmtId="168" fontId="32" fillId="0" borderId="0"/>
    <xf numFmtId="0" fontId="1"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360" fontId="64" fillId="0" borderId="0"/>
    <xf numFmtId="360" fontId="64" fillId="0" borderId="0"/>
    <xf numFmtId="168" fontId="82" fillId="0" borderId="0"/>
    <xf numFmtId="168" fontId="82" fillId="0" borderId="0"/>
    <xf numFmtId="168" fontId="82" fillId="0" borderId="0"/>
    <xf numFmtId="168" fontId="82" fillId="0" borderId="0"/>
    <xf numFmtId="49" fontId="276" fillId="0" borderId="0" applyBorder="0">
      <alignment vertical="top"/>
    </xf>
    <xf numFmtId="0" fontId="84" fillId="0" borderId="0"/>
    <xf numFmtId="0" fontId="37" fillId="0" borderId="0"/>
    <xf numFmtId="168" fontId="37" fillId="0" borderId="0"/>
    <xf numFmtId="0" fontId="32" fillId="0" borderId="0"/>
    <xf numFmtId="168" fontId="32" fillId="0" borderId="0"/>
    <xf numFmtId="168" fontId="37" fillId="0" borderId="0"/>
    <xf numFmtId="168" fontId="82" fillId="0" borderId="0"/>
    <xf numFmtId="168" fontId="37" fillId="0" borderId="0"/>
    <xf numFmtId="168" fontId="37" fillId="0" borderId="0"/>
    <xf numFmtId="168" fontId="1" fillId="0" borderId="0"/>
    <xf numFmtId="168" fontId="82" fillId="0" borderId="0"/>
    <xf numFmtId="0" fontId="82"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52" fillId="0" borderId="0" applyBorder="0"/>
    <xf numFmtId="0" fontId="352" fillId="0" borderId="0" applyBorder="0"/>
    <xf numFmtId="168" fontId="82" fillId="0" borderId="0"/>
    <xf numFmtId="168" fontId="82" fillId="0" borderId="0"/>
    <xf numFmtId="168" fontId="82" fillId="0" borderId="0"/>
    <xf numFmtId="168" fontId="82" fillId="0" borderId="0"/>
    <xf numFmtId="0" fontId="37" fillId="0" borderId="0"/>
    <xf numFmtId="168" fontId="37" fillId="0" borderId="0"/>
    <xf numFmtId="360" fontId="64"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1" fillId="0" borderId="0"/>
    <xf numFmtId="168" fontId="82" fillId="0" borderId="0"/>
    <xf numFmtId="168" fontId="82" fillId="0" borderId="0"/>
    <xf numFmtId="0" fontId="6"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7" fillId="0" borderId="0"/>
    <xf numFmtId="168" fontId="82" fillId="0" borderId="0"/>
    <xf numFmtId="168" fontId="82" fillId="0" borderId="0"/>
    <xf numFmtId="0" fontId="37" fillId="0" borderId="0"/>
    <xf numFmtId="168" fontId="37" fillId="0" borderId="0"/>
    <xf numFmtId="0" fontId="32" fillId="0" borderId="0"/>
    <xf numFmtId="168" fontId="82" fillId="0" borderId="0"/>
    <xf numFmtId="168" fontId="82" fillId="0" borderId="0"/>
    <xf numFmtId="168" fontId="32" fillId="0" borderId="0"/>
    <xf numFmtId="168" fontId="32" fillId="0" borderId="0"/>
    <xf numFmtId="168" fontId="37" fillId="0" borderId="0"/>
    <xf numFmtId="168" fontId="32" fillId="0" borderId="0"/>
    <xf numFmtId="168" fontId="82" fillId="0" borderId="0"/>
    <xf numFmtId="168" fontId="139" fillId="0" borderId="0"/>
    <xf numFmtId="168" fontId="1" fillId="0" borderId="0"/>
    <xf numFmtId="168" fontId="1" fillId="0" borderId="0"/>
    <xf numFmtId="168" fontId="62" fillId="0" borderId="0"/>
    <xf numFmtId="168" fontId="1" fillId="0" borderId="0"/>
    <xf numFmtId="168" fontId="1" fillId="0" borderId="0"/>
    <xf numFmtId="168" fontId="1" fillId="0" borderId="0"/>
    <xf numFmtId="168" fontId="1" fillId="0" borderId="0"/>
    <xf numFmtId="168" fontId="271" fillId="0" borderId="0"/>
    <xf numFmtId="168" fontId="1" fillId="0" borderId="0"/>
    <xf numFmtId="168" fontId="1" fillId="0" borderId="0"/>
    <xf numFmtId="168" fontId="54" fillId="0" borderId="0"/>
    <xf numFmtId="168" fontId="1" fillId="0" borderId="0"/>
    <xf numFmtId="0" fontId="354" fillId="0" borderId="0"/>
    <xf numFmtId="168" fontId="82" fillId="0" borderId="0"/>
    <xf numFmtId="0" fontId="32" fillId="0" borderId="0"/>
    <xf numFmtId="168" fontId="32" fillId="0" borderId="0"/>
    <xf numFmtId="0" fontId="37" fillId="0" borderId="0"/>
    <xf numFmtId="0" fontId="354" fillId="0" borderId="0"/>
    <xf numFmtId="168" fontId="37" fillId="0" borderId="0"/>
    <xf numFmtId="168" fontId="37" fillId="0" borderId="0"/>
    <xf numFmtId="168" fontId="37" fillId="0" borderId="0"/>
    <xf numFmtId="168" fontId="271" fillId="0" borderId="0"/>
    <xf numFmtId="168" fontId="37" fillId="0" borderId="0"/>
    <xf numFmtId="168" fontId="1" fillId="0" borderId="0"/>
    <xf numFmtId="168" fontId="84" fillId="0" borderId="0"/>
    <xf numFmtId="0" fontId="32" fillId="0" borderId="0"/>
    <xf numFmtId="168" fontId="1" fillId="0" borderId="0"/>
    <xf numFmtId="0" fontId="1" fillId="0" borderId="0"/>
    <xf numFmtId="0" fontId="1" fillId="0" borderId="0"/>
    <xf numFmtId="0" fontId="1" fillId="0" borderId="0"/>
    <xf numFmtId="0" fontId="355" fillId="0" borderId="0"/>
    <xf numFmtId="168" fontId="82" fillId="0" borderId="0"/>
    <xf numFmtId="0" fontId="37" fillId="0" borderId="0"/>
    <xf numFmtId="168" fontId="37" fillId="0" borderId="0"/>
    <xf numFmtId="0" fontId="100" fillId="0" borderId="0" applyProtection="0"/>
    <xf numFmtId="0" fontId="1" fillId="0" borderId="0"/>
    <xf numFmtId="0" fontId="1" fillId="0" borderId="0"/>
    <xf numFmtId="0" fontId="1" fillId="0" borderId="0"/>
    <xf numFmtId="0" fontId="1" fillId="0" borderId="0"/>
    <xf numFmtId="0" fontId="37" fillId="0" borderId="0"/>
    <xf numFmtId="0" fontId="1" fillId="0" borderId="0"/>
    <xf numFmtId="0" fontId="32" fillId="0" borderId="0"/>
    <xf numFmtId="0" fontId="1" fillId="0" borderId="0"/>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2" fillId="19" borderId="0" applyNumberFormat="0" applyBorder="0" applyAlignment="0" applyProtection="0"/>
    <xf numFmtId="0" fontId="105" fillId="19" borderId="0" applyNumberFormat="0" applyBorder="0" applyAlignment="0" applyProtection="0"/>
    <xf numFmtId="0"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90" fontId="358" fillId="10" borderId="78" applyNumberFormat="0" applyBorder="0" applyAlignment="0">
      <alignment vertical="center"/>
      <protection locked="0"/>
    </xf>
    <xf numFmtId="0" fontId="172"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59"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2" fillId="0" borderId="0" applyNumberFormat="0" applyFill="0" applyBorder="0" applyAlignment="0" applyProtection="0"/>
    <xf numFmtId="0" fontId="172" fillId="0" borderId="0" applyNumberFormat="0" applyFill="0" applyBorder="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2"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9" fontId="82"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27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27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8" fillId="0" borderId="5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30" fillId="0" borderId="7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2" fillId="0" borderId="59" applyNumberFormat="0" applyFill="0" applyAlignment="0" applyProtection="0"/>
    <xf numFmtId="0" fontId="258" fillId="0" borderId="59" applyNumberFormat="0" applyFill="0" applyAlignment="0" applyProtection="0"/>
    <xf numFmtId="168" fontId="32" fillId="0" borderId="0"/>
    <xf numFmtId="168" fontId="361" fillId="0" borderId="0"/>
    <xf numFmtId="168" fontId="32" fillId="0" borderId="0"/>
    <xf numFmtId="0" fontId="361" fillId="0" borderId="0"/>
    <xf numFmtId="0" fontId="46" fillId="0" borderId="0"/>
    <xf numFmtId="175" fontId="57" fillId="0" borderId="0">
      <alignment vertical="top"/>
    </xf>
    <xf numFmtId="38" fontId="57" fillId="0" borderId="0">
      <alignment vertical="top"/>
    </xf>
    <xf numFmtId="168" fontId="37" fillId="0" borderId="0"/>
    <xf numFmtId="0" fontId="46" fillId="0" borderId="0"/>
    <xf numFmtId="168" fontId="46" fillId="0" borderId="0"/>
    <xf numFmtId="0" fontId="38" fillId="0" borderId="0"/>
    <xf numFmtId="168" fontId="37" fillId="0" borderId="0"/>
    <xf numFmtId="168" fontId="37" fillId="0" borderId="0"/>
    <xf numFmtId="168" fontId="52" fillId="0" borderId="0"/>
    <xf numFmtId="168" fontId="32" fillId="0" borderId="0"/>
    <xf numFmtId="0" fontId="5" fillId="84" borderId="12" applyBorder="0" applyAlignment="0">
      <alignment vertical="center"/>
    </xf>
    <xf numFmtId="168" fontId="32" fillId="0" borderId="0"/>
    <xf numFmtId="168" fontId="52" fillId="0" borderId="0"/>
    <xf numFmtId="168" fontId="72" fillId="0" borderId="0" applyNumberFormat="0" applyFont="0" applyFill="0" applyBorder="0" applyAlignment="0" applyProtection="0">
      <alignment vertical="top"/>
    </xf>
    <xf numFmtId="168" fontId="72" fillId="0" borderId="0" applyNumberFormat="0" applyFont="0" applyFill="0" applyBorder="0" applyAlignment="0" applyProtection="0">
      <alignment vertical="top"/>
    </xf>
    <xf numFmtId="168" fontId="32" fillId="0" borderId="0"/>
    <xf numFmtId="168" fontId="32" fillId="0" borderId="0"/>
    <xf numFmtId="168" fontId="32" fillId="0" borderId="0">
      <alignment vertical="justify"/>
    </xf>
    <xf numFmtId="49" fontId="362" fillId="0" borderId="0"/>
    <xf numFmtId="49" fontId="363" fillId="0" borderId="0">
      <alignment vertical="top"/>
    </xf>
    <xf numFmtId="190" fontId="225" fillId="0" borderId="0" applyFill="0" applyBorder="0" applyAlignment="0" applyProtection="0"/>
    <xf numFmtId="190" fontId="225" fillId="0" borderId="0" applyFill="0" applyBorder="0" applyAlignment="0" applyProtection="0"/>
    <xf numFmtId="168" fontId="32" fillId="0" borderId="0" applyNumberFormat="0" applyFill="0" applyBorder="0" applyAlignment="0" applyProtection="0"/>
    <xf numFmtId="0" fontId="330" fillId="0" borderId="0" applyNumberFormat="0" applyFill="0" applyBorder="0" applyAlignment="0" applyProtection="0"/>
    <xf numFmtId="0"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0" fontId="4"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49" fontId="225" fillId="0" borderId="0">
      <alignment horizontal="center"/>
    </xf>
    <xf numFmtId="49" fontId="225" fillId="0" borderId="0">
      <alignment horizontal="center"/>
    </xf>
    <xf numFmtId="49" fontId="54" fillId="0" borderId="0"/>
    <xf numFmtId="361" fontId="364" fillId="0" borderId="0"/>
    <xf numFmtId="361" fontId="364" fillId="0" borderId="0"/>
    <xf numFmtId="361" fontId="364" fillId="0" borderId="0"/>
    <xf numFmtId="38" fontId="32" fillId="0" borderId="0" applyFont="0" applyFill="0" applyBorder="0" applyAlignment="0" applyProtection="0"/>
    <xf numFmtId="3" fontId="365" fillId="0" borderId="36" applyFont="0" applyBorder="0">
      <alignment horizontal="right"/>
      <protection locked="0"/>
    </xf>
    <xf numFmtId="183" fontId="37" fillId="0" borderId="0" applyFont="0" applyFill="0" applyBorder="0" applyAlignment="0" applyProtection="0"/>
    <xf numFmtId="2" fontId="225" fillId="0" borderId="0" applyFill="0" applyBorder="0" applyAlignment="0" applyProtection="0"/>
    <xf numFmtId="2" fontId="225" fillId="0" borderId="0" applyFill="0" applyBorder="0" applyAlignment="0" applyProtection="0"/>
    <xf numFmtId="295" fontId="37"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168"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8"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164" fontId="366" fillId="0" borderId="0" applyFont="0" applyFill="0" applyBorder="0" applyAlignment="0" applyProtection="0"/>
    <xf numFmtId="190" fontId="366"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362" fontId="37" fillId="0" borderId="0" applyFont="0" applyFill="0" applyBorder="0" applyAlignment="0" applyProtection="0"/>
    <xf numFmtId="235" fontId="1" fillId="0" borderId="0" applyFont="0" applyFill="0" applyBorder="0" applyAlignment="0" applyProtection="0"/>
    <xf numFmtId="235" fontId="37" fillId="0" borderId="0" applyFont="0" applyFill="0" applyBorder="0" applyAlignment="0" applyProtection="0"/>
    <xf numFmtId="235" fontId="83" fillId="0" borderId="0" applyFont="0" applyFill="0" applyBorder="0" applyAlignment="0" applyProtection="0"/>
    <xf numFmtId="238"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8" fontId="37" fillId="0" borderId="0" applyFont="0" applyFill="0" applyBorder="0" applyAlignment="0" applyProtection="0"/>
    <xf numFmtId="235" fontId="32"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363" fontId="54" fillId="0" borderId="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35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364" fontId="32" fillId="0" borderId="0" applyFont="0" applyFill="0" applyBorder="0" applyAlignment="0" applyProtection="0"/>
    <xf numFmtId="230" fontId="32" fillId="0" borderId="0" applyFont="0" applyFill="0" applyBorder="0" applyAlignment="0" applyProtection="0"/>
    <xf numFmtId="230" fontId="32" fillId="0" borderId="0" applyFont="0" applyFill="0" applyBorder="0" applyAlignment="0" applyProtection="0"/>
    <xf numFmtId="235" fontId="82" fillId="0" borderId="0" applyFont="0" applyFill="0" applyBorder="0" applyAlignment="0" applyProtection="0"/>
    <xf numFmtId="36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90" fontId="83"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67" fontId="37" fillId="0" borderId="0" applyFont="0" applyFill="0" applyBorder="0" applyAlignment="0" applyProtection="0"/>
    <xf numFmtId="235" fontId="271" fillId="0" borderId="0" applyFont="0" applyFill="0" applyBorder="0" applyAlignment="0" applyProtection="0"/>
    <xf numFmtId="181"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366" fontId="37" fillId="0" borderId="0" applyFont="0" applyFill="0" applyBorder="0" applyAlignment="0" applyProtection="0"/>
    <xf numFmtId="182"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235" fontId="8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8" fontId="1"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4" fontId="276" fillId="8" borderId="0" applyBorder="0">
      <alignment horizontal="right"/>
    </xf>
    <xf numFmtId="4" fontId="276" fillId="85" borderId="8"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0" fontId="199" fillId="20"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67" fillId="26"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2" fillId="20" borderId="0" applyNumberFormat="0" applyBorder="0" applyAlignment="0" applyProtection="0"/>
    <xf numFmtId="0" fontId="199" fillId="20" borderId="0" applyNumberFormat="0" applyBorder="0" applyAlignment="0" applyProtection="0"/>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37" fontId="32" fillId="0" borderId="0" applyFont="0" applyBorder="0" applyAlignment="0" applyProtection="0"/>
    <xf numFmtId="367" fontId="61" fillId="0" borderId="0">
      <protection locked="0"/>
    </xf>
    <xf numFmtId="183" fontId="61" fillId="0" borderId="0">
      <protection locked="0"/>
    </xf>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168" fontId="37" fillId="39" borderId="0" applyNumberFormat="0" applyBorder="0" applyAlignment="0" applyProtection="0">
      <alignment vertical="center"/>
    </xf>
    <xf numFmtId="0" fontId="37" fillId="39" borderId="0" applyNumberFormat="0" applyBorder="0" applyAlignment="0" applyProtection="0">
      <alignment vertical="center"/>
    </xf>
    <xf numFmtId="168" fontId="37" fillId="42" borderId="0" applyNumberFormat="0" applyBorder="0" applyAlignment="0" applyProtection="0">
      <alignment vertical="center"/>
    </xf>
    <xf numFmtId="0" fontId="37" fillId="42" borderId="0" applyNumberFormat="0" applyBorder="0" applyAlignment="0" applyProtection="0">
      <alignment vertical="center"/>
    </xf>
    <xf numFmtId="168" fontId="37" fillId="46" borderId="0" applyNumberFormat="0" applyBorder="0" applyAlignment="0" applyProtection="0">
      <alignment vertical="center"/>
    </xf>
    <xf numFmtId="0" fontId="37" fillId="46"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49" borderId="0" applyNumberFormat="0" applyBorder="0" applyAlignment="0" applyProtection="0">
      <alignment vertical="center"/>
    </xf>
    <xf numFmtId="0" fontId="37" fillId="49" borderId="0" applyNumberFormat="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7" borderId="38" applyNumberFormat="0" applyAlignment="0" applyProtection="0">
      <alignment vertical="center"/>
    </xf>
    <xf numFmtId="0" fontId="37" fillId="57" borderId="38" applyNumberFormat="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9" borderId="0" applyNumberFormat="0" applyBorder="0" applyAlignment="0" applyProtection="0">
      <alignment vertical="center"/>
    </xf>
    <xf numFmtId="0" fontId="37" fillId="9" borderId="0" applyNumberFormat="0" applyBorder="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0"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0" borderId="59" applyNumberFormat="0" applyFill="0" applyAlignment="0" applyProtection="0">
      <alignment vertical="center"/>
    </xf>
    <xf numFmtId="0" fontId="37" fillId="0" borderId="59" applyNumberFormat="0" applyFill="0" applyAlignment="0" applyProtection="0">
      <alignment vertical="center"/>
    </xf>
    <xf numFmtId="168" fontId="37" fillId="23" borderId="35" applyNumberFormat="0" applyAlignment="0" applyProtection="0">
      <alignment vertical="center"/>
    </xf>
    <xf numFmtId="0"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0"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368" fontId="114" fillId="0" borderId="0" applyFont="0" applyFill="0" applyBorder="0" applyAlignment="0" applyProtection="0"/>
    <xf numFmtId="211" fontId="114" fillId="0" borderId="0" applyFont="0" applyFill="0" applyBorder="0" applyAlignment="0" applyProtection="0"/>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40" fontId="32" fillId="0" borderId="0" applyFont="0" applyFill="0" applyBorder="0" applyAlignment="0" applyProtection="0"/>
    <xf numFmtId="38" fontId="32" fillId="0" borderId="0" applyFont="0" applyFill="0" applyBorder="0" applyAlignment="0" applyProtection="0"/>
    <xf numFmtId="168" fontId="32" fillId="0" borderId="0"/>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0" borderId="52" applyNumberFormat="0" applyFill="0" applyAlignment="0" applyProtection="0">
      <alignment vertical="center"/>
    </xf>
    <xf numFmtId="0" fontId="37" fillId="0" borderId="52" applyNumberFormat="0" applyFill="0" applyAlignment="0" applyProtection="0">
      <alignment vertical="center"/>
    </xf>
    <xf numFmtId="168" fontId="37" fillId="0" borderId="53" applyNumberFormat="0" applyFill="0" applyAlignment="0" applyProtection="0">
      <alignment vertical="center"/>
    </xf>
    <xf numFmtId="0" fontId="37" fillId="0" borderId="53" applyNumberFormat="0" applyFill="0" applyAlignment="0" applyProtection="0">
      <alignment vertical="center"/>
    </xf>
    <xf numFmtId="168" fontId="37" fillId="0" borderId="54" applyNumberFormat="0" applyFill="0" applyAlignment="0" applyProtection="0">
      <alignment vertical="center"/>
    </xf>
    <xf numFmtId="0" fontId="37" fillId="0" borderId="54" applyNumberFormat="0" applyFill="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4" borderId="35" applyNumberFormat="0" applyAlignment="0" applyProtection="0">
      <alignment vertical="center"/>
    </xf>
    <xf numFmtId="0"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0"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cellStyleXfs>
  <cellXfs count="149">
    <xf numFmtId="0" fontId="0" fillId="0" borderId="0" xfId="0"/>
    <xf numFmtId="0" fontId="7" fillId="6" borderId="0" xfId="2" applyFont="1" applyFill="1" applyAlignment="1">
      <alignment wrapText="1"/>
    </xf>
    <xf numFmtId="0" fontId="7" fillId="6" borderId="0" xfId="2" applyFont="1" applyFill="1"/>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vertical="center"/>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4" fontId="9" fillId="6"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0" fontId="7" fillId="6" borderId="15" xfId="2" applyFont="1" applyFill="1" applyBorder="1" applyAlignment="1">
      <alignment horizontal="lef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0"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2"/>
    </xf>
    <xf numFmtId="16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0" fontId="7" fillId="6" borderId="12" xfId="2" applyFont="1" applyFill="1" applyBorder="1" applyAlignment="1">
      <alignment horizontal="left" vertical="center" wrapText="1" indent="2"/>
    </xf>
    <xf numFmtId="165" fontId="7" fillId="6" borderId="12" xfId="2" applyNumberFormat="1" applyFont="1" applyFill="1" applyBorder="1" applyAlignment="1">
      <alignment horizontal="center" vertical="center" wrapText="1"/>
    </xf>
    <xf numFmtId="49" fontId="12" fillId="6" borderId="12" xfId="0" applyNumberFormat="1" applyFont="1" applyFill="1" applyBorder="1" applyAlignment="1">
      <alignment horizontal="right" vertical="center"/>
    </xf>
    <xf numFmtId="0" fontId="20"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9" fillId="6" borderId="12" xfId="0" applyFont="1" applyFill="1" applyBorder="1" applyAlignment="1">
      <alignment horizontal="left" vertical="center" wrapText="1" indent="5"/>
    </xf>
    <xf numFmtId="0" fontId="16" fillId="6" borderId="20" xfId="2" applyFont="1" applyFill="1" applyBorder="1" applyAlignment="1">
      <alignment horizontal="left" vertical="center" wrapText="1" indent="2"/>
    </xf>
    <xf numFmtId="165"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6" borderId="0" xfId="2" applyFont="1" applyFill="1" applyBorder="1" applyAlignment="1">
      <alignment horizontal="left" vertical="center" wrapText="1" indent="2"/>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6" fillId="6" borderId="18" xfId="2" applyFont="1" applyFill="1" applyBorder="1" applyAlignment="1">
      <alignment horizontal="left" vertical="center" wrapText="1" indent="7"/>
    </xf>
    <xf numFmtId="0" fontId="19"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166"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9" fillId="6" borderId="12" xfId="0" applyFont="1" applyFill="1" applyBorder="1" applyAlignment="1">
      <alignment horizontal="left" vertical="center" wrapText="1" indent="4"/>
    </xf>
    <xf numFmtId="166"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0" fontId="19"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20"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6" fillId="6" borderId="18" xfId="2" applyFont="1" applyFill="1" applyBorder="1" applyAlignment="1">
      <alignment horizontal="left" vertical="center" wrapText="1" indent="5"/>
    </xf>
    <xf numFmtId="164" fontId="7" fillId="6" borderId="12" xfId="2"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20" fillId="6" borderId="12" xfId="1" applyNumberFormat="1" applyFont="1" applyFill="1" applyBorder="1" applyAlignment="1">
      <alignment horizontal="center" vertical="center"/>
    </xf>
    <xf numFmtId="0" fontId="19"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6"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49" fontId="20" fillId="6" borderId="8" xfId="2" applyNumberFormat="1" applyFont="1" applyFill="1" applyBorder="1" applyAlignment="1">
      <alignment horizontal="right" vertical="center"/>
    </xf>
    <xf numFmtId="49" fontId="20"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6" fillId="0" borderId="18" xfId="2" applyFont="1" applyFill="1" applyBorder="1" applyAlignment="1">
      <alignment horizontal="left" vertical="center" wrapText="1" indent="4"/>
    </xf>
    <xf numFmtId="167" fontId="7" fillId="6" borderId="12" xfId="1" applyNumberFormat="1" applyFont="1" applyFill="1" applyBorder="1" applyAlignment="1">
      <alignment horizontal="center" vertical="center" wrapText="1"/>
    </xf>
    <xf numFmtId="49" fontId="20"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20" xfId="2" applyFont="1" applyFill="1" applyBorder="1" applyAlignment="1">
      <alignment horizontal="left" vertical="center" wrapText="1" indent="2"/>
    </xf>
    <xf numFmtId="0" fontId="7" fillId="6" borderId="0" xfId="2" applyFont="1" applyFill="1" applyBorder="1"/>
    <xf numFmtId="0" fontId="20" fillId="6" borderId="12" xfId="2" applyFont="1" applyFill="1" applyBorder="1" applyAlignment="1">
      <alignment horizontal="left" vertical="center" wrapText="1" indent="2"/>
    </xf>
    <xf numFmtId="0" fontId="7" fillId="6" borderId="12" xfId="2" applyFont="1" applyFill="1" applyBorder="1" applyAlignment="1">
      <alignment horizontal="left" vertical="center" wrapText="1" indent="4"/>
    </xf>
    <xf numFmtId="4" fontId="7" fillId="6" borderId="12" xfId="1"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33" fillId="6" borderId="9" xfId="3" applyFont="1" applyFill="1" applyBorder="1" applyAlignment="1">
      <alignment horizontal="left" vertical="center" wrapText="1"/>
    </xf>
    <xf numFmtId="10" fontId="7" fillId="6" borderId="9" xfId="2" applyNumberFormat="1" applyFont="1" applyFill="1" applyBorder="1" applyAlignment="1">
      <alignment horizontal="center" vertical="center" wrapText="1"/>
    </xf>
    <xf numFmtId="0" fontId="7" fillId="6" borderId="15" xfId="2"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20"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0" fontId="7" fillId="6" borderId="11" xfId="2" applyFont="1" applyFill="1" applyBorder="1"/>
    <xf numFmtId="10" fontId="7" fillId="6" borderId="13" xfId="2" applyNumberFormat="1" applyFont="1" applyFill="1" applyBorder="1" applyAlignment="1" applyProtection="1">
      <alignment vertical="center"/>
      <protection locked="0"/>
    </xf>
    <xf numFmtId="0" fontId="7" fillId="6" borderId="14" xfId="2" applyFont="1" applyFill="1" applyBorder="1"/>
    <xf numFmtId="10" fontId="7" fillId="6" borderId="16" xfId="2" applyNumberFormat="1" applyFont="1" applyFill="1" applyBorder="1" applyAlignment="1" applyProtection="1">
      <alignment vertical="center"/>
      <protection locked="0"/>
    </xf>
    <xf numFmtId="0" fontId="7" fillId="6" borderId="24" xfId="2" applyFont="1" applyFill="1" applyBorder="1"/>
    <xf numFmtId="0" fontId="7" fillId="6" borderId="24" xfId="2" applyFont="1" applyFill="1" applyBorder="1" applyAlignment="1">
      <alignment vertical="center"/>
    </xf>
    <xf numFmtId="0" fontId="7" fillId="6" borderId="0" xfId="2" applyFont="1" applyFill="1" applyAlignment="1">
      <alignment vertical="center"/>
    </xf>
    <xf numFmtId="10" fontId="7" fillId="6" borderId="0" xfId="2" applyNumberFormat="1" applyFont="1" applyFill="1" applyAlignment="1">
      <alignment wrapText="1"/>
    </xf>
    <xf numFmtId="0" fontId="9" fillId="6" borderId="0" xfId="2" applyFont="1" applyFill="1" applyAlignment="1">
      <alignment horizontal="left"/>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 fontId="7" fillId="6" borderId="12" xfId="2" applyNumberFormat="1" applyFont="1" applyFill="1" applyBorder="1" applyAlignment="1">
      <alignment horizontal="center" vertical="center"/>
    </xf>
    <xf numFmtId="49" fontId="12" fillId="6" borderId="11" xfId="0" applyNumberFormat="1" applyFont="1" applyFill="1" applyBorder="1" applyAlignment="1">
      <alignment horizontal="right" vertical="center"/>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20" fillId="6" borderId="15" xfId="2" applyFont="1" applyFill="1" applyBorder="1" applyAlignment="1">
      <alignment horizontal="left" vertical="center" wrapText="1" indent="2"/>
    </xf>
    <xf numFmtId="4" fontId="20" fillId="6" borderId="15" xfId="2" applyNumberFormat="1" applyFont="1" applyFill="1" applyBorder="1" applyAlignment="1">
      <alignment horizontal="center" vertical="center" wrapText="1"/>
    </xf>
    <xf numFmtId="49" fontId="7" fillId="6" borderId="80" xfId="2" applyNumberFormat="1" applyFont="1" applyFill="1" applyBorder="1" applyAlignment="1">
      <alignment horizontal="right" vertical="center"/>
    </xf>
    <xf numFmtId="0" fontId="7" fillId="6" borderId="81" xfId="2" applyFont="1" applyFill="1" applyBorder="1" applyAlignment="1">
      <alignment horizontal="left" vertical="center" wrapText="1" indent="4"/>
    </xf>
    <xf numFmtId="10" fontId="7" fillId="6" borderId="81" xfId="1" applyNumberFormat="1" applyFont="1" applyFill="1" applyBorder="1" applyAlignment="1">
      <alignment horizontal="center" vertical="center" wrapText="1"/>
    </xf>
    <xf numFmtId="0" fontId="16" fillId="6" borderId="12" xfId="2" applyFont="1" applyFill="1" applyBorder="1" applyAlignment="1">
      <alignment horizontal="left" vertical="center" wrapText="1" indent="4"/>
    </xf>
    <xf numFmtId="0" fontId="16" fillId="6" borderId="15" xfId="2" applyFont="1" applyFill="1" applyBorder="1" applyAlignment="1">
      <alignment horizontal="left" vertical="center" wrapText="1" indent="4"/>
    </xf>
    <xf numFmtId="10" fontId="7" fillId="6" borderId="9" xfId="1" applyNumberFormat="1" applyFont="1" applyFill="1" applyBorder="1" applyAlignment="1">
      <alignment horizontal="center" vertical="center" wrapText="1"/>
    </xf>
    <xf numFmtId="0" fontId="7" fillId="6" borderId="83" xfId="2" applyFont="1" applyFill="1" applyBorder="1" applyAlignment="1">
      <alignment horizontal="right" wrapText="1" indent="1"/>
    </xf>
    <xf numFmtId="0" fontId="7" fillId="6" borderId="84" xfId="2" applyFont="1" applyFill="1" applyBorder="1" applyAlignment="1">
      <alignment horizontal="center" vertical="center" wrapText="1"/>
    </xf>
    <xf numFmtId="0" fontId="7" fillId="6" borderId="8" xfId="2" applyFont="1" applyFill="1" applyBorder="1"/>
    <xf numFmtId="10" fontId="20" fillId="6" borderId="10" xfId="2" applyNumberFormat="1" applyFont="1" applyFill="1" applyBorder="1" applyAlignment="1" applyProtection="1">
      <alignment vertical="center"/>
    </xf>
    <xf numFmtId="10" fontId="20" fillId="6" borderId="13" xfId="2" applyNumberFormat="1" applyFont="1" applyFill="1" applyBorder="1" applyAlignment="1" applyProtection="1">
      <alignment vertical="center"/>
    </xf>
    <xf numFmtId="10" fontId="20" fillId="6" borderId="16" xfId="2" applyNumberFormat="1" applyFont="1" applyFill="1" applyBorder="1" applyAlignment="1" applyProtection="1">
      <alignment vertical="center"/>
    </xf>
    <xf numFmtId="0" fontId="7" fillId="6" borderId="80" xfId="2" applyFont="1" applyFill="1" applyBorder="1"/>
    <xf numFmtId="10" fontId="20" fillId="6" borderId="82"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9" fillId="6" borderId="23"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8" fillId="6" borderId="0" xfId="2" applyFont="1" applyFill="1" applyBorder="1" applyAlignment="1">
      <alignment horizontal="center" vertical="center" wrapText="1"/>
    </xf>
    <xf numFmtId="0" fontId="9" fillId="6" borderId="7" xfId="2" applyFont="1" applyFill="1" applyBorder="1" applyAlignment="1">
      <alignment horizontal="center" wrapText="1"/>
    </xf>
    <xf numFmtId="0" fontId="9" fillId="6" borderId="19"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left"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8.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externalLink" Target="externalLinks/externalLink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externalLink" Target="externalLinks/externalLink15.xml"/><Relationship Id="rId10" Type="http://schemas.openxmlformats.org/officeDocument/2006/relationships/worksheet" Target="worksheets/sheet10.xml"/><Relationship Id="rId19" Type="http://schemas.openxmlformats.org/officeDocument/2006/relationships/externalLink" Target="externalLinks/externalLink6.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externalLink" Target="externalLinks/externalLink14.xml"/><Relationship Id="rId30" Type="http://schemas.openxmlformats.org/officeDocument/2006/relationships/externalLink" Target="externalLinks/externalLink17.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75;&#1072;&#1079;_&#1062;&#1055;%20(&#1073;&#1077;&#1079;%20&#1053;&#1044;&#1057;)_2&#1087;&#1075;2023&#1075;_&#1084;&#1077;&#1085;&#1077;&#1077;%2050%20&#1090;&#1099;&#1089;%20&#1057;&#1082;&#1072;&#1083;&#1080;&#1085;&#1089;&#1082;&#1080;&#1081;%20&#1089;&#108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88;.&#1087;.%20&#1050;&#1086;&#1083;&#1099;&#1074;&#1072;&#1085;&#1100;.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42;&#1100;&#1102;&#1085;&#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0;&#1072;&#1083;&#1080;&#1085;&#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0;&#1072;&#1085;&#1076;&#1072;&#1091;&#1088;&#1086;&#1074;&#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0;&#1086;&#1088;&#1086;&#1083;&#1077;&#1074;&#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3;&#1086;&#1074;&#1086;&#1090;&#1088;&#1086;&#1080;&#1094;&#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3;&#1086;&#1074;&#1086;&#1090;&#1099;&#1088;&#1099;&#1096;&#1082;&#1080;&#1085;&#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5;&#1080;&#1093;&#1090;&#1086;&#1074;&#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5;&#1086;&#1085;&#1086;&#1084;&#1072;&#1088;&#1077;&#1074;&#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91;&#1075;&#1086;&#1083;&#1100;_&#1062;&#1055;%20(&#1073;&#1077;&#1079;%20&#1053;&#1044;&#1057;)_2&#1087;&#1075;2023&#1075;_&#1084;&#1077;&#1085;&#1077;&#1077;%2050%20&#1090;&#1099;&#1089;%20&#1057;&#1080;&#1076;&#1086;&#1088;&#1086;&#1074;&#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75;&#1072;&#1079;_&#1062;&#1055;%20(&#1073;&#1077;&#1079;%20&#1053;&#1044;&#1057;)_2&#1087;&#1075;2023&#1075;_&#1084;&#1077;&#1085;&#1077;&#1077;%2050%20&#1090;&#1099;&#1089;%20&#1057;&#1086;&#1082;&#1086;&#1083;&#1086;&#1074;&#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50;&#1086;&#1083;&#1099;&#1074;&#1072;&#1085;&#1089;&#1082;&#1080;&#1081;%20&#1052;&#1056;/&#1064;&#1072;&#1073;&#1083;&#1086;&#1085;%20&#1062;&#1040;&#1050;_&#1075;&#1072;&#1079;_&#1062;&#1055;%20(&#1073;&#1077;&#1079;%20&#1053;&#1044;&#1057;)_2&#1087;&#1075;2023&#1075;_&#1084;&#1077;&#1085;&#1077;&#1077;%2050%20&#1090;&#1099;&#1089;%20&#1088;.&#1087;.%20&#1050;&#1086;&#1083;&#1099;&#1074;&#1072;&#1085;&#1100;.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Титульный"/>
      <sheetName val="TSheet"/>
      <sheetName val="к2"/>
      <sheetName val="Контроль"/>
      <sheetName val="tsh"/>
      <sheetName val="Анализ"/>
      <sheetName val="11"/>
      <sheetName val="ORGS"/>
      <sheetName val="Обнулить"/>
      <sheetName val="TEHSHEET"/>
      <sheetName val="REESTR_MO"/>
      <sheetName val="таблица7 (технол.нужды)"/>
      <sheetName val="таблица7 (хоз.нужды)"/>
      <sheetName val="REESTR"/>
      <sheetName val="FST5"/>
      <sheetName val="СЛ7"/>
      <sheetName val="СЛ3"/>
      <sheetName val="Титульный лист"/>
      <sheetName val="Инструкция"/>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Скалинское МО</v>
          </cell>
        </row>
        <row r="15">
          <cell r="D15" t="str">
            <v/>
          </cell>
        </row>
        <row r="16">
          <cell r="D16" t="str">
            <v>Код ОКТМО</v>
          </cell>
          <cell r="E16" t="str">
            <v>50621428101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1416.7967815079221</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186.92622068882517</v>
          </cell>
        </row>
        <row r="29">
          <cell r="F29">
            <v>0.27046175099999997</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338.80382712889616</v>
          </cell>
        </row>
        <row r="14">
          <cell r="F14">
            <v>4859.4801705873924</v>
          </cell>
        </row>
        <row r="15">
          <cell r="F15">
            <v>0.2</v>
          </cell>
        </row>
        <row r="18">
          <cell r="F18">
            <v>15</v>
          </cell>
        </row>
        <row r="19">
          <cell r="F19">
            <v>2435.0508023655884</v>
          </cell>
        </row>
        <row r="20">
          <cell r="F20">
            <v>2.1999999999999999E-2</v>
          </cell>
        </row>
        <row r="21">
          <cell r="F21">
            <v>10</v>
          </cell>
        </row>
        <row r="22">
          <cell r="F22">
            <v>0.56077866206647553</v>
          </cell>
        </row>
        <row r="23">
          <cell r="F23">
            <v>3.0000000000000001E-3</v>
          </cell>
        </row>
        <row r="24">
          <cell r="F24">
            <v>186.92622068882517</v>
          </cell>
        </row>
      </sheetData>
      <sheetData sheetId="23">
        <row r="12">
          <cell r="F12" t="str">
            <v xml:space="preserve">Налоговый кодекс Российской Федерации </v>
          </cell>
        </row>
      </sheetData>
      <sheetData sheetId="24">
        <row r="12">
          <cell r="F12">
            <v>223.79025283680338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44.742230000000006</v>
          </cell>
        </row>
        <row r="27">
          <cell r="F27">
            <v>1027.9066866081675</v>
          </cell>
        </row>
        <row r="28">
          <cell r="F28">
            <v>789.4828622182547</v>
          </cell>
        </row>
        <row r="29">
          <cell r="F29">
            <v>238.42382438991297</v>
          </cell>
        </row>
        <row r="30">
          <cell r="F30">
            <v>496.41514316317966</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22.71</v>
          </cell>
        </row>
        <row r="19">
          <cell r="E19">
            <v>11.87</v>
          </cell>
        </row>
      </sheetData>
      <sheetData sheetId="28" refreshError="1"/>
      <sheetData sheetId="29">
        <row r="12">
          <cell r="F12">
            <v>57.8429317000545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Колывань</v>
          </cell>
        </row>
        <row r="15">
          <cell r="D15" t="str">
            <v/>
          </cell>
        </row>
        <row r="16">
          <cell r="D16" t="str">
            <v>Код ОКТМО</v>
          </cell>
          <cell r="E16" t="str">
            <v>50621151051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1028.2305091820481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2764.74</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450.23291128033469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90.830880000000008</v>
          </cell>
        </row>
        <row r="27">
          <cell r="F27">
            <v>1467.2629458895778</v>
          </cell>
        </row>
        <row r="28">
          <cell r="F28">
            <v>1126.9300659674177</v>
          </cell>
        </row>
        <row r="29">
          <cell r="F29">
            <v>340.33287992216015</v>
          </cell>
        </row>
        <row r="30">
          <cell r="F30">
            <v>2262.8826068497115</v>
          </cell>
        </row>
        <row r="33">
          <cell r="F33">
            <v>1515.4499494696213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25</v>
          </cell>
        </row>
        <row r="19">
          <cell r="E19">
            <v>15.47</v>
          </cell>
        </row>
      </sheetData>
      <sheetData sheetId="29" refreshError="1"/>
      <sheetData sheetId="30">
        <row r="12">
          <cell r="F12">
            <v>81.866827166287692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Вьюнское МО</v>
          </cell>
        </row>
        <row r="15">
          <cell r="D15" t="str">
            <v/>
          </cell>
        </row>
        <row r="16">
          <cell r="D16" t="str">
            <v>Код ОКТМО</v>
          </cell>
          <cell r="E16" t="str">
            <v>50621402101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856.22961231506304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2302.2583333333337</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437.89455943210288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2011.9351883883214</v>
          </cell>
        </row>
        <row r="33">
          <cell r="F33">
            <v>1264.7982368924493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78.180042191983361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Калининское МО</v>
          </cell>
        </row>
        <row r="15">
          <cell r="D15" t="str">
            <v/>
          </cell>
        </row>
        <row r="16">
          <cell r="D16" t="str">
            <v>Код ОКТМО</v>
          </cell>
          <cell r="E16" t="str">
            <v>50621404101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891.90184297896326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2398.1750000000002</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438.66300598224132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61.757849999999998</v>
          </cell>
        </row>
        <row r="27">
          <cell r="F27">
            <v>1467.2629458895778</v>
          </cell>
        </row>
        <row r="28">
          <cell r="F28">
            <v>1126.9300659674177</v>
          </cell>
        </row>
        <row r="29">
          <cell r="F29">
            <v>340.33287992216015</v>
          </cell>
        </row>
        <row r="30">
          <cell r="F30">
            <v>2062.205612996227</v>
          </cell>
        </row>
        <row r="33">
          <cell r="F33">
            <v>1316.7823013375851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16.71</v>
          </cell>
        </row>
        <row r="19">
          <cell r="E19">
            <v>15.47</v>
          </cell>
        </row>
      </sheetData>
      <sheetData sheetId="29" refreshError="1"/>
      <sheetData sheetId="30">
        <row r="12">
          <cell r="F12">
            <v>78.90885573626413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Кандауровское МО</v>
          </cell>
        </row>
        <row r="15">
          <cell r="D15" t="str">
            <v/>
          </cell>
        </row>
        <row r="16">
          <cell r="D16" t="str">
            <v>Код ОКТМО</v>
          </cell>
          <cell r="E16" t="str">
            <v>50621407101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891.90184297896326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2398.1750000000002</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440.39161557857591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2063.919252833457</v>
          </cell>
        </row>
        <row r="33">
          <cell r="F33">
            <v>1316.7823013375851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78.943427928190829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Королевское МО</v>
          </cell>
        </row>
        <row r="15">
          <cell r="D15" t="str">
            <v/>
          </cell>
        </row>
        <row r="16">
          <cell r="D16" t="str">
            <v>Код ОКТМО</v>
          </cell>
          <cell r="E16" t="str">
            <v>50621410101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891.90184297896326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2398.1750000000002</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440.39161557857591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86.552340000000015</v>
          </cell>
        </row>
        <row r="27">
          <cell r="F27">
            <v>1467.2629458895778</v>
          </cell>
        </row>
        <row r="28">
          <cell r="F28">
            <v>1126.9300659674177</v>
          </cell>
        </row>
        <row r="29">
          <cell r="F29">
            <v>340.33287992216015</v>
          </cell>
        </row>
        <row r="30">
          <cell r="F30">
            <v>2063.919252833457</v>
          </cell>
        </row>
        <row r="33">
          <cell r="F33">
            <v>1316.7823013375851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23.78</v>
          </cell>
        </row>
        <row r="19">
          <cell r="E19">
            <v>15.47</v>
          </cell>
        </row>
      </sheetData>
      <sheetData sheetId="29" refreshError="1"/>
      <sheetData sheetId="30">
        <row r="12">
          <cell r="F12">
            <v>78.943427928190829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Новотроицкое МО</v>
          </cell>
        </row>
        <row r="15">
          <cell r="D15" t="str">
            <v/>
          </cell>
        </row>
        <row r="16">
          <cell r="D16" t="str">
            <v>Код ОКТМО</v>
          </cell>
          <cell r="E16" t="str">
            <v>50621413101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891.90184297896326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2398.1750000000002</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440.1300013963866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82.799850000000006</v>
          </cell>
        </row>
        <row r="27">
          <cell r="F27">
            <v>1467.2629458895778</v>
          </cell>
        </row>
        <row r="28">
          <cell r="F28">
            <v>1126.9300659674177</v>
          </cell>
        </row>
        <row r="29">
          <cell r="F29">
            <v>340.33287992216015</v>
          </cell>
        </row>
        <row r="30">
          <cell r="F30">
            <v>2063.6599042300859</v>
          </cell>
        </row>
        <row r="33">
          <cell r="F33">
            <v>1316.7823013375851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22.71</v>
          </cell>
        </row>
        <row r="19">
          <cell r="E19">
            <v>15.47</v>
          </cell>
        </row>
      </sheetData>
      <sheetData sheetId="29" refreshError="1"/>
      <sheetData sheetId="30">
        <row r="12">
          <cell r="F12">
            <v>78.938195644547037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Новотырышкинское МО</v>
          </cell>
        </row>
        <row r="15">
          <cell r="D15" t="str">
            <v/>
          </cell>
        </row>
        <row r="16">
          <cell r="D16" t="str">
            <v>Код ОКТМО</v>
          </cell>
          <cell r="E16" t="str">
            <v>50621416101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898.06002910660607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2414.7333333333331</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439.94249135902368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73.927139999999994</v>
          </cell>
        </row>
        <row r="27">
          <cell r="F27">
            <v>1467.2629458895778</v>
          </cell>
        </row>
        <row r="28">
          <cell r="F28">
            <v>1126.9300659674177</v>
          </cell>
        </row>
        <row r="29">
          <cell r="F29">
            <v>340.33287992216015</v>
          </cell>
        </row>
        <row r="30">
          <cell r="F30">
            <v>2072.0208167597348</v>
          </cell>
        </row>
        <row r="33">
          <cell r="F33">
            <v>1325.7564400041779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20.18</v>
          </cell>
        </row>
        <row r="19">
          <cell r="E19">
            <v>15.47</v>
          </cell>
        </row>
      </sheetData>
      <sheetData sheetId="29" refreshError="1"/>
      <sheetData sheetId="30">
        <row r="12">
          <cell r="F12">
            <v>79.057609166352634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Пихтовское МО</v>
          </cell>
        </row>
        <row r="15">
          <cell r="D15" t="str">
            <v/>
          </cell>
        </row>
        <row r="16">
          <cell r="D16" t="str">
            <v>Код ОКТМО</v>
          </cell>
          <cell r="E16" t="str">
            <v>50621419101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898.06002910660607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2414.7333333333331</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439.94249135902368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73.927139999999994</v>
          </cell>
        </row>
        <row r="27">
          <cell r="F27">
            <v>1467.2629458895778</v>
          </cell>
        </row>
        <row r="28">
          <cell r="F28">
            <v>1126.9300659674177</v>
          </cell>
        </row>
        <row r="29">
          <cell r="F29">
            <v>340.33287992216015</v>
          </cell>
        </row>
        <row r="30">
          <cell r="F30">
            <v>2072.0208167597348</v>
          </cell>
        </row>
        <row r="33">
          <cell r="F33">
            <v>1325.7564400041779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20.18</v>
          </cell>
        </row>
        <row r="19">
          <cell r="E19">
            <v>15.47</v>
          </cell>
        </row>
      </sheetData>
      <sheetData sheetId="29" refreshError="1"/>
      <sheetData sheetId="30">
        <row r="12">
          <cell r="F12">
            <v>79.057609166352634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Пономаревское МО</v>
          </cell>
        </row>
        <row r="15">
          <cell r="D15" t="str">
            <v/>
          </cell>
        </row>
        <row r="16">
          <cell r="D16" t="str">
            <v>Код ОКТМО</v>
          </cell>
          <cell r="E16" t="str">
            <v>50621422101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898.06002910660607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2414.7333333333331</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439.94249135902368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73.927139999999994</v>
          </cell>
        </row>
        <row r="27">
          <cell r="F27">
            <v>1467.2629458895778</v>
          </cell>
        </row>
        <row r="28">
          <cell r="F28">
            <v>1126.9300659674177</v>
          </cell>
        </row>
        <row r="29">
          <cell r="F29">
            <v>340.33287992216015</v>
          </cell>
        </row>
        <row r="30">
          <cell r="F30">
            <v>2072.0208167597348</v>
          </cell>
        </row>
        <row r="33">
          <cell r="F33">
            <v>1325.7564400041779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20.18</v>
          </cell>
        </row>
        <row r="19">
          <cell r="E19">
            <v>15.47</v>
          </cell>
        </row>
      </sheetData>
      <sheetData sheetId="29" refreshError="1"/>
      <sheetData sheetId="30">
        <row r="12">
          <cell r="F12">
            <v>79.057609166352634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Сидоровское МО</v>
          </cell>
        </row>
        <row r="15">
          <cell r="D15" t="str">
            <v/>
          </cell>
        </row>
        <row r="16">
          <cell r="D16" t="str">
            <v>Код ОКТМО</v>
          </cell>
          <cell r="E16" t="str">
            <v>50621425101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898.06002910660607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2414.7333333333331</v>
          </cell>
        </row>
      </sheetData>
      <sheetData sheetId="9" refreshError="1"/>
      <sheetData sheetId="10" refreshError="1"/>
      <sheetData sheetId="11"/>
      <sheetData sheetId="12" refreshError="1"/>
      <sheetData sheetId="13">
        <row r="12">
          <cell r="F12">
            <v>2109.9946743617465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1570.1802537861311</v>
          </cell>
        </row>
        <row r="27">
          <cell r="F27">
            <v>0.27046175099999997</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504.88326349025533</v>
          </cell>
        </row>
        <row r="14">
          <cell r="F14">
            <v>7018.8643800822501</v>
          </cell>
        </row>
        <row r="15">
          <cell r="F15">
            <v>0.2</v>
          </cell>
        </row>
        <row r="18">
          <cell r="F18">
            <v>15</v>
          </cell>
        </row>
        <row r="19">
          <cell r="F19">
            <v>3487.1555421534131</v>
          </cell>
        </row>
        <row r="20">
          <cell r="F20">
            <v>2.1999999999999999E-2</v>
          </cell>
        </row>
        <row r="21">
          <cell r="F21">
            <v>10</v>
          </cell>
        </row>
        <row r="22">
          <cell r="F22">
            <v>4.7105407613583932</v>
          </cell>
        </row>
        <row r="23">
          <cell r="F23">
            <v>3.0000000000000001E-3</v>
          </cell>
        </row>
        <row r="24">
          <cell r="F24">
            <v>1570.1802537861311</v>
          </cell>
        </row>
      </sheetData>
      <sheetData sheetId="24"/>
      <sheetData sheetId="25">
        <row r="12">
          <cell r="F12">
            <v>440.47549969282983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81.572400000000002</v>
          </cell>
        </row>
        <row r="27">
          <cell r="F27">
            <v>1467.2629458895778</v>
          </cell>
        </row>
        <row r="28">
          <cell r="F28">
            <v>1126.9300659674177</v>
          </cell>
        </row>
        <row r="29">
          <cell r="F29">
            <v>340.33287992216015</v>
          </cell>
        </row>
        <row r="30">
          <cell r="F30">
            <v>2072.5492092413701</v>
          </cell>
        </row>
        <row r="33">
          <cell r="F33">
            <v>1325.7564400041779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22.36</v>
          </cell>
        </row>
        <row r="19">
          <cell r="E19">
            <v>15.47</v>
          </cell>
        </row>
      </sheetData>
      <sheetData sheetId="29" refreshError="1"/>
      <sheetData sheetId="30">
        <row r="12">
          <cell r="F12">
            <v>79.068269333028752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Соколовское МО</v>
          </cell>
        </row>
        <row r="15">
          <cell r="D15" t="str">
            <v/>
          </cell>
        </row>
        <row r="16">
          <cell r="D16" t="str">
            <v>Код ОКТМО</v>
          </cell>
          <cell r="E16" t="str">
            <v>50621431101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1416.7967815079221</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186.92622068882517</v>
          </cell>
        </row>
        <row r="29">
          <cell r="F29">
            <v>0.27046175099999997</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0.121</v>
          </cell>
          <cell r="H11">
            <v>0.02</v>
          </cell>
        </row>
      </sheetData>
      <sheetData sheetId="20">
        <row r="11">
          <cell r="G11" t="str">
            <v>Информация с официального сайта Банка России</v>
          </cell>
        </row>
      </sheetData>
      <sheetData sheetId="21" refreshError="1"/>
      <sheetData sheetId="22">
        <row r="12">
          <cell r="F12">
            <v>338.80382712889616</v>
          </cell>
        </row>
        <row r="14">
          <cell r="F14">
            <v>4859.4801705873924</v>
          </cell>
        </row>
        <row r="15">
          <cell r="F15">
            <v>0.2</v>
          </cell>
        </row>
        <row r="18">
          <cell r="F18">
            <v>15</v>
          </cell>
        </row>
        <row r="19">
          <cell r="F19">
            <v>2435.0508023655884</v>
          </cell>
        </row>
        <row r="20">
          <cell r="F20">
            <v>2.1999999999999999E-2</v>
          </cell>
        </row>
        <row r="21">
          <cell r="F21">
            <v>10</v>
          </cell>
        </row>
        <row r="22">
          <cell r="F22">
            <v>0.56077866206647553</v>
          </cell>
        </row>
        <row r="23">
          <cell r="F23">
            <v>3.0000000000000001E-3</v>
          </cell>
        </row>
        <row r="24">
          <cell r="F24">
            <v>186.92622068882517</v>
          </cell>
        </row>
      </sheetData>
      <sheetData sheetId="23">
        <row r="12">
          <cell r="F12" t="str">
            <v xml:space="preserve">Налоговый кодекс Российской Федерации </v>
          </cell>
        </row>
      </sheetData>
      <sheetData sheetId="24">
        <row r="12">
          <cell r="F12">
            <v>223.15473439468997</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35.314070000000001</v>
          </cell>
        </row>
        <row r="27">
          <cell r="F27">
            <v>1027.9066866081675</v>
          </cell>
        </row>
        <row r="28">
          <cell r="F28">
            <v>789.4828622182547</v>
          </cell>
        </row>
        <row r="29">
          <cell r="F29">
            <v>238.42382438991297</v>
          </cell>
        </row>
        <row r="30">
          <cell r="F30">
            <v>495.76352780154957</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17.829999999999998</v>
          </cell>
        </row>
        <row r="19">
          <cell r="E19">
            <v>11.87</v>
          </cell>
        </row>
      </sheetData>
      <sheetData sheetId="28" refreshError="1"/>
      <sheetData sheetId="29">
        <row r="12">
          <cell r="F12">
            <v>57.830221331212222</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Колывань</v>
          </cell>
        </row>
        <row r="15">
          <cell r="D15" t="str">
            <v/>
          </cell>
        </row>
        <row r="16">
          <cell r="D16" t="str">
            <v>Код ОКТМО</v>
          </cell>
          <cell r="E16" t="str">
            <v>50621151051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sheetData sheetId="10"/>
      <sheetData sheetId="11"/>
      <sheetData sheetId="12"/>
      <sheetData sheetId="13">
        <row r="12">
          <cell r="F12">
            <v>1416.7967815079221</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186.92622068882517</v>
          </cell>
        </row>
        <row r="29">
          <cell r="F29">
            <v>0.27046175099999997</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0.121</v>
          </cell>
          <cell r="H11">
            <v>0.02</v>
          </cell>
        </row>
      </sheetData>
      <sheetData sheetId="20"/>
      <sheetData sheetId="21"/>
      <sheetData sheetId="22">
        <row r="12">
          <cell r="F12">
            <v>338.80382712889616</v>
          </cell>
        </row>
        <row r="14">
          <cell r="F14">
            <v>4859.4801705873924</v>
          </cell>
        </row>
        <row r="15">
          <cell r="F15">
            <v>0.2</v>
          </cell>
        </row>
        <row r="18">
          <cell r="F18">
            <v>15</v>
          </cell>
        </row>
        <row r="19">
          <cell r="F19">
            <v>2435.0508023655884</v>
          </cell>
        </row>
        <row r="20">
          <cell r="F20">
            <v>2.1999999999999999E-2</v>
          </cell>
        </row>
        <row r="21">
          <cell r="F21">
            <v>10</v>
          </cell>
        </row>
        <row r="22">
          <cell r="F22">
            <v>0.56077866206647553</v>
          </cell>
        </row>
        <row r="23">
          <cell r="F23">
            <v>3.0000000000000001E-3</v>
          </cell>
        </row>
        <row r="24">
          <cell r="F24">
            <v>186.92622068882517</v>
          </cell>
        </row>
      </sheetData>
      <sheetData sheetId="23"/>
      <sheetData sheetId="24">
        <row r="12">
          <cell r="F12">
            <v>224.08847767951644</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49.166510000000002</v>
          </cell>
        </row>
        <row r="27">
          <cell r="F27">
            <v>1027.9066866081675</v>
          </cell>
        </row>
        <row r="28">
          <cell r="F28">
            <v>789.4828622182547</v>
          </cell>
        </row>
        <row r="29">
          <cell r="F29">
            <v>238.42382438991297</v>
          </cell>
        </row>
        <row r="30">
          <cell r="F30">
            <v>496.72092168328885</v>
          </cell>
        </row>
      </sheetData>
      <sheetData sheetId="25"/>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25</v>
          </cell>
        </row>
        <row r="19">
          <cell r="E19">
            <v>11.87</v>
          </cell>
        </row>
      </sheetData>
      <sheetData sheetId="28"/>
      <sheetData sheetId="29">
        <row r="12">
          <cell r="F12">
            <v>57.848896196908754</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topLeftCell="A115" workbookViewId="0">
      <selection activeCell="B57" sqref="B57"/>
    </sheetView>
  </sheetViews>
  <sheetFormatPr defaultRowHeight="12.75"/>
  <cols>
    <col min="1" max="1" width="7.28515625" style="2" customWidth="1"/>
    <col min="2" max="2" width="100.7109375" style="2" customWidth="1"/>
    <col min="3" max="3" width="20.85546875" style="112" customWidth="1"/>
    <col min="4" max="153" width="9.140625" style="2"/>
    <col min="154" max="235" width="0" style="2" hidden="1" customWidth="1"/>
    <col min="236" max="244" width="9.140625" style="2"/>
    <col min="245" max="245" width="3.710937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710937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710937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710937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710937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710937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710937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710937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710937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710937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710937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710937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710937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710937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710937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710937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710937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710937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710937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710937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710937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710937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710937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710937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710937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710937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710937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710937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710937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710937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710937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710937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710937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710937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710937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710937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710937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710937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710937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710937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710937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710937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710937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710937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710937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710937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710937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710937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710937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710937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710937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710937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710937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710937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710937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710937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710937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710937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710937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710937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710937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710937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710937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4" t="s">
        <v>0</v>
      </c>
      <c r="C1" s="144"/>
    </row>
    <row r="2" spans="1:3">
      <c r="A2" s="1"/>
      <c r="B2" s="3" t="s">
        <v>1</v>
      </c>
      <c r="C2" s="4">
        <f ca="1">TODAY()</f>
        <v>44944</v>
      </c>
    </row>
    <row r="3" spans="1:3">
      <c r="A3" s="1"/>
      <c r="B3" s="5" t="s">
        <v>2</v>
      </c>
      <c r="C3" s="6"/>
    </row>
    <row r="4" spans="1:3" ht="25.5">
      <c r="A4" s="7"/>
      <c r="B4" s="8" t="str">
        <f>[17]И1!D13</f>
        <v>Субъект Российской Федерации</v>
      </c>
      <c r="C4" s="9" t="str">
        <f>[17]И1!E13</f>
        <v>Новосибирская область</v>
      </c>
    </row>
    <row r="5" spans="1:3" ht="15.95" customHeight="1">
      <c r="A5" s="7"/>
      <c r="B5" s="8" t="str">
        <f>[17]И1!D14</f>
        <v>Тип муниципального образования (выберите из списка)</v>
      </c>
      <c r="C5" s="9" t="str">
        <f>[17]И1!E14</f>
        <v>р.п. Колывань</v>
      </c>
    </row>
    <row r="6" spans="1:3">
      <c r="A6" s="7"/>
      <c r="B6" s="8" t="str">
        <f>IF([17]И1!E15="","",[17]И1!D15)</f>
        <v/>
      </c>
      <c r="C6" s="6" t="str">
        <f>IF([17]И1!E15="","",[17]И1!E15)</f>
        <v/>
      </c>
    </row>
    <row r="7" spans="1:3">
      <c r="A7" s="7"/>
      <c r="B7" s="8" t="str">
        <f>[17]И1!D16</f>
        <v>Код ОКТМО</v>
      </c>
      <c r="C7" s="10" t="str">
        <f>[17]И1!E16</f>
        <v>50621151051</v>
      </c>
    </row>
    <row r="8" spans="1:3">
      <c r="A8" s="7"/>
      <c r="B8" s="11" t="str">
        <f>[17]И1!D17</f>
        <v>Система теплоснабжения</v>
      </c>
      <c r="C8" s="12">
        <f>[17]И1!E17</f>
        <v>0</v>
      </c>
    </row>
    <row r="9" spans="1:3">
      <c r="A9" s="7"/>
      <c r="B9" s="8" t="str">
        <f>[17]И1!D8</f>
        <v>Период регулирования (i)-й</v>
      </c>
      <c r="C9" s="13">
        <f>[17]И1!E8</f>
        <v>2023</v>
      </c>
    </row>
    <row r="10" spans="1:3">
      <c r="A10" s="7"/>
      <c r="B10" s="8" t="str">
        <f>[17]И1!D9</f>
        <v>Период регулирования (i-1)-й</v>
      </c>
      <c r="C10" s="13">
        <f>[17]И1!E9</f>
        <v>2022</v>
      </c>
    </row>
    <row r="11" spans="1:3">
      <c r="A11" s="7"/>
      <c r="B11" s="8" t="str">
        <f>[17]И1!D10</f>
        <v>Период регулирования (i-2)-й</v>
      </c>
      <c r="C11" s="13">
        <f>[17]И1!E10</f>
        <v>2021</v>
      </c>
    </row>
    <row r="12" spans="1:3">
      <c r="A12" s="7"/>
      <c r="B12" s="8" t="str">
        <f>[17]И1!D11</f>
        <v>Базовый год (б)</v>
      </c>
      <c r="C12" s="13">
        <f>[17]И1!E11</f>
        <v>2019</v>
      </c>
    </row>
    <row r="13" spans="1:3">
      <c r="A13" s="7"/>
      <c r="B13" s="8" t="str">
        <f>[17]И1!D18</f>
        <v>Вид топлива, использование которого преобладает в системе теплоснабжения</v>
      </c>
      <c r="C13" s="14" t="str">
        <f>[17]И1!E18</f>
        <v>Газ</v>
      </c>
    </row>
    <row r="14" spans="1:3" ht="26.25" customHeight="1" thickBot="1">
      <c r="A14" s="145" t="s">
        <v>3</v>
      </c>
      <c r="B14" s="145"/>
      <c r="C14" s="145"/>
    </row>
    <row r="15" spans="1:3">
      <c r="A15" s="15" t="s">
        <v>4</v>
      </c>
      <c r="B15" s="16" t="s">
        <v>5</v>
      </c>
      <c r="C15" s="17" t="s">
        <v>6</v>
      </c>
    </row>
    <row r="16" spans="1:3">
      <c r="A16" s="18">
        <v>1</v>
      </c>
      <c r="B16" s="19">
        <v>2</v>
      </c>
      <c r="C16" s="20">
        <v>3</v>
      </c>
    </row>
    <row r="17" spans="1:3">
      <c r="A17" s="21">
        <v>1</v>
      </c>
      <c r="B17" s="22" t="s">
        <v>7</v>
      </c>
      <c r="C17" s="23">
        <f>SUM(C18:C23)</f>
        <v>2950.2937060423465</v>
      </c>
    </row>
    <row r="18" spans="1:3" ht="42.75">
      <c r="A18" s="21" t="s">
        <v>8</v>
      </c>
      <c r="B18" s="24" t="s">
        <v>9</v>
      </c>
      <c r="C18" s="25">
        <f>[17]С1!F12</f>
        <v>912.75572352910331</v>
      </c>
    </row>
    <row r="19" spans="1:3" ht="42.75">
      <c r="A19" s="21" t="s">
        <v>10</v>
      </c>
      <c r="B19" s="24" t="s">
        <v>11</v>
      </c>
      <c r="C19" s="25">
        <f>[17]С2!F12</f>
        <v>1416.7967815079221</v>
      </c>
    </row>
    <row r="20" spans="1:3" ht="30">
      <c r="A20" s="21" t="s">
        <v>12</v>
      </c>
      <c r="B20" s="24" t="s">
        <v>13</v>
      </c>
      <c r="C20" s="25">
        <f>[17]С3!F12</f>
        <v>338.80382712889616</v>
      </c>
    </row>
    <row r="21" spans="1:3" ht="42.75">
      <c r="A21" s="21" t="s">
        <v>14</v>
      </c>
      <c r="B21" s="24" t="s">
        <v>15</v>
      </c>
      <c r="C21" s="25">
        <f>[17]С4!F12</f>
        <v>224.08847767951644</v>
      </c>
    </row>
    <row r="22" spans="1:3" ht="33" customHeight="1">
      <c r="A22" s="21" t="s">
        <v>16</v>
      </c>
      <c r="B22" s="24" t="s">
        <v>17</v>
      </c>
      <c r="C22" s="25">
        <f>[17]С5!F12</f>
        <v>57.848896196908754</v>
      </c>
    </row>
    <row r="23" spans="1:3" ht="45.75" customHeight="1" thickBot="1">
      <c r="A23" s="26" t="s">
        <v>18</v>
      </c>
      <c r="B23" s="98" t="s">
        <v>19</v>
      </c>
      <c r="C23" s="28">
        <f>[17]С6!F12</f>
        <v>0</v>
      </c>
    </row>
    <row r="24" spans="1:3" ht="13.5" thickBot="1">
      <c r="A24" s="1"/>
      <c r="C24" s="6"/>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21</v>
      </c>
      <c r="C28" s="33">
        <f>[17]С1.1!E16</f>
        <v>7900</v>
      </c>
    </row>
    <row r="29" spans="1:3" ht="42.75">
      <c r="A29" s="21" t="s">
        <v>10</v>
      </c>
      <c r="B29" s="32" t="s">
        <v>22</v>
      </c>
      <c r="C29" s="33">
        <f>[17]С1.1!E32</f>
        <v>5591.16</v>
      </c>
    </row>
    <row r="30" spans="1:3" ht="38.25">
      <c r="A30" s="21" t="s">
        <v>23</v>
      </c>
      <c r="B30" s="32" t="s">
        <v>24</v>
      </c>
      <c r="C30" s="34" t="str">
        <f>[17]С1.1!E25</f>
        <v>ООО "Газпром газораспределение Томск"</v>
      </c>
    </row>
    <row r="31" spans="1:3" ht="38.25">
      <c r="A31" s="21" t="s">
        <v>25</v>
      </c>
      <c r="B31" s="32" t="str">
        <f>[17]С1.1!D26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[17]С1.1!E26</f>
        <v>4475.5</v>
      </c>
    </row>
    <row r="32" spans="1:3" ht="25.5">
      <c r="A32" s="21" t="s">
        <v>26</v>
      </c>
      <c r="B32" s="32" t="str">
        <f>[17]С1.1!D27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[17]С1.1!E27</f>
        <v>952.13</v>
      </c>
    </row>
    <row r="33" spans="1:3" ht="25.5">
      <c r="A33" s="21" t="s">
        <v>27</v>
      </c>
      <c r="B33" s="32" t="str">
        <f>[17]С1.1!D28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[17]С1.1!E28</f>
        <v>132.9</v>
      </c>
    </row>
    <row r="34" spans="1:3" ht="38.25">
      <c r="A34" s="21" t="s">
        <v>28</v>
      </c>
      <c r="B34" s="32" t="str">
        <f>[17]С1.1!D29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[17]С1.1!E29</f>
        <v>30.63</v>
      </c>
    </row>
    <row r="35" spans="1:3" ht="17.25">
      <c r="A35" s="21" t="s">
        <v>12</v>
      </c>
      <c r="B35" s="32" t="s">
        <v>29</v>
      </c>
      <c r="C35" s="35">
        <f>[17]С1.1!E20</f>
        <v>0.1392500000000001</v>
      </c>
    </row>
    <row r="36" spans="1:3" ht="17.25">
      <c r="A36" s="21" t="s">
        <v>14</v>
      </c>
      <c r="B36" s="32" t="s">
        <v>30</v>
      </c>
      <c r="C36" s="35">
        <f>[17]С1.1!E21</f>
        <v>0</v>
      </c>
    </row>
    <row r="37" spans="1:3" ht="30">
      <c r="A37" s="21" t="s">
        <v>16</v>
      </c>
      <c r="B37" s="36" t="s">
        <v>31</v>
      </c>
      <c r="C37" s="37">
        <f>[17]С1!F13</f>
        <v>156.1</v>
      </c>
    </row>
    <row r="38" spans="1:3">
      <c r="A38" s="21" t="s">
        <v>18</v>
      </c>
      <c r="B38" s="36" t="s">
        <v>32</v>
      </c>
      <c r="C38" s="38">
        <f>[17]С1!F16</f>
        <v>7000</v>
      </c>
    </row>
    <row r="39" spans="1:3" ht="14.25">
      <c r="A39" s="39" t="s">
        <v>33</v>
      </c>
      <c r="B39" s="40" t="s">
        <v>34</v>
      </c>
      <c r="C39" s="41">
        <f>[17]С1!F17</f>
        <v>1.1285714285714286</v>
      </c>
    </row>
    <row r="40" spans="1:3" ht="15.75">
      <c r="A40" s="42" t="s">
        <v>35</v>
      </c>
      <c r="B40" s="43" t="s">
        <v>36</v>
      </c>
      <c r="C40" s="41">
        <f>[17]С1!F20</f>
        <v>22.307053372799995</v>
      </c>
    </row>
    <row r="41" spans="1:3" ht="15.75">
      <c r="A41" s="42" t="s">
        <v>37</v>
      </c>
      <c r="B41" s="44" t="s">
        <v>38</v>
      </c>
      <c r="C41" s="41">
        <f>[17]С1!F21</f>
        <v>21.531904799999996</v>
      </c>
    </row>
    <row r="42" spans="1:3" ht="14.25">
      <c r="A42" s="42" t="s">
        <v>39</v>
      </c>
      <c r="B42" s="45" t="s">
        <v>40</v>
      </c>
      <c r="C42" s="41">
        <f>[17]С1!F22</f>
        <v>1.036</v>
      </c>
    </row>
    <row r="43" spans="1:3" ht="53.25" thickBot="1">
      <c r="A43" s="26" t="s">
        <v>41</v>
      </c>
      <c r="B43" s="46" t="s">
        <v>42</v>
      </c>
      <c r="C43" s="47" t="str">
        <f>[17]С1!F23</f>
        <v>-</v>
      </c>
    </row>
    <row r="44" spans="1:3" ht="13.5" thickBot="1">
      <c r="A44" s="48"/>
      <c r="B44" s="49"/>
      <c r="C44" s="14"/>
    </row>
    <row r="45" spans="1:3" ht="30" customHeight="1">
      <c r="A45" s="50" t="s">
        <v>43</v>
      </c>
      <c r="B45" s="142" t="s">
        <v>44</v>
      </c>
      <c r="C45" s="142"/>
    </row>
    <row r="46" spans="1:3" ht="25.5">
      <c r="A46" s="21" t="s">
        <v>45</v>
      </c>
      <c r="B46" s="36" t="s">
        <v>46</v>
      </c>
      <c r="C46" s="51" t="str">
        <f>[17]С2.1!E12</f>
        <v>V</v>
      </c>
    </row>
    <row r="47" spans="1:3" ht="25.5">
      <c r="A47" s="21" t="s">
        <v>47</v>
      </c>
      <c r="B47" s="32" t="s">
        <v>48</v>
      </c>
      <c r="C47" s="51" t="str">
        <f>[17]С2.1!E13</f>
        <v>6 и менее баллов</v>
      </c>
    </row>
    <row r="48" spans="1:3" ht="25.5">
      <c r="A48" s="21" t="s">
        <v>49</v>
      </c>
      <c r="B48" s="32" t="s">
        <v>50</v>
      </c>
      <c r="C48" s="51" t="str">
        <f>[17]С2.1!E14</f>
        <v>от 200 до 500</v>
      </c>
    </row>
    <row r="49" spans="1:3" ht="25.5">
      <c r="A49" s="21" t="s">
        <v>51</v>
      </c>
      <c r="B49" s="32" t="s">
        <v>52</v>
      </c>
      <c r="C49" s="52" t="str">
        <f>[17]С2.1!E15</f>
        <v>нет</v>
      </c>
    </row>
    <row r="50" spans="1:3" ht="30">
      <c r="A50" s="21" t="s">
        <v>53</v>
      </c>
      <c r="B50" s="32" t="s">
        <v>54</v>
      </c>
      <c r="C50" s="33">
        <f>[17]С2!F18</f>
        <v>32402.627334033532</v>
      </c>
    </row>
    <row r="51" spans="1:3" ht="30">
      <c r="A51" s="21" t="s">
        <v>55</v>
      </c>
      <c r="B51" s="53" t="s">
        <v>56</v>
      </c>
      <c r="C51" s="33">
        <f>IF([17]С2!F19&gt;0,[17]С2!F19,[17]С2!F20)</f>
        <v>23441.524932855718</v>
      </c>
    </row>
    <row r="52" spans="1:3" ht="25.5">
      <c r="A52" s="21" t="s">
        <v>57</v>
      </c>
      <c r="B52" s="54" t="s">
        <v>58</v>
      </c>
      <c r="C52" s="33">
        <f>[17]С2.1!E20</f>
        <v>-37</v>
      </c>
    </row>
    <row r="53" spans="1:3" ht="25.5">
      <c r="A53" s="21" t="s">
        <v>59</v>
      </c>
      <c r="B53" s="54" t="s">
        <v>60</v>
      </c>
      <c r="C53" s="33" t="str">
        <f>[17]С2.1!E23</f>
        <v>нет</v>
      </c>
    </row>
    <row r="54" spans="1:3" ht="38.25">
      <c r="A54" s="21" t="s">
        <v>61</v>
      </c>
      <c r="B54" s="55" t="s">
        <v>62</v>
      </c>
      <c r="C54" s="33">
        <f>[17]С2.2!E10</f>
        <v>1287</v>
      </c>
    </row>
    <row r="55" spans="1:3" ht="25.5">
      <c r="A55" s="21" t="s">
        <v>63</v>
      </c>
      <c r="B55" s="56" t="s">
        <v>64</v>
      </c>
      <c r="C55" s="33">
        <f>[17]С2.2!E12</f>
        <v>5.97</v>
      </c>
    </row>
    <row r="56" spans="1:3" ht="52.5">
      <c r="A56" s="21" t="s">
        <v>65</v>
      </c>
      <c r="B56" s="57" t="s">
        <v>66</v>
      </c>
      <c r="C56" s="33">
        <f>[17]С2.2!E13</f>
        <v>1</v>
      </c>
    </row>
    <row r="57" spans="1:3" ht="27.75">
      <c r="A57" s="21" t="s">
        <v>67</v>
      </c>
      <c r="B57" s="56" t="s">
        <v>68</v>
      </c>
      <c r="C57" s="33">
        <f>[17]С2.2!E14</f>
        <v>12104</v>
      </c>
    </row>
    <row r="58" spans="1:3" ht="25.5">
      <c r="A58" s="21" t="s">
        <v>69</v>
      </c>
      <c r="B58" s="57" t="s">
        <v>70</v>
      </c>
      <c r="C58" s="35">
        <f>[17]С2.2!E15</f>
        <v>4.8000000000000001E-2</v>
      </c>
    </row>
    <row r="59" spans="1:3">
      <c r="A59" s="21" t="s">
        <v>71</v>
      </c>
      <c r="B59" s="57" t="s">
        <v>72</v>
      </c>
      <c r="C59" s="58">
        <f>[17]С2.2!E16</f>
        <v>1</v>
      </c>
    </row>
    <row r="60" spans="1:3" ht="15.75">
      <c r="A60" s="21" t="s">
        <v>73</v>
      </c>
      <c r="B60" s="59" t="s">
        <v>74</v>
      </c>
      <c r="C60" s="33">
        <f>[17]С2!F21</f>
        <v>1</v>
      </c>
    </row>
    <row r="61" spans="1:3" ht="30">
      <c r="A61" s="60" t="s">
        <v>75</v>
      </c>
      <c r="B61" s="32" t="s">
        <v>76</v>
      </c>
      <c r="C61" s="33">
        <f>[17]С2!F13</f>
        <v>97038.307983185223</v>
      </c>
    </row>
    <row r="62" spans="1:3" ht="30">
      <c r="A62" s="60" t="s">
        <v>77</v>
      </c>
      <c r="B62" s="61" t="s">
        <v>78</v>
      </c>
      <c r="C62" s="33">
        <f>[17]С2!F14</f>
        <v>64899</v>
      </c>
    </row>
    <row r="63" spans="1:3" ht="15.75">
      <c r="A63" s="60" t="s">
        <v>79</v>
      </c>
      <c r="B63" s="61" t="s">
        <v>80</v>
      </c>
      <c r="C63" s="41">
        <f>[17]С2!F15</f>
        <v>1.071</v>
      </c>
    </row>
    <row r="64" spans="1:3" ht="15.75">
      <c r="A64" s="60" t="s">
        <v>81</v>
      </c>
      <c r="B64" s="61" t="s">
        <v>82</v>
      </c>
      <c r="C64" s="62">
        <f>[17]С2!F16</f>
        <v>1</v>
      </c>
    </row>
    <row r="65" spans="1:3" ht="17.25">
      <c r="A65" s="60" t="s">
        <v>83</v>
      </c>
      <c r="B65" s="61" t="s">
        <v>84</v>
      </c>
      <c r="C65" s="63">
        <f>[17]С2!F17</f>
        <v>1.01</v>
      </c>
    </row>
    <row r="66" spans="1:3" s="66" customFormat="1" ht="14.25">
      <c r="A66" s="60" t="s">
        <v>85</v>
      </c>
      <c r="B66" s="64" t="s">
        <v>86</v>
      </c>
      <c r="C66" s="65">
        <f>[17]С2!F35</f>
        <v>10</v>
      </c>
    </row>
    <row r="67" spans="1:3" ht="30">
      <c r="A67" s="60" t="s">
        <v>87</v>
      </c>
      <c r="B67" s="67" t="s">
        <v>88</v>
      </c>
      <c r="C67" s="33">
        <f>[17]С2!F28</f>
        <v>186.92622068882517</v>
      </c>
    </row>
    <row r="68" spans="1:3" ht="17.25">
      <c r="A68" s="60" t="s">
        <v>89</v>
      </c>
      <c r="B68" s="53" t="s">
        <v>90</v>
      </c>
      <c r="C68" s="41">
        <f>[17]С2!F29</f>
        <v>0.27046175099999997</v>
      </c>
    </row>
    <row r="69" spans="1:3" ht="17.25">
      <c r="A69" s="60" t="s">
        <v>91</v>
      </c>
      <c r="B69" s="59" t="s">
        <v>92</v>
      </c>
      <c r="C69" s="65">
        <f>[17]С2!F30</f>
        <v>500</v>
      </c>
    </row>
    <row r="70" spans="1:3" ht="42.75">
      <c r="A70" s="60" t="s">
        <v>93</v>
      </c>
      <c r="B70" s="32" t="s">
        <v>94</v>
      </c>
      <c r="C70" s="33">
        <f>[17]С2!F22</f>
        <v>36585.255753162281</v>
      </c>
    </row>
    <row r="71" spans="1:3" ht="30">
      <c r="A71" s="60" t="s">
        <v>95</v>
      </c>
      <c r="B71" s="61" t="s">
        <v>96</v>
      </c>
      <c r="C71" s="33">
        <f>[17]С2!F23</f>
        <v>21</v>
      </c>
    </row>
    <row r="72" spans="1:3" ht="30">
      <c r="A72" s="60" t="s">
        <v>97</v>
      </c>
      <c r="B72" s="53" t="s">
        <v>98</v>
      </c>
      <c r="C72" s="33">
        <f>[17]С2.1!E28</f>
        <v>14036.09995</v>
      </c>
    </row>
    <row r="73" spans="1:3" ht="38.25">
      <c r="A73" s="60" t="s">
        <v>99</v>
      </c>
      <c r="B73" s="68" t="s">
        <v>100</v>
      </c>
      <c r="C73" s="52">
        <f>[17]С2.3!E21</f>
        <v>0</v>
      </c>
    </row>
    <row r="74" spans="1:3" ht="25.5">
      <c r="A74" s="60" t="s">
        <v>101</v>
      </c>
      <c r="B74" s="69" t="s">
        <v>102</v>
      </c>
      <c r="C74" s="70">
        <f>[17]С2.3!E11</f>
        <v>5.45</v>
      </c>
    </row>
    <row r="75" spans="1:3" ht="25.5">
      <c r="A75" s="60" t="s">
        <v>103</v>
      </c>
      <c r="B75" s="69" t="s">
        <v>104</v>
      </c>
      <c r="C75" s="65">
        <f>[17]С2.3!E13</f>
        <v>300</v>
      </c>
    </row>
    <row r="76" spans="1:3" ht="25.5">
      <c r="A76" s="60" t="s">
        <v>105</v>
      </c>
      <c r="B76" s="68" t="s">
        <v>106</v>
      </c>
      <c r="C76" s="71">
        <f>IF([17]С2.3!E22&gt;0,[17]С2.3!E22,[17]С2.3!E14)</f>
        <v>61211</v>
      </c>
    </row>
    <row r="77" spans="1:3" ht="38.25">
      <c r="A77" s="60" t="s">
        <v>107</v>
      </c>
      <c r="B77" s="68" t="s">
        <v>108</v>
      </c>
      <c r="C77" s="71">
        <f>IF([17]С2.3!E23&gt;0,[17]С2.3!E23,[17]С2.3!E15)</f>
        <v>45675</v>
      </c>
    </row>
    <row r="78" spans="1:3" ht="30">
      <c r="A78" s="60" t="s">
        <v>109</v>
      </c>
      <c r="B78" s="53" t="s">
        <v>110</v>
      </c>
      <c r="C78" s="33">
        <f>[17]С2.1!E29</f>
        <v>9518.3274000000001</v>
      </c>
    </row>
    <row r="79" spans="1:3" ht="38.25">
      <c r="A79" s="60" t="s">
        <v>111</v>
      </c>
      <c r="B79" s="68" t="s">
        <v>112</v>
      </c>
      <c r="C79" s="52">
        <f>[17]С2.3!E25</f>
        <v>0</v>
      </c>
    </row>
    <row r="80" spans="1:3" ht="25.5">
      <c r="A80" s="60" t="s">
        <v>113</v>
      </c>
      <c r="B80" s="69" t="s">
        <v>114</v>
      </c>
      <c r="C80" s="70">
        <f>[17]С2.3!E12</f>
        <v>0.2</v>
      </c>
    </row>
    <row r="81" spans="1:3" ht="25.5">
      <c r="A81" s="60" t="s">
        <v>115</v>
      </c>
      <c r="B81" s="69" t="s">
        <v>104</v>
      </c>
      <c r="C81" s="65">
        <f>[17]С2.3!E13</f>
        <v>300</v>
      </c>
    </row>
    <row r="82" spans="1:3" ht="25.5">
      <c r="A82" s="60" t="s">
        <v>116</v>
      </c>
      <c r="B82" s="72" t="s">
        <v>117</v>
      </c>
      <c r="C82" s="71">
        <f>IF([17]С2.3!E26&gt;0,[17]С2.3!E26,[17]С2.3!E16)</f>
        <v>65637</v>
      </c>
    </row>
    <row r="83" spans="1:3" ht="38.25">
      <c r="A83" s="60" t="s">
        <v>118</v>
      </c>
      <c r="B83" s="72" t="s">
        <v>119</v>
      </c>
      <c r="C83" s="71">
        <f>IF([17]С2.3!E27&gt;0,[17]С2.3!E27,[17]С2.3!E17)</f>
        <v>31684</v>
      </c>
    </row>
    <row r="84" spans="1:3" ht="30">
      <c r="A84" s="60" t="s">
        <v>120</v>
      </c>
      <c r="B84" s="61" t="s">
        <v>121</v>
      </c>
      <c r="C84" s="71">
        <f>IF([17]С2.1!E19&gt;0,[17]С2.1!E19,[17]С2!F26)</f>
        <v>2892</v>
      </c>
    </row>
    <row r="85" spans="1:3" ht="17.25">
      <c r="A85" s="60" t="s">
        <v>122</v>
      </c>
      <c r="B85" s="32" t="s">
        <v>123</v>
      </c>
      <c r="C85" s="35">
        <f>[17]С2!F31</f>
        <v>0.128978033685065</v>
      </c>
    </row>
    <row r="86" spans="1:3" ht="30">
      <c r="A86" s="60" t="s">
        <v>124</v>
      </c>
      <c r="B86" s="53" t="s">
        <v>125</v>
      </c>
      <c r="C86" s="73">
        <f>[17]С2!F32</f>
        <v>0.11668498168498169</v>
      </c>
    </row>
    <row r="87" spans="1:3" ht="17.25">
      <c r="A87" s="60" t="s">
        <v>126</v>
      </c>
      <c r="B87" s="74" t="s">
        <v>127</v>
      </c>
      <c r="C87" s="35">
        <f>[17]С2!F33</f>
        <v>0.13880000000000001</v>
      </c>
    </row>
    <row r="88" spans="1:3" s="66" customFormat="1" ht="18" thickBot="1">
      <c r="A88" s="75" t="s">
        <v>128</v>
      </c>
      <c r="B88" s="76" t="s">
        <v>129</v>
      </c>
      <c r="C88" s="77">
        <f>[17]С2!F34</f>
        <v>0.12640000000000001</v>
      </c>
    </row>
    <row r="89" spans="1:3" ht="13.5" thickBot="1">
      <c r="A89" s="48"/>
      <c r="B89" s="49"/>
      <c r="C89" s="14"/>
    </row>
    <row r="90" spans="1:3" s="66" customFormat="1" ht="30" customHeight="1">
      <c r="A90" s="78" t="s">
        <v>130</v>
      </c>
      <c r="B90" s="142" t="s">
        <v>131</v>
      </c>
      <c r="C90" s="142"/>
    </row>
    <row r="91" spans="1:3" s="66" customFormat="1" ht="30">
      <c r="A91" s="79" t="s">
        <v>132</v>
      </c>
      <c r="B91" s="32" t="s">
        <v>133</v>
      </c>
      <c r="C91" s="33">
        <f>[17]С3!F14</f>
        <v>4859.4801705873924</v>
      </c>
    </row>
    <row r="92" spans="1:3" s="66" customFormat="1" ht="42.75">
      <c r="A92" s="79" t="s">
        <v>134</v>
      </c>
      <c r="B92" s="53" t="s">
        <v>135</v>
      </c>
      <c r="C92" s="80">
        <f>[17]С3!F15</f>
        <v>0.2</v>
      </c>
    </row>
    <row r="93" spans="1:3" s="66" customFormat="1" ht="14.25">
      <c r="A93" s="79" t="s">
        <v>136</v>
      </c>
      <c r="B93" s="81" t="s">
        <v>137</v>
      </c>
      <c r="C93" s="65">
        <f>[17]С3!F18</f>
        <v>15</v>
      </c>
    </row>
    <row r="94" spans="1:3" s="66" customFormat="1" ht="17.25">
      <c r="A94" s="79" t="s">
        <v>138</v>
      </c>
      <c r="B94" s="32" t="s">
        <v>139</v>
      </c>
      <c r="C94" s="33">
        <f>[17]С3!F19</f>
        <v>2435.0508023655884</v>
      </c>
    </row>
    <row r="95" spans="1:3" s="66" customFormat="1" ht="55.5">
      <c r="A95" s="79" t="s">
        <v>140</v>
      </c>
      <c r="B95" s="53" t="s">
        <v>141</v>
      </c>
      <c r="C95" s="82">
        <f>[17]С3!F20</f>
        <v>2.1999999999999999E-2</v>
      </c>
    </row>
    <row r="96" spans="1:3" s="66" customFormat="1" ht="14.25">
      <c r="A96" s="79" t="s">
        <v>142</v>
      </c>
      <c r="B96" s="59" t="s">
        <v>86</v>
      </c>
      <c r="C96" s="65">
        <f>[17]С3!F21</f>
        <v>10</v>
      </c>
    </row>
    <row r="97" spans="1:3" s="66" customFormat="1" ht="17.25">
      <c r="A97" s="79" t="s">
        <v>143</v>
      </c>
      <c r="B97" s="32" t="s">
        <v>144</v>
      </c>
      <c r="C97" s="33">
        <f>[17]С3!F22</f>
        <v>0.56077866206647553</v>
      </c>
    </row>
    <row r="98" spans="1:3" s="66" customFormat="1" ht="55.5">
      <c r="A98" s="79" t="s">
        <v>145</v>
      </c>
      <c r="B98" s="53" t="s">
        <v>146</v>
      </c>
      <c r="C98" s="82">
        <f>[17]С3!F23</f>
        <v>3.0000000000000001E-3</v>
      </c>
    </row>
    <row r="99" spans="1:3" s="66" customFormat="1" ht="30.75" thickBot="1">
      <c r="A99" s="83" t="s">
        <v>147</v>
      </c>
      <c r="B99" s="84" t="s">
        <v>88</v>
      </c>
      <c r="C99" s="85">
        <f>[17]С3!F24</f>
        <v>186.92622068882517</v>
      </c>
    </row>
    <row r="100" spans="1:3" ht="13.5" thickBot="1">
      <c r="A100" s="48"/>
      <c r="B100" s="49"/>
      <c r="C100" s="14"/>
    </row>
    <row r="101" spans="1:3" ht="30" customHeight="1">
      <c r="A101" s="86" t="s">
        <v>148</v>
      </c>
      <c r="B101" s="142" t="s">
        <v>149</v>
      </c>
      <c r="C101" s="142"/>
    </row>
    <row r="102" spans="1:3" ht="30">
      <c r="A102" s="60" t="s">
        <v>150</v>
      </c>
      <c r="B102" s="32" t="s">
        <v>151</v>
      </c>
      <c r="C102" s="33">
        <f>[17]С4!F16</f>
        <v>832.33500000000004</v>
      </c>
    </row>
    <row r="103" spans="1:3" ht="30">
      <c r="A103" s="60" t="s">
        <v>152</v>
      </c>
      <c r="B103" s="59" t="s">
        <v>153</v>
      </c>
      <c r="C103" s="33">
        <f>[17]С4!F17</f>
        <v>43385</v>
      </c>
    </row>
    <row r="104" spans="1:3" ht="17.25">
      <c r="A104" s="60" t="s">
        <v>154</v>
      </c>
      <c r="B104" s="59" t="s">
        <v>155</v>
      </c>
      <c r="C104" s="41">
        <f>[17]С4!F18</f>
        <v>1.4999999999999999E-2</v>
      </c>
    </row>
    <row r="105" spans="1:3" ht="30">
      <c r="A105" s="60" t="s">
        <v>156</v>
      </c>
      <c r="B105" s="59" t="s">
        <v>157</v>
      </c>
      <c r="C105" s="33">
        <f>[17]С4!F19</f>
        <v>12104</v>
      </c>
    </row>
    <row r="106" spans="1:3" ht="31.5">
      <c r="A106" s="60" t="s">
        <v>158</v>
      </c>
      <c r="B106" s="59" t="s">
        <v>159</v>
      </c>
      <c r="C106" s="41">
        <f>[17]С4!F20</f>
        <v>1.4999999999999999E-2</v>
      </c>
    </row>
    <row r="107" spans="1:3" ht="30">
      <c r="A107" s="60" t="s">
        <v>160</v>
      </c>
      <c r="B107" s="32" t="s">
        <v>161</v>
      </c>
      <c r="C107" s="33">
        <f>[17]С4!F21</f>
        <v>1221.9019409821399</v>
      </c>
    </row>
    <row r="108" spans="1:3" ht="45.6" customHeight="1">
      <c r="A108" s="60" t="s">
        <v>162</v>
      </c>
      <c r="B108" s="53" t="s">
        <v>163</v>
      </c>
      <c r="C108" s="34" t="str">
        <f>IF([17]С4.2!F8="да",[17]С4.2!D21,[17]С4.2!D15)</f>
        <v>АО "Новосибирскэнергосбыт"</v>
      </c>
    </row>
    <row r="109" spans="1:3" ht="68.25" customHeight="1">
      <c r="A109" s="60" t="s">
        <v>164</v>
      </c>
      <c r="B109" s="53" t="s">
        <v>165</v>
      </c>
      <c r="C109" s="33">
        <f>[17]С4!F22</f>
        <v>3.6112641666666665</v>
      </c>
    </row>
    <row r="110" spans="1:3" ht="30">
      <c r="A110" s="60" t="s">
        <v>166</v>
      </c>
      <c r="B110" s="59" t="s">
        <v>167</v>
      </c>
      <c r="C110" s="65">
        <f>[17]С4!F23</f>
        <v>110</v>
      </c>
    </row>
    <row r="111" spans="1:3" ht="14.25">
      <c r="A111" s="60" t="s">
        <v>168</v>
      </c>
      <c r="B111" s="53" t="s">
        <v>169</v>
      </c>
      <c r="C111" s="33">
        <f>[17]С4!F24</f>
        <v>8497.1999999999989</v>
      </c>
    </row>
    <row r="112" spans="1:3" ht="14.25">
      <c r="A112" s="60" t="s">
        <v>170</v>
      </c>
      <c r="B112" s="59" t="s">
        <v>171</v>
      </c>
      <c r="C112" s="41">
        <f>[17]С4!F25</f>
        <v>0.36199999999999999</v>
      </c>
    </row>
    <row r="113" spans="1:3" ht="17.25">
      <c r="A113" s="60" t="s">
        <v>172</v>
      </c>
      <c r="B113" s="32" t="s">
        <v>173</v>
      </c>
      <c r="C113" s="33">
        <f>[17]С4!F26</f>
        <v>49.166510000000002</v>
      </c>
    </row>
    <row r="114" spans="1:3" ht="25.5">
      <c r="A114" s="60" t="s">
        <v>174</v>
      </c>
      <c r="B114" s="53" t="s">
        <v>100</v>
      </c>
      <c r="C114" s="34">
        <f>[17]С4.3!E16</f>
        <v>0</v>
      </c>
    </row>
    <row r="115" spans="1:3" ht="25.5">
      <c r="A115" s="60" t="s">
        <v>175</v>
      </c>
      <c r="B115" s="53" t="s">
        <v>176</v>
      </c>
      <c r="C115" s="33">
        <f>[17]С4.3!E17</f>
        <v>25</v>
      </c>
    </row>
    <row r="116" spans="1:3" ht="38.25">
      <c r="A116" s="60" t="s">
        <v>177</v>
      </c>
      <c r="B116" s="53" t="s">
        <v>112</v>
      </c>
      <c r="C116" s="34">
        <f>[17]С4.3!E18</f>
        <v>0</v>
      </c>
    </row>
    <row r="117" spans="1:3">
      <c r="A117" s="60" t="s">
        <v>178</v>
      </c>
      <c r="B117" s="53" t="s">
        <v>179</v>
      </c>
      <c r="C117" s="33">
        <f>[17]С4.3!E19</f>
        <v>11.87</v>
      </c>
    </row>
    <row r="118" spans="1:3">
      <c r="A118" s="60" t="s">
        <v>180</v>
      </c>
      <c r="B118" s="59" t="s">
        <v>181</v>
      </c>
      <c r="C118" s="65">
        <f>[17]С4.3!E11</f>
        <v>1871</v>
      </c>
    </row>
    <row r="119" spans="1:3">
      <c r="A119" s="60" t="s">
        <v>182</v>
      </c>
      <c r="B119" s="59" t="s">
        <v>183</v>
      </c>
      <c r="C119" s="52">
        <f>[17]С4.3!E12</f>
        <v>61</v>
      </c>
    </row>
    <row r="120" spans="1:3">
      <c r="A120" s="60" t="s">
        <v>184</v>
      </c>
      <c r="B120" s="59" t="s">
        <v>185</v>
      </c>
      <c r="C120" s="52">
        <f>[17]С4.3!E13</f>
        <v>73</v>
      </c>
    </row>
    <row r="121" spans="1:3" ht="30">
      <c r="A121" s="60" t="s">
        <v>186</v>
      </c>
      <c r="B121" s="32" t="s">
        <v>187</v>
      </c>
      <c r="C121" s="33">
        <f>[17]С4!F27</f>
        <v>1027.9066866081675</v>
      </c>
    </row>
    <row r="122" spans="1:3" ht="25.5">
      <c r="A122" s="60" t="s">
        <v>188</v>
      </c>
      <c r="B122" s="53" t="s">
        <v>189</v>
      </c>
      <c r="C122" s="33">
        <f>[17]С4!F28</f>
        <v>789.4828622182547</v>
      </c>
    </row>
    <row r="123" spans="1:3" ht="42.75">
      <c r="A123" s="60" t="s">
        <v>190</v>
      </c>
      <c r="B123" s="53" t="s">
        <v>191</v>
      </c>
      <c r="C123" s="33">
        <f>[17]С4!F29</f>
        <v>238.42382438991297</v>
      </c>
    </row>
    <row r="124" spans="1:3" ht="30.75" thickBot="1">
      <c r="A124" s="75" t="s">
        <v>192</v>
      </c>
      <c r="B124" s="87" t="s">
        <v>193</v>
      </c>
      <c r="C124" s="85">
        <f>[17]С4!F30</f>
        <v>496.72092168328885</v>
      </c>
    </row>
    <row r="125" spans="1:3" s="88" customFormat="1" ht="13.5" thickBot="1">
      <c r="A125" s="48"/>
      <c r="B125" s="49"/>
      <c r="C125" s="14"/>
    </row>
    <row r="126" spans="1:3" s="66" customFormat="1" ht="30" customHeight="1">
      <c r="A126" s="78" t="s">
        <v>194</v>
      </c>
      <c r="B126" s="142" t="s">
        <v>195</v>
      </c>
      <c r="C126" s="142"/>
    </row>
    <row r="127" spans="1:3" ht="30.6" customHeight="1" thickBot="1">
      <c r="A127" s="26" t="s">
        <v>196</v>
      </c>
      <c r="B127" s="87" t="s">
        <v>197</v>
      </c>
      <c r="C127" s="85">
        <f>[17]С5!F17</f>
        <v>0.02</v>
      </c>
    </row>
    <row r="128" spans="1:3" s="88" customFormat="1" ht="13.5" thickBot="1">
      <c r="A128" s="48"/>
      <c r="B128" s="49"/>
      <c r="C128" s="14"/>
    </row>
    <row r="129" spans="1:3" ht="42.75" customHeight="1">
      <c r="A129" s="86" t="s">
        <v>198</v>
      </c>
      <c r="B129" s="142" t="s">
        <v>199</v>
      </c>
      <c r="C129" s="142"/>
    </row>
    <row r="130" spans="1:3" ht="68.25">
      <c r="A130" s="60" t="s">
        <v>200</v>
      </c>
      <c r="B130" s="89" t="s">
        <v>201</v>
      </c>
      <c r="C130" s="33" t="str">
        <f>IF([17]С6.1!E11="нет",[17]С6!F13,"")</f>
        <v/>
      </c>
    </row>
    <row r="131" spans="1:3" ht="42.75">
      <c r="A131" s="60" t="s">
        <v>202</v>
      </c>
      <c r="B131" s="90" t="s">
        <v>203</v>
      </c>
      <c r="C131" s="91" t="str">
        <f>IF([17]С6.1!E12="нет",[17]С6.1!E17,"")</f>
        <v/>
      </c>
    </row>
    <row r="132" spans="1:3" ht="68.25">
      <c r="A132" s="60" t="s">
        <v>204</v>
      </c>
      <c r="B132" s="89" t="s">
        <v>205</v>
      </c>
      <c r="C132" s="92" t="str">
        <f>IF([17]С6.1!E18="нет",[17]С6!F19,"")</f>
        <v/>
      </c>
    </row>
    <row r="133" spans="1:3" ht="55.5">
      <c r="A133" s="60" t="s">
        <v>206</v>
      </c>
      <c r="B133" s="90" t="s">
        <v>207</v>
      </c>
      <c r="C133" s="35" t="str">
        <f>IF([17]С6.1!E18="нет",[17]С6.1!E19,"")</f>
        <v/>
      </c>
    </row>
    <row r="134" spans="1:3" ht="61.5" customHeight="1">
      <c r="A134" s="60" t="s">
        <v>208</v>
      </c>
      <c r="B134" s="90" t="s">
        <v>209</v>
      </c>
      <c r="C134" s="35" t="str">
        <f>IF([17]С6.1!E18="нет",[17]С6.1!E22,"")</f>
        <v/>
      </c>
    </row>
    <row r="135" spans="1:3" ht="69" thickBot="1">
      <c r="A135" s="75" t="s">
        <v>210</v>
      </c>
      <c r="B135" s="93" t="s">
        <v>211</v>
      </c>
      <c r="C135" s="77" t="str">
        <f>IF([17]С6.1!E18="нет",[17]С6.1!E23,"")</f>
        <v/>
      </c>
    </row>
    <row r="136" spans="1:3" s="88" customFormat="1" ht="13.5" thickBot="1">
      <c r="A136" s="48"/>
      <c r="B136" s="49"/>
      <c r="C136" s="14"/>
    </row>
    <row r="137" spans="1:3" ht="15.75">
      <c r="A137" s="86" t="s">
        <v>212</v>
      </c>
      <c r="B137" s="94" t="s">
        <v>213</v>
      </c>
      <c r="C137" s="95">
        <f>[17]С2!F39</f>
        <v>21.531904799999996</v>
      </c>
    </row>
    <row r="138" spans="1:3" ht="14.25">
      <c r="A138" s="60" t="s">
        <v>214</v>
      </c>
      <c r="B138" s="59" t="s">
        <v>215</v>
      </c>
      <c r="C138" s="33">
        <f>[17]С2!F40</f>
        <v>7</v>
      </c>
    </row>
    <row r="139" spans="1:3" ht="17.25">
      <c r="A139" s="60" t="s">
        <v>216</v>
      </c>
      <c r="B139" s="59" t="s">
        <v>217</v>
      </c>
      <c r="C139" s="33">
        <f>[17]С2!F42</f>
        <v>0.97</v>
      </c>
    </row>
    <row r="140" spans="1:3" ht="15" thickBot="1">
      <c r="A140" s="75" t="s">
        <v>218</v>
      </c>
      <c r="B140" s="76" t="s">
        <v>219</v>
      </c>
      <c r="C140" s="47">
        <f>[17]С2!F44</f>
        <v>0.36199999999999999</v>
      </c>
    </row>
    <row r="141" spans="1:3" s="88" customFormat="1" ht="13.5" thickBot="1">
      <c r="A141" s="48"/>
      <c r="B141" s="49"/>
      <c r="C141" s="14"/>
    </row>
    <row r="142" spans="1:3" ht="17.25">
      <c r="A142" s="86" t="s">
        <v>220</v>
      </c>
      <c r="B142" s="96" t="s">
        <v>221</v>
      </c>
      <c r="C142" s="97">
        <f>[17]С2!F37</f>
        <v>1.3822747209000001</v>
      </c>
    </row>
    <row r="143" spans="1:3" ht="17.25" customHeight="1" thickBot="1">
      <c r="A143" s="75" t="s">
        <v>222</v>
      </c>
      <c r="B143" s="143" t="s">
        <v>223</v>
      </c>
      <c r="C143" s="143"/>
    </row>
    <row r="144" spans="1:3">
      <c r="A144" s="99"/>
      <c r="B144" s="100" t="s">
        <v>224</v>
      </c>
      <c r="C144" s="101"/>
    </row>
    <row r="145" spans="1:3">
      <c r="A145" s="99"/>
      <c r="B145" s="102">
        <v>2020</v>
      </c>
      <c r="C145" s="103">
        <f>[17]С2.5!$E$11</f>
        <v>-2.9000000000000026E-2</v>
      </c>
    </row>
    <row r="146" spans="1:3">
      <c r="B146" s="102">
        <f>B145+1</f>
        <v>2021</v>
      </c>
      <c r="C146" s="104">
        <f>[17]С2.5!$F$11</f>
        <v>0.245</v>
      </c>
    </row>
    <row r="147" spans="1:3">
      <c r="B147" s="102">
        <f t="shared" ref="B147:B210" si="0">B146+1</f>
        <v>2022</v>
      </c>
      <c r="C147" s="105">
        <f>[17]С2.5!$G$11</f>
        <v>0.121</v>
      </c>
    </row>
    <row r="148" spans="1:3" ht="13.5" thickBot="1">
      <c r="B148" s="106">
        <f t="shared" si="0"/>
        <v>2023</v>
      </c>
      <c r="C148" s="107">
        <f>[17]С2.5!$H$11</f>
        <v>0.02</v>
      </c>
    </row>
    <row r="149" spans="1:3" ht="13.5" hidden="1" thickBot="1">
      <c r="B149" s="106">
        <f t="shared" si="0"/>
        <v>2024</v>
      </c>
      <c r="C149" s="107">
        <f>[17]С2.5!$I$11</f>
        <v>0</v>
      </c>
    </row>
    <row r="150" spans="1:3" ht="13.5" hidden="1" thickBot="1">
      <c r="B150" s="106">
        <f t="shared" si="0"/>
        <v>2025</v>
      </c>
      <c r="C150" s="107">
        <f>[17]С2.5!$J$11</f>
        <v>0</v>
      </c>
    </row>
    <row r="151" spans="1:3" ht="13.5" hidden="1" thickBot="1">
      <c r="B151" s="106">
        <f t="shared" si="0"/>
        <v>2026</v>
      </c>
      <c r="C151" s="107">
        <f>[17]С2.5!$K$11</f>
        <v>0</v>
      </c>
    </row>
    <row r="152" spans="1:3" ht="13.5" hidden="1" thickBot="1">
      <c r="B152" s="106">
        <f t="shared" si="0"/>
        <v>2027</v>
      </c>
      <c r="C152" s="107">
        <f>[17]С2.5!$L$11</f>
        <v>0</v>
      </c>
    </row>
    <row r="153" spans="1:3" ht="13.5" hidden="1" thickBot="1">
      <c r="B153" s="106">
        <f t="shared" si="0"/>
        <v>2028</v>
      </c>
      <c r="C153" s="107">
        <f>[17]С2.5!$M$11</f>
        <v>0</v>
      </c>
    </row>
    <row r="154" spans="1:3" ht="13.5" hidden="1" thickBot="1">
      <c r="B154" s="106">
        <f t="shared" si="0"/>
        <v>2029</v>
      </c>
      <c r="C154" s="107">
        <f>[17]С2.5!$N$11</f>
        <v>0</v>
      </c>
    </row>
    <row r="155" spans="1:3" ht="13.5" hidden="1" thickBot="1">
      <c r="B155" s="106">
        <f t="shared" si="0"/>
        <v>2030</v>
      </c>
      <c r="C155" s="107">
        <f>[17]С2.5!$O$11</f>
        <v>0</v>
      </c>
    </row>
    <row r="156" spans="1:3" ht="13.5" hidden="1" thickBot="1">
      <c r="B156" s="106">
        <f t="shared" si="0"/>
        <v>2031</v>
      </c>
      <c r="C156" s="107">
        <f>[17]С2.5!$P$11</f>
        <v>0</v>
      </c>
    </row>
    <row r="157" spans="1:3" ht="13.5" hidden="1" thickBot="1">
      <c r="B157" s="106">
        <f t="shared" si="0"/>
        <v>2032</v>
      </c>
      <c r="C157" s="107">
        <f>[17]С2.5!$Q$11</f>
        <v>0</v>
      </c>
    </row>
    <row r="158" spans="1:3" ht="13.5" hidden="1" thickBot="1">
      <c r="B158" s="106">
        <f t="shared" si="0"/>
        <v>2033</v>
      </c>
      <c r="C158" s="107">
        <f>[17]С2.5!$R$11</f>
        <v>0</v>
      </c>
    </row>
    <row r="159" spans="1:3" ht="13.5" hidden="1" thickBot="1">
      <c r="B159" s="106">
        <f t="shared" si="0"/>
        <v>2034</v>
      </c>
      <c r="C159" s="107">
        <f>[17]С2.5!$S$11</f>
        <v>0</v>
      </c>
    </row>
    <row r="160" spans="1:3" ht="13.5" hidden="1" thickBot="1">
      <c r="B160" s="106">
        <f t="shared" si="0"/>
        <v>2035</v>
      </c>
      <c r="C160" s="107">
        <f>[17]С2.5!$T$11</f>
        <v>0</v>
      </c>
    </row>
    <row r="161" spans="2:3" ht="13.5" hidden="1" thickBot="1">
      <c r="B161" s="106">
        <f t="shared" si="0"/>
        <v>2036</v>
      </c>
      <c r="C161" s="107">
        <f>[17]С2.5!$U$11</f>
        <v>0</v>
      </c>
    </row>
    <row r="162" spans="2:3" ht="13.5" hidden="1" thickBot="1">
      <c r="B162" s="106">
        <f t="shared" si="0"/>
        <v>2037</v>
      </c>
      <c r="C162" s="107">
        <f>[17]С2.5!$V$11</f>
        <v>0</v>
      </c>
    </row>
    <row r="163" spans="2:3" ht="13.5" hidden="1" thickBot="1">
      <c r="B163" s="106">
        <f t="shared" si="0"/>
        <v>2038</v>
      </c>
      <c r="C163" s="107">
        <f>[17]С2.5!$W$11</f>
        <v>0</v>
      </c>
    </row>
    <row r="164" spans="2:3" ht="13.5" hidden="1" thickBot="1">
      <c r="B164" s="106">
        <f t="shared" si="0"/>
        <v>2039</v>
      </c>
      <c r="C164" s="107">
        <f>[17]С2.5!$X$11</f>
        <v>0</v>
      </c>
    </row>
    <row r="165" spans="2:3" ht="13.5" hidden="1" thickBot="1">
      <c r="B165" s="106">
        <f t="shared" si="0"/>
        <v>2040</v>
      </c>
      <c r="C165" s="107">
        <f>[17]С2.5!$Y$11</f>
        <v>0</v>
      </c>
    </row>
    <row r="166" spans="2:3" ht="13.5" hidden="1" thickBot="1">
      <c r="B166" s="106">
        <f t="shared" si="0"/>
        <v>2041</v>
      </c>
      <c r="C166" s="107">
        <f>[17]С2.5!$Z$11</f>
        <v>0</v>
      </c>
    </row>
    <row r="167" spans="2:3" ht="13.5" hidden="1" thickBot="1">
      <c r="B167" s="106">
        <f t="shared" si="0"/>
        <v>2042</v>
      </c>
      <c r="C167" s="107">
        <f>[17]С2.5!$AA$11</f>
        <v>0</v>
      </c>
    </row>
    <row r="168" spans="2:3" ht="13.5" hidden="1" thickBot="1">
      <c r="B168" s="106">
        <f t="shared" si="0"/>
        <v>2043</v>
      </c>
      <c r="C168" s="107">
        <f>[17]С2.5!$AB$11</f>
        <v>0</v>
      </c>
    </row>
    <row r="169" spans="2:3" ht="13.5" hidden="1" thickBot="1">
      <c r="B169" s="106">
        <f t="shared" si="0"/>
        <v>2044</v>
      </c>
      <c r="C169" s="107">
        <f>[17]С2.5!$AC$11</f>
        <v>0</v>
      </c>
    </row>
    <row r="170" spans="2:3" ht="13.5" hidden="1" thickBot="1">
      <c r="B170" s="106">
        <f t="shared" si="0"/>
        <v>2045</v>
      </c>
      <c r="C170" s="107">
        <f>[17]С2.5!$AD$11</f>
        <v>0</v>
      </c>
    </row>
    <row r="171" spans="2:3" ht="13.5" hidden="1" thickBot="1">
      <c r="B171" s="106">
        <f t="shared" si="0"/>
        <v>2046</v>
      </c>
      <c r="C171" s="107">
        <f>[17]С2.5!$AE$11</f>
        <v>0</v>
      </c>
    </row>
    <row r="172" spans="2:3" ht="13.5" hidden="1" thickBot="1">
      <c r="B172" s="106">
        <f t="shared" si="0"/>
        <v>2047</v>
      </c>
      <c r="C172" s="107">
        <f>[17]С2.5!$AF$11</f>
        <v>0</v>
      </c>
    </row>
    <row r="173" spans="2:3" ht="13.5" hidden="1" thickBot="1">
      <c r="B173" s="106">
        <f t="shared" si="0"/>
        <v>2048</v>
      </c>
      <c r="C173" s="107">
        <f>[17]С2.5!$AG$11</f>
        <v>0</v>
      </c>
    </row>
    <row r="174" spans="2:3" ht="13.5" hidden="1" thickBot="1">
      <c r="B174" s="106">
        <f t="shared" si="0"/>
        <v>2049</v>
      </c>
      <c r="C174" s="107">
        <f>[17]С2.5!$AH$11</f>
        <v>0</v>
      </c>
    </row>
    <row r="175" spans="2:3" ht="13.5" hidden="1" thickBot="1">
      <c r="B175" s="106">
        <f t="shared" si="0"/>
        <v>2050</v>
      </c>
      <c r="C175" s="107">
        <f>[17]С2.5!$AI$11</f>
        <v>0</v>
      </c>
    </row>
    <row r="176" spans="2:3" ht="13.5" hidden="1" thickBot="1">
      <c r="B176" s="106">
        <f t="shared" si="0"/>
        <v>2051</v>
      </c>
      <c r="C176" s="107">
        <f>[17]С2.5!$AJ$11</f>
        <v>0</v>
      </c>
    </row>
    <row r="177" spans="2:3" ht="13.5" hidden="1" thickBot="1">
      <c r="B177" s="106">
        <f t="shared" si="0"/>
        <v>2052</v>
      </c>
      <c r="C177" s="107">
        <f>[17]С2.5!$AK$11</f>
        <v>0</v>
      </c>
    </row>
    <row r="178" spans="2:3" ht="13.5" hidden="1" thickBot="1">
      <c r="B178" s="106">
        <f t="shared" si="0"/>
        <v>2053</v>
      </c>
      <c r="C178" s="107">
        <f>[17]С2.5!$AL$11</f>
        <v>0</v>
      </c>
    </row>
    <row r="179" spans="2:3" ht="13.5" hidden="1" thickBot="1">
      <c r="B179" s="106">
        <f t="shared" si="0"/>
        <v>2054</v>
      </c>
      <c r="C179" s="107">
        <f>[17]С2.5!$AM$11</f>
        <v>0</v>
      </c>
    </row>
    <row r="180" spans="2:3" ht="13.5" hidden="1" thickBot="1">
      <c r="B180" s="106">
        <f t="shared" si="0"/>
        <v>2055</v>
      </c>
      <c r="C180" s="107">
        <f>[17]С2.5!$AN$11</f>
        <v>0</v>
      </c>
    </row>
    <row r="181" spans="2:3" ht="13.5" hidden="1" thickBot="1">
      <c r="B181" s="106">
        <f t="shared" si="0"/>
        <v>2056</v>
      </c>
      <c r="C181" s="107">
        <f>[17]С2.5!$AO$11</f>
        <v>0</v>
      </c>
    </row>
    <row r="182" spans="2:3" ht="13.5" hidden="1" thickBot="1">
      <c r="B182" s="106">
        <f t="shared" si="0"/>
        <v>2057</v>
      </c>
      <c r="C182" s="107">
        <f>[17]С2.5!$AP$11</f>
        <v>0</v>
      </c>
    </row>
    <row r="183" spans="2:3" ht="13.5" hidden="1" thickBot="1">
      <c r="B183" s="106">
        <f t="shared" si="0"/>
        <v>2058</v>
      </c>
      <c r="C183" s="107">
        <f>[17]С2.5!$AQ$11</f>
        <v>0</v>
      </c>
    </row>
    <row r="184" spans="2:3" ht="13.5" hidden="1" thickBot="1">
      <c r="B184" s="106">
        <f t="shared" si="0"/>
        <v>2059</v>
      </c>
      <c r="C184" s="107">
        <f>[17]С2.5!$AR$11</f>
        <v>0</v>
      </c>
    </row>
    <row r="185" spans="2:3" ht="13.5" hidden="1" thickBot="1">
      <c r="B185" s="106">
        <f t="shared" si="0"/>
        <v>2060</v>
      </c>
      <c r="C185" s="107">
        <f>[17]С2.5!$AS$11</f>
        <v>0</v>
      </c>
    </row>
    <row r="186" spans="2:3" ht="13.5" hidden="1" thickBot="1">
      <c r="B186" s="106">
        <f t="shared" si="0"/>
        <v>2061</v>
      </c>
      <c r="C186" s="107">
        <f>[17]С2.5!$AT$11</f>
        <v>0</v>
      </c>
    </row>
    <row r="187" spans="2:3" ht="13.5" hidden="1" thickBot="1">
      <c r="B187" s="106">
        <f t="shared" si="0"/>
        <v>2062</v>
      </c>
      <c r="C187" s="107">
        <f>[17]С2.5!$AU$11</f>
        <v>0</v>
      </c>
    </row>
    <row r="188" spans="2:3" ht="13.5" hidden="1" thickBot="1">
      <c r="B188" s="106">
        <f t="shared" si="0"/>
        <v>2063</v>
      </c>
      <c r="C188" s="107">
        <f>[17]С2.5!$AV$11</f>
        <v>0</v>
      </c>
    </row>
    <row r="189" spans="2:3" ht="13.5" hidden="1" thickBot="1">
      <c r="B189" s="106">
        <f t="shared" si="0"/>
        <v>2064</v>
      </c>
      <c r="C189" s="107">
        <f>[17]С2.5!$AW$11</f>
        <v>0</v>
      </c>
    </row>
    <row r="190" spans="2:3" ht="13.5" hidden="1" thickBot="1">
      <c r="B190" s="106">
        <f t="shared" si="0"/>
        <v>2065</v>
      </c>
      <c r="C190" s="107">
        <f>[17]С2.5!$AX$11</f>
        <v>0</v>
      </c>
    </row>
    <row r="191" spans="2:3" ht="13.5" hidden="1" thickBot="1">
      <c r="B191" s="106">
        <f t="shared" si="0"/>
        <v>2066</v>
      </c>
      <c r="C191" s="107">
        <f>[17]С2.5!$AY$11</f>
        <v>0</v>
      </c>
    </row>
    <row r="192" spans="2:3" ht="13.5" hidden="1" thickBot="1">
      <c r="B192" s="106">
        <f t="shared" si="0"/>
        <v>2067</v>
      </c>
      <c r="C192" s="107">
        <f>[17]С2.5!$AZ$11</f>
        <v>0</v>
      </c>
    </row>
    <row r="193" spans="2:3" ht="13.5" hidden="1" thickBot="1">
      <c r="B193" s="106">
        <f t="shared" si="0"/>
        <v>2068</v>
      </c>
      <c r="C193" s="107">
        <f>[17]С2.5!$BA$11</f>
        <v>0</v>
      </c>
    </row>
    <row r="194" spans="2:3" ht="13.5" hidden="1" thickBot="1">
      <c r="B194" s="106">
        <f t="shared" si="0"/>
        <v>2069</v>
      </c>
      <c r="C194" s="107">
        <f>[17]С2.5!$BB$11</f>
        <v>0</v>
      </c>
    </row>
    <row r="195" spans="2:3" ht="13.5" hidden="1" thickBot="1">
      <c r="B195" s="106">
        <f t="shared" si="0"/>
        <v>2070</v>
      </c>
      <c r="C195" s="107">
        <f>[17]С2.5!$BC$11</f>
        <v>0</v>
      </c>
    </row>
    <row r="196" spans="2:3" ht="13.5" hidden="1" thickBot="1">
      <c r="B196" s="106">
        <f t="shared" si="0"/>
        <v>2071</v>
      </c>
      <c r="C196" s="107">
        <f>[17]С2.5!$BD$11</f>
        <v>0</v>
      </c>
    </row>
    <row r="197" spans="2:3" ht="13.5" hidden="1" thickBot="1">
      <c r="B197" s="106">
        <f t="shared" si="0"/>
        <v>2072</v>
      </c>
      <c r="C197" s="107">
        <f>[17]С2.5!$BE$11</f>
        <v>0</v>
      </c>
    </row>
    <row r="198" spans="2:3" ht="13.5" hidden="1" thickBot="1">
      <c r="B198" s="106">
        <f t="shared" si="0"/>
        <v>2073</v>
      </c>
      <c r="C198" s="107">
        <f>[17]С2.5!$BF$11</f>
        <v>0</v>
      </c>
    </row>
    <row r="199" spans="2:3" ht="13.5" hidden="1" thickBot="1">
      <c r="B199" s="106">
        <f t="shared" si="0"/>
        <v>2074</v>
      </c>
      <c r="C199" s="107">
        <f>[17]С2.5!$BG$11</f>
        <v>0</v>
      </c>
    </row>
    <row r="200" spans="2:3" ht="13.5" hidden="1" thickBot="1">
      <c r="B200" s="106">
        <f t="shared" si="0"/>
        <v>2075</v>
      </c>
      <c r="C200" s="107">
        <f>[17]С2.5!$BH$11</f>
        <v>0</v>
      </c>
    </row>
    <row r="201" spans="2:3" ht="13.5" hidden="1" thickBot="1">
      <c r="B201" s="106">
        <f t="shared" si="0"/>
        <v>2076</v>
      </c>
      <c r="C201" s="107">
        <f>[17]С2.5!$BI$11</f>
        <v>0</v>
      </c>
    </row>
    <row r="202" spans="2:3" ht="13.5" hidden="1" thickBot="1">
      <c r="B202" s="106">
        <f t="shared" si="0"/>
        <v>2077</v>
      </c>
      <c r="C202" s="107">
        <f>[17]С2.5!$BJ$11</f>
        <v>0</v>
      </c>
    </row>
    <row r="203" spans="2:3" ht="13.5" hidden="1" thickBot="1">
      <c r="B203" s="106">
        <f t="shared" si="0"/>
        <v>2078</v>
      </c>
      <c r="C203" s="107">
        <f>[17]С2.5!$BK$11</f>
        <v>0</v>
      </c>
    </row>
    <row r="204" spans="2:3" ht="13.5" hidden="1" thickBot="1">
      <c r="B204" s="106">
        <f t="shared" si="0"/>
        <v>2079</v>
      </c>
      <c r="C204" s="107">
        <f>[17]С2.5!$BL$11</f>
        <v>0</v>
      </c>
    </row>
    <row r="205" spans="2:3" ht="13.5" hidden="1" thickBot="1">
      <c r="B205" s="106">
        <f t="shared" si="0"/>
        <v>2080</v>
      </c>
      <c r="C205" s="107">
        <f>[17]С2.5!$BM$11</f>
        <v>0</v>
      </c>
    </row>
    <row r="206" spans="2:3" ht="13.5" hidden="1" thickBot="1">
      <c r="B206" s="106">
        <f t="shared" si="0"/>
        <v>2081</v>
      </c>
      <c r="C206" s="107">
        <f>[17]С2.5!$BN$11</f>
        <v>0</v>
      </c>
    </row>
    <row r="207" spans="2:3" ht="13.5" hidden="1" thickBot="1">
      <c r="B207" s="106">
        <f t="shared" si="0"/>
        <v>2082</v>
      </c>
      <c r="C207" s="107">
        <f>[17]С2.5!$BO$11</f>
        <v>0</v>
      </c>
    </row>
    <row r="208" spans="2:3" ht="13.5" hidden="1" thickBot="1">
      <c r="B208" s="106">
        <f t="shared" si="0"/>
        <v>2083</v>
      </c>
      <c r="C208" s="107">
        <f>[17]С2.5!$BP$11</f>
        <v>0</v>
      </c>
    </row>
    <row r="209" spans="2:3" ht="13.5" hidden="1" thickBot="1">
      <c r="B209" s="106">
        <f t="shared" si="0"/>
        <v>2084</v>
      </c>
      <c r="C209" s="107">
        <f>[17]С2.5!$BQ$11</f>
        <v>0</v>
      </c>
    </row>
    <row r="210" spans="2:3" ht="13.5" hidden="1" thickBot="1">
      <c r="B210" s="106">
        <f t="shared" si="0"/>
        <v>2085</v>
      </c>
      <c r="C210" s="107">
        <f>[17]С2.5!$BR$11</f>
        <v>0</v>
      </c>
    </row>
    <row r="211" spans="2:3" ht="13.5" hidden="1" thickBot="1">
      <c r="B211" s="106">
        <f t="shared" ref="B211:B224" si="1">B210+1</f>
        <v>2086</v>
      </c>
      <c r="C211" s="107">
        <f>[17]С2.5!$BS$11</f>
        <v>0</v>
      </c>
    </row>
    <row r="212" spans="2:3" ht="13.5" hidden="1" thickBot="1">
      <c r="B212" s="106">
        <f t="shared" si="1"/>
        <v>2087</v>
      </c>
      <c r="C212" s="107">
        <f>[17]С2.5!$BT$11</f>
        <v>0</v>
      </c>
    </row>
    <row r="213" spans="2:3" ht="13.5" hidden="1" thickBot="1">
      <c r="B213" s="106">
        <f t="shared" si="1"/>
        <v>2088</v>
      </c>
      <c r="C213" s="107">
        <f>[17]С2.5!$BU$11</f>
        <v>0</v>
      </c>
    </row>
    <row r="214" spans="2:3" ht="13.5" hidden="1" thickBot="1">
      <c r="B214" s="106">
        <f t="shared" si="1"/>
        <v>2089</v>
      </c>
      <c r="C214" s="107">
        <f>[17]С2.5!$BV$11</f>
        <v>0</v>
      </c>
    </row>
    <row r="215" spans="2:3" ht="13.5" hidden="1" thickBot="1">
      <c r="B215" s="106">
        <f t="shared" si="1"/>
        <v>2090</v>
      </c>
      <c r="C215" s="107">
        <f>[17]С2.5!$BW$11</f>
        <v>0</v>
      </c>
    </row>
    <row r="216" spans="2:3" ht="13.5" hidden="1" thickBot="1">
      <c r="B216" s="106">
        <f t="shared" si="1"/>
        <v>2091</v>
      </c>
      <c r="C216" s="107">
        <f>[17]С2.5!$BX$11</f>
        <v>0</v>
      </c>
    </row>
    <row r="217" spans="2:3" ht="13.5" hidden="1" thickBot="1">
      <c r="B217" s="106">
        <f t="shared" si="1"/>
        <v>2092</v>
      </c>
      <c r="C217" s="107">
        <f>[17]С2.5!$BY$11</f>
        <v>0</v>
      </c>
    </row>
    <row r="218" spans="2:3" ht="13.5" hidden="1" thickBot="1">
      <c r="B218" s="106">
        <f t="shared" si="1"/>
        <v>2093</v>
      </c>
      <c r="C218" s="107">
        <f>[17]С2.5!$BZ$11</f>
        <v>0</v>
      </c>
    </row>
    <row r="219" spans="2:3" ht="13.5" hidden="1" thickBot="1">
      <c r="B219" s="106">
        <f t="shared" si="1"/>
        <v>2094</v>
      </c>
      <c r="C219" s="107">
        <f>[17]С2.5!$CA$11</f>
        <v>0</v>
      </c>
    </row>
    <row r="220" spans="2:3" ht="13.5" hidden="1" thickBot="1">
      <c r="B220" s="106">
        <f t="shared" si="1"/>
        <v>2095</v>
      </c>
      <c r="C220" s="107">
        <f>[17]С2.5!$CB$11</f>
        <v>0</v>
      </c>
    </row>
    <row r="221" spans="2:3" ht="13.5" hidden="1" thickBot="1">
      <c r="B221" s="106">
        <f t="shared" si="1"/>
        <v>2096</v>
      </c>
      <c r="C221" s="107">
        <f>[17]С2.5!$CC$11</f>
        <v>0</v>
      </c>
    </row>
    <row r="222" spans="2:3" ht="13.5" hidden="1" thickBot="1">
      <c r="B222" s="106">
        <f t="shared" si="1"/>
        <v>2097</v>
      </c>
      <c r="C222" s="107">
        <f>[17]С2.5!$CD$11</f>
        <v>0</v>
      </c>
    </row>
    <row r="223" spans="2:3" ht="13.5" hidden="1" thickBot="1">
      <c r="B223" s="106">
        <f t="shared" si="1"/>
        <v>2098</v>
      </c>
      <c r="C223" s="107">
        <f>[17]С2.5!$CE$11</f>
        <v>0</v>
      </c>
    </row>
    <row r="224" spans="2:3" ht="13.5" hidden="1" thickBot="1">
      <c r="B224" s="106">
        <f t="shared" si="1"/>
        <v>2099</v>
      </c>
      <c r="C224" s="107">
        <f>[17]С2.5!$CF$11</f>
        <v>0</v>
      </c>
    </row>
    <row r="225" spans="2:3" ht="13.5" hidden="1" thickBot="1">
      <c r="B225" s="108">
        <f>B162+1</f>
        <v>2038</v>
      </c>
      <c r="C225" s="109" t="e">
        <f>[17]С2.5!#REF!</f>
        <v>#REF!</v>
      </c>
    </row>
    <row r="226" spans="2:3">
      <c r="B226" s="110"/>
      <c r="C226" s="111"/>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opLeftCell="A55" workbookViewId="0">
      <selection activeCell="E13" sqref="E13"/>
    </sheetView>
  </sheetViews>
  <sheetFormatPr defaultRowHeight="12.75"/>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[6]И1!D13</f>
        <v>Субъект Российской Федерации</v>
      </c>
      <c r="C4" s="9" t="str">
        <f>[6]И1!E13</f>
        <v>Новосибирская область</v>
      </c>
    </row>
    <row r="5" spans="1:3">
      <c r="A5" s="7"/>
      <c r="B5" s="8" t="str">
        <f>[6]И1!D14</f>
        <v>Тип муниципального образования (выберите из списка)</v>
      </c>
      <c r="C5" s="9" t="str">
        <f>[6]И1!E14</f>
        <v>р.п. Колывань</v>
      </c>
    </row>
    <row r="6" spans="1:3">
      <c r="A6" s="7"/>
      <c r="B6" s="8" t="str">
        <f>IF([6]И1!E15="","",[6]И1!D15)</f>
        <v/>
      </c>
      <c r="C6" s="9" t="str">
        <f>IF([6]И1!E15="","",[6]И1!E15)</f>
        <v/>
      </c>
    </row>
    <row r="7" spans="1:3">
      <c r="A7" s="7"/>
      <c r="B7" s="8" t="str">
        <f>[6]И1!D16</f>
        <v>Код ОКТМО</v>
      </c>
      <c r="C7" s="10" t="str">
        <f>[6]И1!E16</f>
        <v>50621151051</v>
      </c>
    </row>
    <row r="8" spans="1:3">
      <c r="A8" s="7"/>
      <c r="B8" s="11" t="str">
        <f>[6]И1!D17</f>
        <v>Система теплоснабжения</v>
      </c>
      <c r="C8" s="12">
        <f>[6]И1!E17</f>
        <v>0</v>
      </c>
    </row>
    <row r="9" spans="1:3">
      <c r="A9" s="7"/>
      <c r="B9" s="8" t="str">
        <f>[6]И1!D8</f>
        <v>Период регулирования (i)-й</v>
      </c>
      <c r="C9" s="13">
        <f>[6]И1!E8</f>
        <v>2023</v>
      </c>
    </row>
    <row r="10" spans="1:3">
      <c r="A10" s="7"/>
      <c r="B10" s="8" t="str">
        <f>[6]И1!D9</f>
        <v>Период регулирования (i-1)-й</v>
      </c>
      <c r="C10" s="13">
        <f>[6]И1!E9</f>
        <v>2022</v>
      </c>
    </row>
    <row r="11" spans="1:3">
      <c r="A11" s="7"/>
      <c r="B11" s="8" t="str">
        <f>[6]И1!D10</f>
        <v>Период регулирования (i-2)-й</v>
      </c>
      <c r="C11" s="13">
        <f>[6]И1!E10</f>
        <v>2021</v>
      </c>
    </row>
    <row r="12" spans="1:3">
      <c r="A12" s="7"/>
      <c r="B12" s="8" t="str">
        <f>[6]И1!D11</f>
        <v>Базовый год (б)</v>
      </c>
      <c r="C12" s="13">
        <f>[6]И1!E11</f>
        <v>2019</v>
      </c>
    </row>
    <row r="13" spans="1:3" ht="38.25">
      <c r="A13" s="7"/>
      <c r="B13" s="8" t="str">
        <f>[6]И1!D18</f>
        <v>Вид топлива, использование которого преобладает в системе теплоснабжения</v>
      </c>
      <c r="C13" s="14" t="str">
        <f>[6]С1.1!E13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4175.208185480672</v>
      </c>
    </row>
    <row r="18" spans="1:3" ht="42.75">
      <c r="A18" s="21" t="s">
        <v>8</v>
      </c>
      <c r="B18" s="24" t="s">
        <v>9</v>
      </c>
      <c r="C18" s="25">
        <f>[6]С1!F12</f>
        <v>1028.2305091820481</v>
      </c>
    </row>
    <row r="19" spans="1:3" ht="42.75">
      <c r="A19" s="21" t="s">
        <v>10</v>
      </c>
      <c r="B19" s="24" t="s">
        <v>11</v>
      </c>
      <c r="C19" s="25">
        <f>[6]С2!F12</f>
        <v>2109.9946743617465</v>
      </c>
    </row>
    <row r="20" spans="1:3" ht="30">
      <c r="A20" s="21" t="s">
        <v>12</v>
      </c>
      <c r="B20" s="24" t="s">
        <v>13</v>
      </c>
      <c r="C20" s="25">
        <f>[6]С3!F12</f>
        <v>504.88326349025533</v>
      </c>
    </row>
    <row r="21" spans="1:3" ht="42.75">
      <c r="A21" s="21" t="s">
        <v>14</v>
      </c>
      <c r="B21" s="24" t="s">
        <v>226</v>
      </c>
      <c r="C21" s="25">
        <f>[6]С4!F12</f>
        <v>450.23291128033469</v>
      </c>
    </row>
    <row r="22" spans="1:3" ht="30">
      <c r="A22" s="21" t="s">
        <v>16</v>
      </c>
      <c r="B22" s="24" t="s">
        <v>227</v>
      </c>
      <c r="C22" s="25">
        <f>[6]С5!F12</f>
        <v>81.866827166287692</v>
      </c>
    </row>
    <row r="23" spans="1:3" ht="43.5" thickBot="1">
      <c r="A23" s="26" t="s">
        <v>18</v>
      </c>
      <c r="B23" s="27" t="s">
        <v>228</v>
      </c>
      <c r="C23" s="28" t="str">
        <f>[6]С6!F12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[6]С1.1!E16</f>
        <v>5100</v>
      </c>
    </row>
    <row r="29" spans="1:3" ht="42.75">
      <c r="A29" s="21" t="s">
        <v>10</v>
      </c>
      <c r="B29" s="32" t="s">
        <v>230</v>
      </c>
      <c r="C29" s="33">
        <f>[6]С1.1!E27</f>
        <v>2764.74</v>
      </c>
    </row>
    <row r="30" spans="1:3" ht="17.25">
      <c r="A30" s="21" t="s">
        <v>12</v>
      </c>
      <c r="B30" s="32" t="s">
        <v>29</v>
      </c>
      <c r="C30" s="35">
        <f>[6]С1.1!E19</f>
        <v>0.59499999999999997</v>
      </c>
    </row>
    <row r="31" spans="1:3" ht="17.25">
      <c r="A31" s="21" t="s">
        <v>14</v>
      </c>
      <c r="B31" s="32" t="s">
        <v>30</v>
      </c>
      <c r="C31" s="35">
        <f>[6]С1.1!E20</f>
        <v>-0.113</v>
      </c>
    </row>
    <row r="32" spans="1:3" ht="30">
      <c r="A32" s="21" t="s">
        <v>16</v>
      </c>
      <c r="B32" s="36" t="s">
        <v>231</v>
      </c>
      <c r="C32" s="119">
        <f>[6]С1!F13</f>
        <v>176.4</v>
      </c>
    </row>
    <row r="33" spans="1:3">
      <c r="A33" s="21" t="s">
        <v>18</v>
      </c>
      <c r="B33" s="36" t="s">
        <v>32</v>
      </c>
      <c r="C33" s="38">
        <f>[6]С1!F16</f>
        <v>7000</v>
      </c>
    </row>
    <row r="34" spans="1:3" ht="14.25">
      <c r="A34" s="21" t="s">
        <v>33</v>
      </c>
      <c r="B34" s="40" t="s">
        <v>232</v>
      </c>
      <c r="C34" s="41">
        <f>[6]С1!F17</f>
        <v>0.72857142857142854</v>
      </c>
    </row>
    <row r="35" spans="1:3" ht="15.75">
      <c r="A35" s="120" t="s">
        <v>35</v>
      </c>
      <c r="B35" s="43" t="s">
        <v>36</v>
      </c>
      <c r="C35" s="41">
        <f>[6]С1!F20</f>
        <v>21.588411179999994</v>
      </c>
    </row>
    <row r="36" spans="1:3" ht="15.75">
      <c r="A36" s="120" t="s">
        <v>37</v>
      </c>
      <c r="B36" s="44" t="s">
        <v>38</v>
      </c>
      <c r="C36" s="41">
        <f>[6]С1!F21</f>
        <v>20.818139999999996</v>
      </c>
    </row>
    <row r="37" spans="1:3" ht="14.25">
      <c r="A37" s="120" t="s">
        <v>39</v>
      </c>
      <c r="B37" s="45" t="s">
        <v>40</v>
      </c>
      <c r="C37" s="41">
        <f>[6]С1!F22</f>
        <v>1.0369999999999999</v>
      </c>
    </row>
    <row r="38" spans="1:3" ht="53.25" thickBot="1">
      <c r="A38" s="26" t="s">
        <v>41</v>
      </c>
      <c r="B38" s="46" t="s">
        <v>42</v>
      </c>
      <c r="C38" s="47">
        <f>[6]С1!F23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[6]С2.1!E12</f>
        <v>V</v>
      </c>
    </row>
    <row r="42" spans="1:3" ht="25.5">
      <c r="A42" s="21" t="s">
        <v>47</v>
      </c>
      <c r="B42" s="32" t="s">
        <v>48</v>
      </c>
      <c r="C42" s="51" t="str">
        <f>[6]С2.1!E13</f>
        <v>6 и менее баллов</v>
      </c>
    </row>
    <row r="43" spans="1:3" ht="25.5">
      <c r="A43" s="21" t="s">
        <v>49</v>
      </c>
      <c r="B43" s="32" t="s">
        <v>233</v>
      </c>
      <c r="C43" s="51" t="str">
        <f>[6]С2.1!E14</f>
        <v>от 200 до 500</v>
      </c>
    </row>
    <row r="44" spans="1:3" ht="25.5">
      <c r="A44" s="21" t="s">
        <v>51</v>
      </c>
      <c r="B44" s="32" t="s">
        <v>234</v>
      </c>
      <c r="C44" s="52" t="str">
        <f>[6]С2.1!E15</f>
        <v>нет</v>
      </c>
    </row>
    <row r="45" spans="1:3" ht="30">
      <c r="A45" s="21" t="s">
        <v>53</v>
      </c>
      <c r="B45" s="32" t="s">
        <v>54</v>
      </c>
      <c r="C45" s="33">
        <f>[6]С2!F18</f>
        <v>32402.627334033532</v>
      </c>
    </row>
    <row r="46" spans="1:3" ht="30">
      <c r="A46" s="21" t="s">
        <v>55</v>
      </c>
      <c r="B46" s="53" t="s">
        <v>56</v>
      </c>
      <c r="C46" s="33">
        <f>IF([6]С2!F19&gt;0,[6]С2!F19,[6]С2!F20)</f>
        <v>23441.524932855718</v>
      </c>
    </row>
    <row r="47" spans="1:3" ht="25.5">
      <c r="A47" s="21" t="s">
        <v>57</v>
      </c>
      <c r="B47" s="54" t="s">
        <v>58</v>
      </c>
      <c r="C47" s="33">
        <f>[6]С2.1!E19</f>
        <v>-37</v>
      </c>
    </row>
    <row r="48" spans="1:3" ht="25.5">
      <c r="A48" s="21" t="s">
        <v>59</v>
      </c>
      <c r="B48" s="54" t="s">
        <v>60</v>
      </c>
      <c r="C48" s="33" t="str">
        <f>[6]С2.1!E22</f>
        <v>нет</v>
      </c>
    </row>
    <row r="49" spans="1:3" ht="38.25">
      <c r="A49" s="21" t="s">
        <v>61</v>
      </c>
      <c r="B49" s="55" t="s">
        <v>62</v>
      </c>
      <c r="C49" s="33">
        <f>[6]С2.2!E10</f>
        <v>1287</v>
      </c>
    </row>
    <row r="50" spans="1:3" ht="25.5">
      <c r="A50" s="21" t="s">
        <v>63</v>
      </c>
      <c r="B50" s="56" t="s">
        <v>64</v>
      </c>
      <c r="C50" s="33">
        <f>[6]С2.2!E12</f>
        <v>5.97</v>
      </c>
    </row>
    <row r="51" spans="1:3" ht="52.5">
      <c r="A51" s="21" t="s">
        <v>65</v>
      </c>
      <c r="B51" s="57" t="s">
        <v>66</v>
      </c>
      <c r="C51" s="33">
        <f>[6]С2.2!E13</f>
        <v>1</v>
      </c>
    </row>
    <row r="52" spans="1:3" ht="27.75">
      <c r="A52" s="21" t="s">
        <v>67</v>
      </c>
      <c r="B52" s="56" t="s">
        <v>68</v>
      </c>
      <c r="C52" s="33">
        <f>[6]С2.2!E14</f>
        <v>12104</v>
      </c>
    </row>
    <row r="53" spans="1:3" ht="25.5">
      <c r="A53" s="21" t="s">
        <v>69</v>
      </c>
      <c r="B53" s="57" t="s">
        <v>70</v>
      </c>
      <c r="C53" s="35">
        <f>[6]С2.2!E15</f>
        <v>4.8000000000000001E-2</v>
      </c>
    </row>
    <row r="54" spans="1:3">
      <c r="A54" s="21" t="s">
        <v>71</v>
      </c>
      <c r="B54" s="57" t="s">
        <v>72</v>
      </c>
      <c r="C54" s="33">
        <f>[6]С2.2!E16</f>
        <v>1</v>
      </c>
    </row>
    <row r="55" spans="1:3" ht="15.75">
      <c r="A55" s="21" t="s">
        <v>73</v>
      </c>
      <c r="B55" s="59" t="s">
        <v>74</v>
      </c>
      <c r="C55" s="33">
        <f>[6]С2!F21</f>
        <v>1</v>
      </c>
    </row>
    <row r="56" spans="1:3" ht="30">
      <c r="A56" s="60" t="s">
        <v>75</v>
      </c>
      <c r="B56" s="32" t="s">
        <v>235</v>
      </c>
      <c r="C56" s="33">
        <f>[6]С2!F13</f>
        <v>169640.22915965237</v>
      </c>
    </row>
    <row r="57" spans="1:3" ht="30">
      <c r="A57" s="60" t="s">
        <v>77</v>
      </c>
      <c r="B57" s="59" t="s">
        <v>236</v>
      </c>
      <c r="C57" s="33">
        <f>[6]С2!F14</f>
        <v>113455</v>
      </c>
    </row>
    <row r="58" spans="1:3" ht="15.75">
      <c r="A58" s="60" t="s">
        <v>79</v>
      </c>
      <c r="B58" s="61" t="s">
        <v>80</v>
      </c>
      <c r="C58" s="41">
        <f>[6]С2!F15</f>
        <v>1.071</v>
      </c>
    </row>
    <row r="59" spans="1:3" ht="15.75">
      <c r="A59" s="60" t="s">
        <v>81</v>
      </c>
      <c r="B59" s="61" t="s">
        <v>82</v>
      </c>
      <c r="C59" s="41">
        <f>[6]С2!F16</f>
        <v>1</v>
      </c>
    </row>
    <row r="60" spans="1:3" ht="17.25">
      <c r="A60" s="60" t="s">
        <v>83</v>
      </c>
      <c r="B60" s="59" t="s">
        <v>84</v>
      </c>
      <c r="C60" s="33">
        <f>[6]С2!F17</f>
        <v>1.01</v>
      </c>
    </row>
    <row r="61" spans="1:3" s="66" customFormat="1" ht="14.25">
      <c r="A61" s="60" t="s">
        <v>85</v>
      </c>
      <c r="B61" s="64" t="s">
        <v>86</v>
      </c>
      <c r="C61" s="65">
        <f>[6]С2!F33</f>
        <v>10</v>
      </c>
    </row>
    <row r="62" spans="1:3" ht="30">
      <c r="A62" s="60" t="s">
        <v>87</v>
      </c>
      <c r="B62" s="67" t="s">
        <v>88</v>
      </c>
      <c r="C62" s="33">
        <f>[6]С2!F26</f>
        <v>1570.1802537861311</v>
      </c>
    </row>
    <row r="63" spans="1:3" ht="17.25">
      <c r="A63" s="60" t="s">
        <v>89</v>
      </c>
      <c r="B63" s="53" t="s">
        <v>237</v>
      </c>
      <c r="C63" s="33">
        <f>[6]С2!F27</f>
        <v>0.27046175099999997</v>
      </c>
    </row>
    <row r="64" spans="1:3" ht="17.25">
      <c r="A64" s="60" t="s">
        <v>91</v>
      </c>
      <c r="B64" s="59" t="s">
        <v>238</v>
      </c>
      <c r="C64" s="65">
        <f>[6]С2!F28</f>
        <v>4200</v>
      </c>
    </row>
    <row r="65" spans="1:3" ht="42.75">
      <c r="A65" s="60" t="s">
        <v>93</v>
      </c>
      <c r="B65" s="32" t="s">
        <v>239</v>
      </c>
      <c r="C65" s="33">
        <f>[6]С2!F22</f>
        <v>35717.748653137714</v>
      </c>
    </row>
    <row r="66" spans="1:3" ht="30">
      <c r="A66" s="60" t="s">
        <v>95</v>
      </c>
      <c r="B66" s="61" t="s">
        <v>240</v>
      </c>
      <c r="C66" s="33">
        <f>[6]С2!F23</f>
        <v>1990</v>
      </c>
    </row>
    <row r="67" spans="1:3" ht="30">
      <c r="A67" s="60" t="s">
        <v>97</v>
      </c>
      <c r="B67" s="53" t="s">
        <v>98</v>
      </c>
      <c r="C67" s="33">
        <f>[6]С2.1!E27</f>
        <v>14307.876789999998</v>
      </c>
    </row>
    <row r="68" spans="1:3" ht="38.25">
      <c r="A68" s="60" t="s">
        <v>99</v>
      </c>
      <c r="B68" s="68" t="s">
        <v>100</v>
      </c>
      <c r="C68" s="52">
        <f>[6]С2.3!E21</f>
        <v>0</v>
      </c>
    </row>
    <row r="69" spans="1:3" ht="25.5">
      <c r="A69" s="60" t="s">
        <v>101</v>
      </c>
      <c r="B69" s="69" t="s">
        <v>102</v>
      </c>
      <c r="C69" s="70">
        <f>[6]С2.3!E11</f>
        <v>9.89</v>
      </c>
    </row>
    <row r="70" spans="1:3" ht="25.5">
      <c r="A70" s="60" t="s">
        <v>103</v>
      </c>
      <c r="B70" s="69" t="s">
        <v>104</v>
      </c>
      <c r="C70" s="65">
        <f>[6]С2.3!E13</f>
        <v>300</v>
      </c>
    </row>
    <row r="71" spans="1:3" ht="25.5">
      <c r="A71" s="60" t="s">
        <v>105</v>
      </c>
      <c r="B71" s="68" t="s">
        <v>106</v>
      </c>
      <c r="C71" s="71">
        <f>IF([6]С2.3!E22&gt;0,[6]С2.3!E22,[6]С2.3!E14)</f>
        <v>61211</v>
      </c>
    </row>
    <row r="72" spans="1:3" ht="38.25">
      <c r="A72" s="60" t="s">
        <v>107</v>
      </c>
      <c r="B72" s="68" t="s">
        <v>108</v>
      </c>
      <c r="C72" s="71">
        <f>IF([6]С2.3!E23&gt;0,[6]С2.3!E23,[6]С2.3!E15)</f>
        <v>45675</v>
      </c>
    </row>
    <row r="73" spans="1:3" ht="30">
      <c r="A73" s="60" t="s">
        <v>109</v>
      </c>
      <c r="B73" s="53" t="s">
        <v>110</v>
      </c>
      <c r="C73" s="33">
        <f>[6]С2.1!E28</f>
        <v>9541.9567200000001</v>
      </c>
    </row>
    <row r="74" spans="1:3" ht="38.25">
      <c r="A74" s="60" t="s">
        <v>111</v>
      </c>
      <c r="B74" s="68" t="s">
        <v>112</v>
      </c>
      <c r="C74" s="52">
        <f>[6]С2.3!E25</f>
        <v>0</v>
      </c>
    </row>
    <row r="75" spans="1:3" ht="25.5">
      <c r="A75" s="60" t="s">
        <v>113</v>
      </c>
      <c r="B75" s="69" t="s">
        <v>114</v>
      </c>
      <c r="C75" s="70">
        <f>[6]С2.3!E12</f>
        <v>0.56000000000000005</v>
      </c>
    </row>
    <row r="76" spans="1:3" ht="25.5">
      <c r="A76" s="60" t="s">
        <v>115</v>
      </c>
      <c r="B76" s="69" t="s">
        <v>104</v>
      </c>
      <c r="C76" s="65">
        <f>[6]С2.3!E13</f>
        <v>300</v>
      </c>
    </row>
    <row r="77" spans="1:3" ht="25.5">
      <c r="A77" s="60" t="s">
        <v>116</v>
      </c>
      <c r="B77" s="72" t="s">
        <v>117</v>
      </c>
      <c r="C77" s="71">
        <f>IF([6]С2.3!E26&gt;0,[6]С2.3!E26,[6]С2.3!E16)</f>
        <v>65637</v>
      </c>
    </row>
    <row r="78" spans="1:3" ht="38.25">
      <c r="A78" s="60" t="s">
        <v>118</v>
      </c>
      <c r="B78" s="72" t="s">
        <v>119</v>
      </c>
      <c r="C78" s="71">
        <f>IF([6]С2.3!E27&gt;0,[6]С2.3!E27,[6]С2.3!E17)</f>
        <v>31684</v>
      </c>
    </row>
    <row r="79" spans="1:3" ht="17.25">
      <c r="A79" s="60" t="s">
        <v>122</v>
      </c>
      <c r="B79" s="32" t="s">
        <v>123</v>
      </c>
      <c r="C79" s="35">
        <f>[6]С2!F29</f>
        <v>0.128978033685065</v>
      </c>
    </row>
    <row r="80" spans="1:3" ht="30">
      <c r="A80" s="60" t="s">
        <v>124</v>
      </c>
      <c r="B80" s="53" t="s">
        <v>125</v>
      </c>
      <c r="C80" s="73">
        <f>[6]С2!F30</f>
        <v>0.11668498168498169</v>
      </c>
    </row>
    <row r="81" spans="1:3" ht="17.25">
      <c r="A81" s="60" t="s">
        <v>126</v>
      </c>
      <c r="B81" s="74" t="s">
        <v>127</v>
      </c>
      <c r="C81" s="35">
        <f>[6]С2!F31</f>
        <v>0.13880000000000001</v>
      </c>
    </row>
    <row r="82" spans="1:3" s="66" customFormat="1" ht="18" thickBot="1">
      <c r="A82" s="75" t="s">
        <v>128</v>
      </c>
      <c r="B82" s="76" t="s">
        <v>129</v>
      </c>
      <c r="C82" s="77">
        <f>[6]С2!F32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[6]С3!F14</f>
        <v>7018.8643800822501</v>
      </c>
    </row>
    <row r="86" spans="1:3" s="66" customFormat="1" ht="42.75">
      <c r="A86" s="79" t="s">
        <v>134</v>
      </c>
      <c r="B86" s="53" t="s">
        <v>135</v>
      </c>
      <c r="C86" s="80">
        <f>[6]С3!F15</f>
        <v>0.2</v>
      </c>
    </row>
    <row r="87" spans="1:3" s="66" customFormat="1" ht="14.25">
      <c r="A87" s="79" t="s">
        <v>136</v>
      </c>
      <c r="B87" s="81" t="s">
        <v>137</v>
      </c>
      <c r="C87" s="65">
        <f>[6]С3!F18</f>
        <v>15</v>
      </c>
    </row>
    <row r="88" spans="1:3" s="66" customFormat="1" ht="17.25">
      <c r="A88" s="79" t="s">
        <v>138</v>
      </c>
      <c r="B88" s="32" t="s">
        <v>139</v>
      </c>
      <c r="C88" s="33">
        <f>[6]С3!F19</f>
        <v>3487.1555421534131</v>
      </c>
    </row>
    <row r="89" spans="1:3" s="66" customFormat="1" ht="55.5">
      <c r="A89" s="79" t="s">
        <v>140</v>
      </c>
      <c r="B89" s="53" t="s">
        <v>141</v>
      </c>
      <c r="C89" s="82">
        <f>[6]С3!F20</f>
        <v>2.1999999999999999E-2</v>
      </c>
    </row>
    <row r="90" spans="1:3" s="66" customFormat="1" ht="14.25">
      <c r="A90" s="79" t="s">
        <v>142</v>
      </c>
      <c r="B90" s="59" t="s">
        <v>86</v>
      </c>
      <c r="C90" s="65">
        <f>[6]С3!F21</f>
        <v>10</v>
      </c>
    </row>
    <row r="91" spans="1:3" s="66" customFormat="1" ht="17.25">
      <c r="A91" s="79" t="s">
        <v>143</v>
      </c>
      <c r="B91" s="32" t="s">
        <v>144</v>
      </c>
      <c r="C91" s="33">
        <f>[6]С3!F22</f>
        <v>4.7105407613583932</v>
      </c>
    </row>
    <row r="92" spans="1:3" s="66" customFormat="1" ht="55.5">
      <c r="A92" s="79" t="s">
        <v>145</v>
      </c>
      <c r="B92" s="53" t="s">
        <v>146</v>
      </c>
      <c r="C92" s="82">
        <f>[6]С3!F23</f>
        <v>3.0000000000000001E-3</v>
      </c>
    </row>
    <row r="93" spans="1:3" s="66" customFormat="1" ht="27.75" thickBot="1">
      <c r="A93" s="83" t="s">
        <v>147</v>
      </c>
      <c r="B93" s="84" t="s">
        <v>241</v>
      </c>
      <c r="C93" s="85">
        <f>[6]С3!F24</f>
        <v>1570.1802537861311</v>
      </c>
    </row>
    <row r="94" spans="1:3" ht="13.5" thickBot="1">
      <c r="A94" s="48"/>
      <c r="B94" s="49"/>
      <c r="C94" s="14"/>
    </row>
    <row r="95" spans="1:3" ht="30" customHeight="1">
      <c r="A95" s="86" t="s">
        <v>148</v>
      </c>
      <c r="B95" s="142" t="s">
        <v>149</v>
      </c>
      <c r="C95" s="142"/>
    </row>
    <row r="96" spans="1:3" ht="30">
      <c r="A96" s="60" t="s">
        <v>150</v>
      </c>
      <c r="B96" s="32" t="s">
        <v>242</v>
      </c>
      <c r="C96" s="33">
        <f>[6]С4!F16</f>
        <v>1652.5</v>
      </c>
    </row>
    <row r="97" spans="1:3" ht="30">
      <c r="A97" s="60" t="s">
        <v>152</v>
      </c>
      <c r="B97" s="59" t="s">
        <v>243</v>
      </c>
      <c r="C97" s="33">
        <f>[6]С4!F17</f>
        <v>73547</v>
      </c>
    </row>
    <row r="98" spans="1:3" ht="17.25">
      <c r="A98" s="60" t="s">
        <v>154</v>
      </c>
      <c r="B98" s="59" t="s">
        <v>155</v>
      </c>
      <c r="C98" s="41">
        <f>[6]С4!F18</f>
        <v>0.02</v>
      </c>
    </row>
    <row r="99" spans="1:3" ht="30">
      <c r="A99" s="60" t="s">
        <v>156</v>
      </c>
      <c r="B99" s="59" t="s">
        <v>157</v>
      </c>
      <c r="C99" s="33">
        <f>[6]С4!F19</f>
        <v>12104</v>
      </c>
    </row>
    <row r="100" spans="1:3" ht="31.5">
      <c r="A100" s="60" t="s">
        <v>158</v>
      </c>
      <c r="B100" s="59" t="s">
        <v>159</v>
      </c>
      <c r="C100" s="41">
        <f>[6]С4!F20</f>
        <v>1.4999999999999999E-2</v>
      </c>
    </row>
    <row r="101" spans="1:3" ht="30">
      <c r="A101" s="60" t="s">
        <v>160</v>
      </c>
      <c r="B101" s="32" t="s">
        <v>244</v>
      </c>
      <c r="C101" s="33">
        <f>[6]С4!F21</f>
        <v>1933.1949342509995</v>
      </c>
    </row>
    <row r="102" spans="1:3" ht="24" customHeight="1">
      <c r="A102" s="60" t="s">
        <v>162</v>
      </c>
      <c r="B102" s="53" t="s">
        <v>163</v>
      </c>
      <c r="C102" s="34">
        <f>IF([6]С4.2!F8="да",[6]С4.2!D21,[6]С4.2!D15)</f>
        <v>0</v>
      </c>
    </row>
    <row r="103" spans="1:3" ht="68.25">
      <c r="A103" s="60" t="s">
        <v>164</v>
      </c>
      <c r="B103" s="53" t="s">
        <v>165</v>
      </c>
      <c r="C103" s="33">
        <f>[6]С4!F22</f>
        <v>3.6112641666666665</v>
      </c>
    </row>
    <row r="104" spans="1:3" ht="30">
      <c r="A104" s="60" t="s">
        <v>166</v>
      </c>
      <c r="B104" s="59" t="s">
        <v>245</v>
      </c>
      <c r="C104" s="33">
        <f>[6]С4!F23</f>
        <v>180</v>
      </c>
    </row>
    <row r="105" spans="1:3" ht="14.25">
      <c r="A105" s="60" t="s">
        <v>168</v>
      </c>
      <c r="B105" s="53" t="s">
        <v>169</v>
      </c>
      <c r="C105" s="33">
        <f>[6]С4!F24</f>
        <v>8497.1999999999989</v>
      </c>
    </row>
    <row r="106" spans="1:3" ht="14.25">
      <c r="A106" s="60" t="s">
        <v>170</v>
      </c>
      <c r="B106" s="59" t="s">
        <v>171</v>
      </c>
      <c r="C106" s="41">
        <f>[6]С4!F25</f>
        <v>0.35</v>
      </c>
    </row>
    <row r="107" spans="1:3" ht="17.25">
      <c r="A107" s="60" t="s">
        <v>172</v>
      </c>
      <c r="B107" s="32" t="s">
        <v>173</v>
      </c>
      <c r="C107" s="33">
        <f>[6]С4!F26</f>
        <v>90.830880000000008</v>
      </c>
    </row>
    <row r="108" spans="1:3" ht="25.5">
      <c r="A108" s="60" t="s">
        <v>174</v>
      </c>
      <c r="B108" s="53" t="s">
        <v>100</v>
      </c>
      <c r="C108" s="34">
        <f>[6]С4.3!E16</f>
        <v>0</v>
      </c>
    </row>
    <row r="109" spans="1:3" ht="25.5">
      <c r="A109" s="60" t="s">
        <v>175</v>
      </c>
      <c r="B109" s="53" t="s">
        <v>176</v>
      </c>
      <c r="C109" s="33">
        <f>[6]С4.3!E17</f>
        <v>25</v>
      </c>
    </row>
    <row r="110" spans="1:3" ht="38.25">
      <c r="A110" s="60" t="s">
        <v>177</v>
      </c>
      <c r="B110" s="53" t="s">
        <v>112</v>
      </c>
      <c r="C110" s="34">
        <f>[6]С4.3!E18</f>
        <v>0</v>
      </c>
    </row>
    <row r="111" spans="1:3">
      <c r="A111" s="60" t="s">
        <v>178</v>
      </c>
      <c r="B111" s="53" t="s">
        <v>179</v>
      </c>
      <c r="C111" s="33">
        <f>[6]С4.3!E19</f>
        <v>15.47</v>
      </c>
    </row>
    <row r="112" spans="1:3">
      <c r="A112" s="60" t="s">
        <v>180</v>
      </c>
      <c r="B112" s="59" t="s">
        <v>181</v>
      </c>
      <c r="C112" s="33">
        <f>[6]С4.3!E11</f>
        <v>1871</v>
      </c>
    </row>
    <row r="113" spans="1:3">
      <c r="A113" s="60" t="s">
        <v>182</v>
      </c>
      <c r="B113" s="59" t="s">
        <v>183</v>
      </c>
      <c r="C113" s="52">
        <f>[6]С4.3!E12</f>
        <v>1636</v>
      </c>
    </row>
    <row r="114" spans="1:3">
      <c r="A114" s="60" t="s">
        <v>184</v>
      </c>
      <c r="B114" s="59" t="s">
        <v>185</v>
      </c>
      <c r="C114" s="52">
        <f>[6]С4.3!E13</f>
        <v>204</v>
      </c>
    </row>
    <row r="115" spans="1:3" ht="30">
      <c r="A115" s="60" t="s">
        <v>186</v>
      </c>
      <c r="B115" s="32" t="s">
        <v>246</v>
      </c>
      <c r="C115" s="33">
        <f>[6]С4!F27</f>
        <v>1467.2629458895778</v>
      </c>
    </row>
    <row r="116" spans="1:3" ht="25.5">
      <c r="A116" s="60" t="s">
        <v>188</v>
      </c>
      <c r="B116" s="53" t="s">
        <v>247</v>
      </c>
      <c r="C116" s="33">
        <f>[6]С4!F28</f>
        <v>1126.9300659674177</v>
      </c>
    </row>
    <row r="117" spans="1:3" ht="42.75">
      <c r="A117" s="60" t="s">
        <v>190</v>
      </c>
      <c r="B117" s="53" t="s">
        <v>191</v>
      </c>
      <c r="C117" s="33">
        <f>[6]С4!F29</f>
        <v>340.33287992216015</v>
      </c>
    </row>
    <row r="118" spans="1:3" ht="30">
      <c r="A118" s="60" t="s">
        <v>192</v>
      </c>
      <c r="B118" s="40" t="s">
        <v>193</v>
      </c>
      <c r="C118" s="33">
        <f>[6]С4!F30</f>
        <v>2262.8826068497115</v>
      </c>
    </row>
    <row r="119" spans="1:3" ht="42.75">
      <c r="A119" s="60" t="s">
        <v>248</v>
      </c>
      <c r="B119" s="90" t="s">
        <v>249</v>
      </c>
      <c r="C119" s="33">
        <f>[6]С4!F33</f>
        <v>1515.4499494696213</v>
      </c>
    </row>
    <row r="120" spans="1:3" ht="30">
      <c r="A120" s="60" t="s">
        <v>250</v>
      </c>
      <c r="B120" s="123" t="s">
        <v>251</v>
      </c>
      <c r="C120" s="33">
        <f>[6]С4!F35</f>
        <v>17.040680999999999</v>
      </c>
    </row>
    <row r="121" spans="1:3" ht="14.25">
      <c r="A121" s="60" t="s">
        <v>252</v>
      </c>
      <c r="B121" s="56" t="s">
        <v>253</v>
      </c>
      <c r="C121" s="33">
        <f>[6]С4!F36</f>
        <v>14319.9</v>
      </c>
    </row>
    <row r="122" spans="1:3" ht="28.5" thickBot="1">
      <c r="A122" s="75" t="s">
        <v>254</v>
      </c>
      <c r="B122" s="124" t="s">
        <v>255</v>
      </c>
      <c r="C122" s="85">
        <f>[6]С4!F37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[6]С5!F17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[6]С2!F37</f>
        <v>20.818139999999996</v>
      </c>
    </row>
    <row r="136" spans="1:3" ht="14.25">
      <c r="A136" s="60" t="s">
        <v>214</v>
      </c>
      <c r="B136" s="130" t="s">
        <v>215</v>
      </c>
      <c r="C136" s="33">
        <f>[6]С2!F38</f>
        <v>7</v>
      </c>
    </row>
    <row r="137" spans="1:3" ht="17.25">
      <c r="A137" s="60" t="s">
        <v>216</v>
      </c>
      <c r="B137" s="130" t="s">
        <v>217</v>
      </c>
      <c r="C137" s="33">
        <f>[6]С2!F40</f>
        <v>0.97</v>
      </c>
    </row>
    <row r="138" spans="1:3" ht="15" thickBot="1">
      <c r="A138" s="75" t="s">
        <v>218</v>
      </c>
      <c r="B138" s="131" t="s">
        <v>219</v>
      </c>
      <c r="C138" s="47">
        <f>[6]С2!F42</f>
        <v>0.35</v>
      </c>
    </row>
    <row r="139" spans="1:3" s="88" customFormat="1" ht="13.5" thickBot="1">
      <c r="A139" s="48"/>
      <c r="B139" s="49"/>
      <c r="C139" s="14"/>
    </row>
    <row r="140" spans="1:3" ht="30">
      <c r="A140" s="86" t="s">
        <v>220</v>
      </c>
      <c r="B140" s="96" t="s">
        <v>258</v>
      </c>
      <c r="C140" s="132">
        <f>[6]С2!F35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[6]С2.5!$E$11</f>
        <v>-2.9000000000000026E-2</v>
      </c>
    </row>
    <row r="144" spans="1:3">
      <c r="A144" s="99"/>
      <c r="B144" s="106">
        <f>B143+1</f>
        <v>2021</v>
      </c>
      <c r="C144" s="137">
        <f>[6]С2.5!$F$11</f>
        <v>0.245</v>
      </c>
    </row>
    <row r="145" spans="1:3">
      <c r="A145" s="99"/>
      <c r="B145" s="106">
        <f t="shared" ref="B145:B208" si="0">B144+1</f>
        <v>2022</v>
      </c>
      <c r="C145" s="137">
        <f>[6]С2.5!$G$11</f>
        <v>0.121</v>
      </c>
    </row>
    <row r="146" spans="1:3" ht="13.5" thickBot="1">
      <c r="A146" s="99"/>
      <c r="B146" s="108">
        <f t="shared" si="0"/>
        <v>2023</v>
      </c>
      <c r="C146" s="138">
        <f>[6]С2.5!$H$11</f>
        <v>0.02</v>
      </c>
    </row>
    <row r="147" spans="1:3" hidden="1">
      <c r="A147" s="99"/>
      <c r="B147" s="139">
        <f t="shared" si="0"/>
        <v>2024</v>
      </c>
      <c r="C147" s="140">
        <f>[6]С2.5!$I$11</f>
        <v>-2.93E-2</v>
      </c>
    </row>
    <row r="148" spans="1:3" hidden="1">
      <c r="A148" s="99"/>
      <c r="B148" s="106">
        <f t="shared" si="0"/>
        <v>2025</v>
      </c>
      <c r="C148" s="137">
        <f>[6]С2.5!$J$11</f>
        <v>0.21215960863291</v>
      </c>
    </row>
    <row r="149" spans="1:3" hidden="1">
      <c r="A149" s="99"/>
      <c r="B149" s="106">
        <f t="shared" si="0"/>
        <v>2026</v>
      </c>
      <c r="C149" s="137">
        <f>[6]С2.5!$K$11</f>
        <v>3.5813361771260002E-2</v>
      </c>
    </row>
    <row r="150" spans="1:3" hidden="1">
      <c r="A150" s="99"/>
      <c r="B150" s="106">
        <f t="shared" si="0"/>
        <v>2027</v>
      </c>
      <c r="C150" s="137">
        <f>[6]С2.5!$L$11</f>
        <v>3.2682303599220003E-2</v>
      </c>
    </row>
    <row r="151" spans="1:3" hidden="1">
      <c r="A151" s="99"/>
      <c r="B151" s="106">
        <f t="shared" si="0"/>
        <v>2028</v>
      </c>
      <c r="C151" s="137">
        <f>[6]С2.5!$M$11</f>
        <v>0</v>
      </c>
    </row>
    <row r="152" spans="1:3" hidden="1">
      <c r="A152" s="99"/>
      <c r="B152" s="106">
        <f t="shared" si="0"/>
        <v>2029</v>
      </c>
      <c r="C152" s="137">
        <f>[6]С2.5!$N$11</f>
        <v>0</v>
      </c>
    </row>
    <row r="153" spans="1:3" hidden="1">
      <c r="A153" s="99"/>
      <c r="B153" s="106">
        <f t="shared" si="0"/>
        <v>2030</v>
      </c>
      <c r="C153" s="137">
        <f>[6]С2.5!$O$11</f>
        <v>0</v>
      </c>
    </row>
    <row r="154" spans="1:3" hidden="1">
      <c r="A154" s="99"/>
      <c r="B154" s="106">
        <f t="shared" si="0"/>
        <v>2031</v>
      </c>
      <c r="C154" s="137">
        <f>[6]С2.5!$P$11</f>
        <v>0</v>
      </c>
    </row>
    <row r="155" spans="1:3" hidden="1">
      <c r="A155" s="88"/>
      <c r="B155" s="106">
        <f t="shared" si="0"/>
        <v>2032</v>
      </c>
      <c r="C155" s="137">
        <f>[6]С2.5!$Q$11</f>
        <v>0</v>
      </c>
    </row>
    <row r="156" spans="1:3" hidden="1">
      <c r="A156" s="88"/>
      <c r="B156" s="106">
        <f t="shared" si="0"/>
        <v>2033</v>
      </c>
      <c r="C156" s="137">
        <f>[6]С2.5!$R$11</f>
        <v>0</v>
      </c>
    </row>
    <row r="157" spans="1:3" hidden="1">
      <c r="B157" s="106">
        <f t="shared" si="0"/>
        <v>2034</v>
      </c>
      <c r="C157" s="137">
        <f>[6]С2.5!$S$11</f>
        <v>0</v>
      </c>
    </row>
    <row r="158" spans="1:3" hidden="1">
      <c r="B158" s="106">
        <f t="shared" si="0"/>
        <v>2035</v>
      </c>
      <c r="C158" s="137">
        <f>[6]С2.5!$T$11</f>
        <v>0</v>
      </c>
    </row>
    <row r="159" spans="1:3" hidden="1">
      <c r="B159" s="106">
        <f t="shared" si="0"/>
        <v>2036</v>
      </c>
      <c r="C159" s="137">
        <f>[6]С2.5!$U$11</f>
        <v>0</v>
      </c>
    </row>
    <row r="160" spans="1:3" hidden="1">
      <c r="B160" s="106">
        <f t="shared" si="0"/>
        <v>2037</v>
      </c>
      <c r="C160" s="137">
        <f>[6]С2.5!$V$11</f>
        <v>0</v>
      </c>
    </row>
    <row r="161" spans="2:3" hidden="1">
      <c r="B161" s="106">
        <f t="shared" si="0"/>
        <v>2038</v>
      </c>
      <c r="C161" s="137">
        <f>[6]С2.5!$W$11</f>
        <v>0</v>
      </c>
    </row>
    <row r="162" spans="2:3" hidden="1">
      <c r="B162" s="106">
        <f t="shared" si="0"/>
        <v>2039</v>
      </c>
      <c r="C162" s="137">
        <f>[6]С2.5!$X$11</f>
        <v>0</v>
      </c>
    </row>
    <row r="163" spans="2:3" hidden="1">
      <c r="B163" s="106">
        <f t="shared" si="0"/>
        <v>2040</v>
      </c>
      <c r="C163" s="137">
        <f>[6]С2.5!$Y$11</f>
        <v>0</v>
      </c>
    </row>
    <row r="164" spans="2:3" hidden="1">
      <c r="B164" s="106">
        <f t="shared" si="0"/>
        <v>2041</v>
      </c>
      <c r="C164" s="137">
        <f>[6]С2.5!$Z$11</f>
        <v>0</v>
      </c>
    </row>
    <row r="165" spans="2:3" hidden="1">
      <c r="B165" s="106">
        <f t="shared" si="0"/>
        <v>2042</v>
      </c>
      <c r="C165" s="137">
        <f>[6]С2.5!$AA$11</f>
        <v>0</v>
      </c>
    </row>
    <row r="166" spans="2:3" hidden="1">
      <c r="B166" s="106">
        <f t="shared" si="0"/>
        <v>2043</v>
      </c>
      <c r="C166" s="137">
        <f>[6]С2.5!$AB$11</f>
        <v>0</v>
      </c>
    </row>
    <row r="167" spans="2:3" hidden="1">
      <c r="B167" s="106">
        <f t="shared" si="0"/>
        <v>2044</v>
      </c>
      <c r="C167" s="137">
        <f>[6]С2.5!$AC$11</f>
        <v>0</v>
      </c>
    </row>
    <row r="168" spans="2:3" hidden="1">
      <c r="B168" s="106">
        <f t="shared" si="0"/>
        <v>2045</v>
      </c>
      <c r="C168" s="137">
        <f>[6]С2.5!$AD$11</f>
        <v>0</v>
      </c>
    </row>
    <row r="169" spans="2:3" hidden="1">
      <c r="B169" s="106">
        <f t="shared" si="0"/>
        <v>2046</v>
      </c>
      <c r="C169" s="137">
        <f>[6]С2.5!$AE$11</f>
        <v>0</v>
      </c>
    </row>
    <row r="170" spans="2:3" hidden="1">
      <c r="B170" s="106">
        <f t="shared" si="0"/>
        <v>2047</v>
      </c>
      <c r="C170" s="137">
        <f>[6]С2.5!$AF$11</f>
        <v>0</v>
      </c>
    </row>
    <row r="171" spans="2:3" hidden="1">
      <c r="B171" s="106">
        <f t="shared" si="0"/>
        <v>2048</v>
      </c>
      <c r="C171" s="137">
        <f>[6]С2.5!$AG$11</f>
        <v>0</v>
      </c>
    </row>
    <row r="172" spans="2:3" hidden="1">
      <c r="B172" s="106">
        <f t="shared" si="0"/>
        <v>2049</v>
      </c>
      <c r="C172" s="137">
        <f>[6]С2.5!$AH$11</f>
        <v>0</v>
      </c>
    </row>
    <row r="173" spans="2:3" hidden="1">
      <c r="B173" s="106">
        <f t="shared" si="0"/>
        <v>2050</v>
      </c>
      <c r="C173" s="137">
        <f>[6]С2.5!$AI$11</f>
        <v>0</v>
      </c>
    </row>
    <row r="174" spans="2:3" hidden="1">
      <c r="B174" s="106">
        <f t="shared" si="0"/>
        <v>2051</v>
      </c>
      <c r="C174" s="137">
        <f>[6]С2.5!$AJ$11</f>
        <v>0</v>
      </c>
    </row>
    <row r="175" spans="2:3" hidden="1">
      <c r="B175" s="106">
        <f t="shared" si="0"/>
        <v>2052</v>
      </c>
      <c r="C175" s="137">
        <f>[6]С2.5!$AK$11</f>
        <v>0</v>
      </c>
    </row>
    <row r="176" spans="2:3" hidden="1">
      <c r="B176" s="106">
        <f t="shared" si="0"/>
        <v>2053</v>
      </c>
      <c r="C176" s="137">
        <f>[6]С2.5!$AL$11</f>
        <v>0</v>
      </c>
    </row>
    <row r="177" spans="2:3" hidden="1">
      <c r="B177" s="106">
        <f t="shared" si="0"/>
        <v>2054</v>
      </c>
      <c r="C177" s="137">
        <f>[6]С2.5!$AM$11</f>
        <v>0</v>
      </c>
    </row>
    <row r="178" spans="2:3" hidden="1">
      <c r="B178" s="106">
        <f t="shared" si="0"/>
        <v>2055</v>
      </c>
      <c r="C178" s="137">
        <f>[6]С2.5!$AN$11</f>
        <v>0</v>
      </c>
    </row>
    <row r="179" spans="2:3" hidden="1">
      <c r="B179" s="106">
        <f t="shared" si="0"/>
        <v>2056</v>
      </c>
      <c r="C179" s="137">
        <f>[6]С2.5!$AO$11</f>
        <v>0</v>
      </c>
    </row>
    <row r="180" spans="2:3" hidden="1">
      <c r="B180" s="106">
        <f t="shared" si="0"/>
        <v>2057</v>
      </c>
      <c r="C180" s="137">
        <f>[6]С2.5!$AP$11</f>
        <v>0</v>
      </c>
    </row>
    <row r="181" spans="2:3" hidden="1">
      <c r="B181" s="106">
        <f t="shared" si="0"/>
        <v>2058</v>
      </c>
      <c r="C181" s="137">
        <f>[6]С2.5!$AQ$11</f>
        <v>0</v>
      </c>
    </row>
    <row r="182" spans="2:3" hidden="1">
      <c r="B182" s="106">
        <f t="shared" si="0"/>
        <v>2059</v>
      </c>
      <c r="C182" s="137">
        <f>[6]С2.5!$AR$11</f>
        <v>0</v>
      </c>
    </row>
    <row r="183" spans="2:3" hidden="1">
      <c r="B183" s="106">
        <f t="shared" si="0"/>
        <v>2060</v>
      </c>
      <c r="C183" s="137">
        <f>[6]С2.5!$AS$11</f>
        <v>0</v>
      </c>
    </row>
    <row r="184" spans="2:3" hidden="1">
      <c r="B184" s="106">
        <f t="shared" si="0"/>
        <v>2061</v>
      </c>
      <c r="C184" s="137">
        <f>[6]С2.5!$AT$11</f>
        <v>0</v>
      </c>
    </row>
    <row r="185" spans="2:3" hidden="1">
      <c r="B185" s="106">
        <f t="shared" si="0"/>
        <v>2062</v>
      </c>
      <c r="C185" s="137">
        <f>[6]С2.5!$AU$11</f>
        <v>0</v>
      </c>
    </row>
    <row r="186" spans="2:3" hidden="1">
      <c r="B186" s="106">
        <f t="shared" si="0"/>
        <v>2063</v>
      </c>
      <c r="C186" s="137">
        <f>[6]С2.5!$AV$11</f>
        <v>0</v>
      </c>
    </row>
    <row r="187" spans="2:3" hidden="1">
      <c r="B187" s="106">
        <f t="shared" si="0"/>
        <v>2064</v>
      </c>
      <c r="C187" s="137">
        <f>[6]С2.5!$AW$11</f>
        <v>0</v>
      </c>
    </row>
    <row r="188" spans="2:3" hidden="1">
      <c r="B188" s="106">
        <f t="shared" si="0"/>
        <v>2065</v>
      </c>
      <c r="C188" s="137">
        <f>[6]С2.5!$AX$11</f>
        <v>0</v>
      </c>
    </row>
    <row r="189" spans="2:3" hidden="1">
      <c r="B189" s="106">
        <f t="shared" si="0"/>
        <v>2066</v>
      </c>
      <c r="C189" s="137">
        <f>[6]С2.5!$AY$11</f>
        <v>0</v>
      </c>
    </row>
    <row r="190" spans="2:3" hidden="1">
      <c r="B190" s="106">
        <f t="shared" si="0"/>
        <v>2067</v>
      </c>
      <c r="C190" s="137">
        <f>[6]С2.5!$AZ$11</f>
        <v>0</v>
      </c>
    </row>
    <row r="191" spans="2:3" hidden="1">
      <c r="B191" s="106">
        <f t="shared" si="0"/>
        <v>2068</v>
      </c>
      <c r="C191" s="137">
        <f>[6]С2.5!$BA$11</f>
        <v>0</v>
      </c>
    </row>
    <row r="192" spans="2:3" hidden="1">
      <c r="B192" s="106">
        <f t="shared" si="0"/>
        <v>2069</v>
      </c>
      <c r="C192" s="137">
        <f>[6]С2.5!$BB$11</f>
        <v>0</v>
      </c>
    </row>
    <row r="193" spans="2:3" hidden="1">
      <c r="B193" s="106">
        <f t="shared" si="0"/>
        <v>2070</v>
      </c>
      <c r="C193" s="137">
        <f>[6]С2.5!$BC$11</f>
        <v>0</v>
      </c>
    </row>
    <row r="194" spans="2:3" hidden="1">
      <c r="B194" s="106">
        <f t="shared" si="0"/>
        <v>2071</v>
      </c>
      <c r="C194" s="137">
        <f>[6]С2.5!$BD$11</f>
        <v>0</v>
      </c>
    </row>
    <row r="195" spans="2:3" hidden="1">
      <c r="B195" s="106">
        <f t="shared" si="0"/>
        <v>2072</v>
      </c>
      <c r="C195" s="137">
        <f>[6]С2.5!$BE$11</f>
        <v>0</v>
      </c>
    </row>
    <row r="196" spans="2:3" hidden="1">
      <c r="B196" s="106">
        <f t="shared" si="0"/>
        <v>2073</v>
      </c>
      <c r="C196" s="137">
        <f>[6]С2.5!$BF$11</f>
        <v>0</v>
      </c>
    </row>
    <row r="197" spans="2:3" hidden="1">
      <c r="B197" s="106">
        <f t="shared" si="0"/>
        <v>2074</v>
      </c>
      <c r="C197" s="137">
        <f>[6]С2.5!$BG$11</f>
        <v>0</v>
      </c>
    </row>
    <row r="198" spans="2:3" hidden="1">
      <c r="B198" s="106">
        <f t="shared" si="0"/>
        <v>2075</v>
      </c>
      <c r="C198" s="137">
        <f>[6]С2.5!$BH$11</f>
        <v>0</v>
      </c>
    </row>
    <row r="199" spans="2:3" hidden="1">
      <c r="B199" s="106">
        <f t="shared" si="0"/>
        <v>2076</v>
      </c>
      <c r="C199" s="137">
        <f>[6]С2.5!$BI$11</f>
        <v>0</v>
      </c>
    </row>
    <row r="200" spans="2:3" hidden="1">
      <c r="B200" s="106">
        <f t="shared" si="0"/>
        <v>2077</v>
      </c>
      <c r="C200" s="137">
        <f>[6]С2.5!$BJ$11</f>
        <v>0</v>
      </c>
    </row>
    <row r="201" spans="2:3" hidden="1">
      <c r="B201" s="106">
        <f t="shared" si="0"/>
        <v>2078</v>
      </c>
      <c r="C201" s="137">
        <f>[6]С2.5!$BK$11</f>
        <v>0</v>
      </c>
    </row>
    <row r="202" spans="2:3" hidden="1">
      <c r="B202" s="106">
        <f t="shared" si="0"/>
        <v>2079</v>
      </c>
      <c r="C202" s="137">
        <f>[6]С2.5!$BL$11</f>
        <v>0</v>
      </c>
    </row>
    <row r="203" spans="2:3" hidden="1">
      <c r="B203" s="106">
        <f t="shared" si="0"/>
        <v>2080</v>
      </c>
      <c r="C203" s="137">
        <f>[6]С2.5!$BM$11</f>
        <v>0</v>
      </c>
    </row>
    <row r="204" spans="2:3" hidden="1">
      <c r="B204" s="106">
        <f t="shared" si="0"/>
        <v>2081</v>
      </c>
      <c r="C204" s="137">
        <f>[6]С2.5!$BN$11</f>
        <v>0</v>
      </c>
    </row>
    <row r="205" spans="2:3" hidden="1">
      <c r="B205" s="106">
        <f t="shared" si="0"/>
        <v>2082</v>
      </c>
      <c r="C205" s="137">
        <f>[6]С2.5!$BO$11</f>
        <v>0</v>
      </c>
    </row>
    <row r="206" spans="2:3" hidden="1">
      <c r="B206" s="106">
        <f t="shared" si="0"/>
        <v>2083</v>
      </c>
      <c r="C206" s="137">
        <f>[6]С2.5!$BP$11</f>
        <v>0</v>
      </c>
    </row>
    <row r="207" spans="2:3" hidden="1">
      <c r="B207" s="106">
        <f t="shared" si="0"/>
        <v>2084</v>
      </c>
      <c r="C207" s="137">
        <f>[6]С2.5!$BQ$11</f>
        <v>0</v>
      </c>
    </row>
    <row r="208" spans="2:3" hidden="1">
      <c r="B208" s="106">
        <f t="shared" si="0"/>
        <v>2085</v>
      </c>
      <c r="C208" s="137">
        <f>[6]С2.5!$BR$11</f>
        <v>0</v>
      </c>
    </row>
    <row r="209" spans="2:3" hidden="1">
      <c r="B209" s="106">
        <f t="shared" ref="B209:B223" si="1">B208+1</f>
        <v>2086</v>
      </c>
      <c r="C209" s="137">
        <f>[6]С2.5!$BS$11</f>
        <v>0</v>
      </c>
    </row>
    <row r="210" spans="2:3" hidden="1">
      <c r="B210" s="106">
        <f t="shared" si="1"/>
        <v>2087</v>
      </c>
      <c r="C210" s="137">
        <f>[6]С2.5!$BT$11</f>
        <v>0</v>
      </c>
    </row>
    <row r="211" spans="2:3" hidden="1">
      <c r="B211" s="106">
        <f t="shared" si="1"/>
        <v>2088</v>
      </c>
      <c r="C211" s="137">
        <f>[6]С2.5!$BU$11</f>
        <v>0</v>
      </c>
    </row>
    <row r="212" spans="2:3" hidden="1">
      <c r="B212" s="106">
        <f t="shared" si="1"/>
        <v>2089</v>
      </c>
      <c r="C212" s="137">
        <f>[6]С2.5!$BV$11</f>
        <v>0</v>
      </c>
    </row>
    <row r="213" spans="2:3" hidden="1">
      <c r="B213" s="106">
        <f t="shared" si="1"/>
        <v>2090</v>
      </c>
      <c r="C213" s="137">
        <f>[6]С2.5!$BW$11</f>
        <v>0</v>
      </c>
    </row>
    <row r="214" spans="2:3" hidden="1">
      <c r="B214" s="106">
        <f t="shared" si="1"/>
        <v>2091</v>
      </c>
      <c r="C214" s="137">
        <f>[6]С2.5!$BX$11</f>
        <v>0</v>
      </c>
    </row>
    <row r="215" spans="2:3" hidden="1">
      <c r="B215" s="106">
        <f t="shared" si="1"/>
        <v>2092</v>
      </c>
      <c r="C215" s="137">
        <f>[6]С2.5!$BY$11</f>
        <v>0</v>
      </c>
    </row>
    <row r="216" spans="2:3" hidden="1">
      <c r="B216" s="106">
        <f t="shared" si="1"/>
        <v>2093</v>
      </c>
      <c r="C216" s="137">
        <f>[6]С2.5!$BZ$11</f>
        <v>0</v>
      </c>
    </row>
    <row r="217" spans="2:3" hidden="1">
      <c r="B217" s="106">
        <f t="shared" si="1"/>
        <v>2094</v>
      </c>
      <c r="C217" s="137">
        <f>[6]С2.5!$CA$11</f>
        <v>0</v>
      </c>
    </row>
    <row r="218" spans="2:3" hidden="1">
      <c r="B218" s="106">
        <f t="shared" si="1"/>
        <v>2095</v>
      </c>
      <c r="C218" s="137">
        <f>[6]С2.5!$CB$11</f>
        <v>0</v>
      </c>
    </row>
    <row r="219" spans="2:3" hidden="1">
      <c r="B219" s="106">
        <f t="shared" si="1"/>
        <v>2096</v>
      </c>
      <c r="C219" s="137">
        <f>[6]С2.5!$CC$11</f>
        <v>0</v>
      </c>
    </row>
    <row r="220" spans="2:3" hidden="1">
      <c r="B220" s="106">
        <f t="shared" si="1"/>
        <v>2097</v>
      </c>
      <c r="C220" s="137">
        <f>[6]С2.5!$CD$11</f>
        <v>0</v>
      </c>
    </row>
    <row r="221" spans="2:3" hidden="1">
      <c r="B221" s="106">
        <f t="shared" si="1"/>
        <v>2098</v>
      </c>
      <c r="C221" s="137">
        <f>[6]С2.5!$CE$11</f>
        <v>0</v>
      </c>
    </row>
    <row r="222" spans="2:3" hidden="1">
      <c r="B222" s="106">
        <f t="shared" si="1"/>
        <v>2099</v>
      </c>
      <c r="C222" s="137">
        <f>[6]С2.5!$CF$11</f>
        <v>0</v>
      </c>
    </row>
    <row r="223" spans="2:3" ht="13.5" hidden="1" thickBot="1">
      <c r="B223" s="108">
        <f t="shared" si="1"/>
        <v>2100</v>
      </c>
      <c r="C223" s="138">
        <f>[6]С2.5!$CG$11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F1048576"/>
    </sheetView>
  </sheetViews>
  <sheetFormatPr defaultRowHeight="12.75"/>
  <cols>
    <col min="1" max="1" width="9.140625" style="2" customWidth="1"/>
    <col min="2" max="2" width="100.5703125" style="2" customWidth="1"/>
    <col min="3" max="3" width="20.85546875" style="6"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[7]И1!D13</f>
        <v>Субъект Российской Федерации</v>
      </c>
      <c r="C4" s="9" t="str">
        <f>[7]И1!E13</f>
        <v>Новосибирская область</v>
      </c>
    </row>
    <row r="5" spans="1:3">
      <c r="A5" s="7"/>
      <c r="B5" s="8" t="str">
        <f>[7]И1!D14</f>
        <v>Тип муниципального образования (выберите из списка)</v>
      </c>
      <c r="C5" s="9" t="str">
        <f>[7]И1!E14</f>
        <v>Вьюнское МО</v>
      </c>
    </row>
    <row r="6" spans="1:3">
      <c r="A6" s="7"/>
      <c r="B6" s="8" t="str">
        <f>IF([7]И1!E15="","",[7]И1!D15)</f>
        <v/>
      </c>
      <c r="C6" s="9" t="str">
        <f>IF([7]И1!E15="","",[7]И1!E15)</f>
        <v/>
      </c>
    </row>
    <row r="7" spans="1:3">
      <c r="A7" s="7"/>
      <c r="B7" s="8" t="str">
        <f>[7]И1!D16</f>
        <v>Код ОКТМО</v>
      </c>
      <c r="C7" s="10" t="str">
        <f>[7]И1!E16</f>
        <v>50621402101</v>
      </c>
    </row>
    <row r="8" spans="1:3">
      <c r="A8" s="7"/>
      <c r="B8" s="11" t="str">
        <f>[7]И1!D17</f>
        <v>Система теплоснабжения</v>
      </c>
      <c r="C8" s="12">
        <f>[7]И1!E17</f>
        <v>0</v>
      </c>
    </row>
    <row r="9" spans="1:3">
      <c r="A9" s="7"/>
      <c r="B9" s="8" t="str">
        <f>[7]И1!D8</f>
        <v>Период регулирования (i)-й</v>
      </c>
      <c r="C9" s="13">
        <f>[7]И1!E8</f>
        <v>2023</v>
      </c>
    </row>
    <row r="10" spans="1:3">
      <c r="A10" s="7"/>
      <c r="B10" s="8" t="str">
        <f>[7]И1!D9</f>
        <v>Период регулирования (i-1)-й</v>
      </c>
      <c r="C10" s="13">
        <f>[7]И1!E9</f>
        <v>2022</v>
      </c>
    </row>
    <row r="11" spans="1:3">
      <c r="A11" s="7"/>
      <c r="B11" s="8" t="str">
        <f>[7]И1!D10</f>
        <v>Период регулирования (i-2)-й</v>
      </c>
      <c r="C11" s="13">
        <f>[7]И1!E10</f>
        <v>2021</v>
      </c>
    </row>
    <row r="12" spans="1:3">
      <c r="A12" s="7"/>
      <c r="B12" s="8" t="str">
        <f>[7]И1!D11</f>
        <v>Базовый год (б)</v>
      </c>
      <c r="C12" s="13">
        <f>[7]И1!E11</f>
        <v>2019</v>
      </c>
    </row>
    <row r="13" spans="1:3" ht="38.25">
      <c r="A13" s="7"/>
      <c r="B13" s="8" t="str">
        <f>[7]И1!D18</f>
        <v>Вид топлива, использование которого преобладает в системе теплоснабжения</v>
      </c>
      <c r="C13" s="14" t="str">
        <f>[7]С1.1!E13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3987.1821517911512</v>
      </c>
    </row>
    <row r="18" spans="1:3" ht="42.75">
      <c r="A18" s="21" t="s">
        <v>8</v>
      </c>
      <c r="B18" s="24" t="s">
        <v>9</v>
      </c>
      <c r="C18" s="25">
        <f>[7]С1!F12</f>
        <v>856.22961231506304</v>
      </c>
    </row>
    <row r="19" spans="1:3" ht="42.75">
      <c r="A19" s="21" t="s">
        <v>10</v>
      </c>
      <c r="B19" s="24" t="s">
        <v>11</v>
      </c>
      <c r="C19" s="25">
        <f>[7]С2!F12</f>
        <v>2109.9946743617465</v>
      </c>
    </row>
    <row r="20" spans="1:3" ht="30">
      <c r="A20" s="21" t="s">
        <v>12</v>
      </c>
      <c r="B20" s="24" t="s">
        <v>13</v>
      </c>
      <c r="C20" s="25">
        <f>[7]С3!F12</f>
        <v>504.88326349025533</v>
      </c>
    </row>
    <row r="21" spans="1:3" ht="42.75">
      <c r="A21" s="21" t="s">
        <v>14</v>
      </c>
      <c r="B21" s="24" t="s">
        <v>226</v>
      </c>
      <c r="C21" s="25">
        <f>[7]С4!F12</f>
        <v>437.89455943210288</v>
      </c>
    </row>
    <row r="22" spans="1:3" ht="30">
      <c r="A22" s="21" t="s">
        <v>16</v>
      </c>
      <c r="B22" s="24" t="s">
        <v>227</v>
      </c>
      <c r="C22" s="25">
        <f>[7]С5!F12</f>
        <v>78.180042191983361</v>
      </c>
    </row>
    <row r="23" spans="1:3" ht="43.5" thickBot="1">
      <c r="A23" s="26" t="s">
        <v>18</v>
      </c>
      <c r="B23" s="27" t="s">
        <v>228</v>
      </c>
      <c r="C23" s="28" t="str">
        <f>[7]С6!F12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[7]С1.1!E16</f>
        <v>5100</v>
      </c>
    </row>
    <row r="29" spans="1:3" ht="42.75">
      <c r="A29" s="21" t="s">
        <v>10</v>
      </c>
      <c r="B29" s="32" t="s">
        <v>230</v>
      </c>
      <c r="C29" s="33">
        <f>[7]С1.1!E27</f>
        <v>2302.2583333333337</v>
      </c>
    </row>
    <row r="30" spans="1:3" ht="17.25">
      <c r="A30" s="21" t="s">
        <v>12</v>
      </c>
      <c r="B30" s="32" t="s">
        <v>29</v>
      </c>
      <c r="C30" s="35">
        <f>[7]С1.1!E19</f>
        <v>0.59499999999999997</v>
      </c>
    </row>
    <row r="31" spans="1:3" ht="17.25">
      <c r="A31" s="21" t="s">
        <v>14</v>
      </c>
      <c r="B31" s="32" t="s">
        <v>30</v>
      </c>
      <c r="C31" s="35">
        <f>[7]С1.1!E20</f>
        <v>-0.113</v>
      </c>
    </row>
    <row r="32" spans="1:3" ht="30">
      <c r="A32" s="21" t="s">
        <v>16</v>
      </c>
      <c r="B32" s="36" t="s">
        <v>231</v>
      </c>
      <c r="C32" s="119">
        <f>[7]С1!F13</f>
        <v>176.4</v>
      </c>
    </row>
    <row r="33" spans="1:3">
      <c r="A33" s="21" t="s">
        <v>18</v>
      </c>
      <c r="B33" s="36" t="s">
        <v>32</v>
      </c>
      <c r="C33" s="38">
        <f>[7]С1!F16</f>
        <v>7000</v>
      </c>
    </row>
    <row r="34" spans="1:3" ht="14.25">
      <c r="A34" s="21" t="s">
        <v>33</v>
      </c>
      <c r="B34" s="40" t="s">
        <v>232</v>
      </c>
      <c r="C34" s="41">
        <f>[7]С1!F17</f>
        <v>0.72857142857142854</v>
      </c>
    </row>
    <row r="35" spans="1:3" ht="15.75">
      <c r="A35" s="120" t="s">
        <v>35</v>
      </c>
      <c r="B35" s="43" t="s">
        <v>36</v>
      </c>
      <c r="C35" s="41">
        <f>[7]С1!F20</f>
        <v>21.588411179999994</v>
      </c>
    </row>
    <row r="36" spans="1:3" ht="15.75">
      <c r="A36" s="120" t="s">
        <v>37</v>
      </c>
      <c r="B36" s="44" t="s">
        <v>38</v>
      </c>
      <c r="C36" s="41">
        <f>[7]С1!F21</f>
        <v>20.818139999999996</v>
      </c>
    </row>
    <row r="37" spans="1:3" ht="14.25">
      <c r="A37" s="120" t="s">
        <v>39</v>
      </c>
      <c r="B37" s="45" t="s">
        <v>40</v>
      </c>
      <c r="C37" s="41">
        <f>[7]С1!F22</f>
        <v>1.0369999999999999</v>
      </c>
    </row>
    <row r="38" spans="1:3" ht="53.25" thickBot="1">
      <c r="A38" s="26" t="s">
        <v>41</v>
      </c>
      <c r="B38" s="46" t="s">
        <v>42</v>
      </c>
      <c r="C38" s="47">
        <f>[7]С1!F23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[7]С2.1!E12</f>
        <v>V</v>
      </c>
    </row>
    <row r="42" spans="1:3" ht="25.5">
      <c r="A42" s="21" t="s">
        <v>47</v>
      </c>
      <c r="B42" s="32" t="s">
        <v>48</v>
      </c>
      <c r="C42" s="51" t="str">
        <f>[7]С2.1!E13</f>
        <v>6 и менее баллов</v>
      </c>
    </row>
    <row r="43" spans="1:3" ht="25.5">
      <c r="A43" s="21" t="s">
        <v>49</v>
      </c>
      <c r="B43" s="32" t="s">
        <v>233</v>
      </c>
      <c r="C43" s="51" t="str">
        <f>[7]С2.1!E14</f>
        <v>от 200 до 500</v>
      </c>
    </row>
    <row r="44" spans="1:3" ht="25.5">
      <c r="A44" s="21" t="s">
        <v>51</v>
      </c>
      <c r="B44" s="32" t="s">
        <v>234</v>
      </c>
      <c r="C44" s="52" t="str">
        <f>[7]С2.1!E15</f>
        <v>нет</v>
      </c>
    </row>
    <row r="45" spans="1:3" ht="30">
      <c r="A45" s="21" t="s">
        <v>53</v>
      </c>
      <c r="B45" s="32" t="s">
        <v>54</v>
      </c>
      <c r="C45" s="33">
        <f>[7]С2!F18</f>
        <v>32402.627334033532</v>
      </c>
    </row>
    <row r="46" spans="1:3" ht="30">
      <c r="A46" s="21" t="s">
        <v>55</v>
      </c>
      <c r="B46" s="53" t="s">
        <v>56</v>
      </c>
      <c r="C46" s="33">
        <f>IF([7]С2!F19&gt;0,[7]С2!F19,[7]С2!F20)</f>
        <v>23441.524932855718</v>
      </c>
    </row>
    <row r="47" spans="1:3" ht="25.5">
      <c r="A47" s="21" t="s">
        <v>57</v>
      </c>
      <c r="B47" s="54" t="s">
        <v>58</v>
      </c>
      <c r="C47" s="33">
        <f>[7]С2.1!E19</f>
        <v>-37</v>
      </c>
    </row>
    <row r="48" spans="1:3" ht="25.5">
      <c r="A48" s="21" t="s">
        <v>59</v>
      </c>
      <c r="B48" s="54" t="s">
        <v>60</v>
      </c>
      <c r="C48" s="33" t="str">
        <f>[7]С2.1!E22</f>
        <v>нет</v>
      </c>
    </row>
    <row r="49" spans="1:3" ht="38.25">
      <c r="A49" s="21" t="s">
        <v>61</v>
      </c>
      <c r="B49" s="55" t="s">
        <v>62</v>
      </c>
      <c r="C49" s="33">
        <f>[7]С2.2!E10</f>
        <v>1287</v>
      </c>
    </row>
    <row r="50" spans="1:3" ht="25.5">
      <c r="A50" s="21" t="s">
        <v>63</v>
      </c>
      <c r="B50" s="56" t="s">
        <v>64</v>
      </c>
      <c r="C50" s="33">
        <f>[7]С2.2!E12</f>
        <v>5.97</v>
      </c>
    </row>
    <row r="51" spans="1:3" ht="52.5">
      <c r="A51" s="21" t="s">
        <v>65</v>
      </c>
      <c r="B51" s="57" t="s">
        <v>66</v>
      </c>
      <c r="C51" s="33">
        <f>[7]С2.2!E13</f>
        <v>1</v>
      </c>
    </row>
    <row r="52" spans="1:3" ht="27.75">
      <c r="A52" s="21" t="s">
        <v>67</v>
      </c>
      <c r="B52" s="56" t="s">
        <v>68</v>
      </c>
      <c r="C52" s="33">
        <f>[7]С2.2!E14</f>
        <v>12104</v>
      </c>
    </row>
    <row r="53" spans="1:3" ht="25.5">
      <c r="A53" s="21" t="s">
        <v>69</v>
      </c>
      <c r="B53" s="57" t="s">
        <v>70</v>
      </c>
      <c r="C53" s="35">
        <f>[7]С2.2!E15</f>
        <v>4.8000000000000001E-2</v>
      </c>
    </row>
    <row r="54" spans="1:3">
      <c r="A54" s="21" t="s">
        <v>71</v>
      </c>
      <c r="B54" s="57" t="s">
        <v>72</v>
      </c>
      <c r="C54" s="33">
        <f>[7]С2.2!E16</f>
        <v>1</v>
      </c>
    </row>
    <row r="55" spans="1:3" ht="15.75">
      <c r="A55" s="21" t="s">
        <v>73</v>
      </c>
      <c r="B55" s="59" t="s">
        <v>74</v>
      </c>
      <c r="C55" s="33">
        <f>[7]С2!F21</f>
        <v>1</v>
      </c>
    </row>
    <row r="56" spans="1:3" ht="30">
      <c r="A56" s="60" t="s">
        <v>75</v>
      </c>
      <c r="B56" s="32" t="s">
        <v>235</v>
      </c>
      <c r="C56" s="33">
        <f>[7]С2!F13</f>
        <v>169640.22915965237</v>
      </c>
    </row>
    <row r="57" spans="1:3" ht="30">
      <c r="A57" s="60" t="s">
        <v>77</v>
      </c>
      <c r="B57" s="59" t="s">
        <v>236</v>
      </c>
      <c r="C57" s="33">
        <f>[7]С2!F14</f>
        <v>113455</v>
      </c>
    </row>
    <row r="58" spans="1:3" ht="15.75">
      <c r="A58" s="60" t="s">
        <v>79</v>
      </c>
      <c r="B58" s="61" t="s">
        <v>80</v>
      </c>
      <c r="C58" s="41">
        <f>[7]С2!F15</f>
        <v>1.071</v>
      </c>
    </row>
    <row r="59" spans="1:3" ht="15.75">
      <c r="A59" s="60" t="s">
        <v>81</v>
      </c>
      <c r="B59" s="61" t="s">
        <v>82</v>
      </c>
      <c r="C59" s="41">
        <f>[7]С2!F16</f>
        <v>1</v>
      </c>
    </row>
    <row r="60" spans="1:3" ht="17.25">
      <c r="A60" s="60" t="s">
        <v>83</v>
      </c>
      <c r="B60" s="59" t="s">
        <v>84</v>
      </c>
      <c r="C60" s="33">
        <f>[7]С2!F17</f>
        <v>1.01</v>
      </c>
    </row>
    <row r="61" spans="1:3" s="66" customFormat="1" ht="14.25">
      <c r="A61" s="60" t="s">
        <v>85</v>
      </c>
      <c r="B61" s="64" t="s">
        <v>86</v>
      </c>
      <c r="C61" s="65">
        <f>[7]С2!F33</f>
        <v>10</v>
      </c>
    </row>
    <row r="62" spans="1:3" ht="30">
      <c r="A62" s="60" t="s">
        <v>87</v>
      </c>
      <c r="B62" s="67" t="s">
        <v>88</v>
      </c>
      <c r="C62" s="33">
        <f>[7]С2!F26</f>
        <v>1570.1802537861311</v>
      </c>
    </row>
    <row r="63" spans="1:3" ht="17.25">
      <c r="A63" s="60" t="s">
        <v>89</v>
      </c>
      <c r="B63" s="53" t="s">
        <v>237</v>
      </c>
      <c r="C63" s="33">
        <f>[7]С2!F27</f>
        <v>0.27046175099999997</v>
      </c>
    </row>
    <row r="64" spans="1:3" ht="17.25">
      <c r="A64" s="60" t="s">
        <v>91</v>
      </c>
      <c r="B64" s="59" t="s">
        <v>238</v>
      </c>
      <c r="C64" s="65">
        <f>[7]С2!F28</f>
        <v>4200</v>
      </c>
    </row>
    <row r="65" spans="1:3" ht="42.75">
      <c r="A65" s="60" t="s">
        <v>93</v>
      </c>
      <c r="B65" s="32" t="s">
        <v>239</v>
      </c>
      <c r="C65" s="33">
        <f>[7]С2!F22</f>
        <v>35717.748653137714</v>
      </c>
    </row>
    <row r="66" spans="1:3" ht="30">
      <c r="A66" s="60" t="s">
        <v>95</v>
      </c>
      <c r="B66" s="61" t="s">
        <v>240</v>
      </c>
      <c r="C66" s="33">
        <f>[7]С2!F23</f>
        <v>1990</v>
      </c>
    </row>
    <row r="67" spans="1:3" ht="30">
      <c r="A67" s="60" t="s">
        <v>97</v>
      </c>
      <c r="B67" s="53" t="s">
        <v>98</v>
      </c>
      <c r="C67" s="33">
        <f>[7]С2.1!E27</f>
        <v>14307.876789999998</v>
      </c>
    </row>
    <row r="68" spans="1:3" ht="38.25">
      <c r="A68" s="60" t="s">
        <v>99</v>
      </c>
      <c r="B68" s="68" t="s">
        <v>100</v>
      </c>
      <c r="C68" s="52">
        <f>[7]С2.3!E21</f>
        <v>0</v>
      </c>
    </row>
    <row r="69" spans="1:3" ht="25.5">
      <c r="A69" s="60" t="s">
        <v>101</v>
      </c>
      <c r="B69" s="69" t="s">
        <v>102</v>
      </c>
      <c r="C69" s="70">
        <f>[7]С2.3!E11</f>
        <v>9.89</v>
      </c>
    </row>
    <row r="70" spans="1:3" ht="25.5">
      <c r="A70" s="60" t="s">
        <v>103</v>
      </c>
      <c r="B70" s="69" t="s">
        <v>104</v>
      </c>
      <c r="C70" s="65">
        <f>[7]С2.3!E13</f>
        <v>300</v>
      </c>
    </row>
    <row r="71" spans="1:3" ht="25.5">
      <c r="A71" s="60" t="s">
        <v>105</v>
      </c>
      <c r="B71" s="68" t="s">
        <v>106</v>
      </c>
      <c r="C71" s="71">
        <f>IF([7]С2.3!E22&gt;0,[7]С2.3!E22,[7]С2.3!E14)</f>
        <v>61211</v>
      </c>
    </row>
    <row r="72" spans="1:3" ht="38.25">
      <c r="A72" s="60" t="s">
        <v>107</v>
      </c>
      <c r="B72" s="68" t="s">
        <v>108</v>
      </c>
      <c r="C72" s="71">
        <f>IF([7]С2.3!E23&gt;0,[7]С2.3!E23,[7]С2.3!E15)</f>
        <v>45675</v>
      </c>
    </row>
    <row r="73" spans="1:3" ht="30">
      <c r="A73" s="60" t="s">
        <v>109</v>
      </c>
      <c r="B73" s="53" t="s">
        <v>110</v>
      </c>
      <c r="C73" s="33">
        <f>[7]С2.1!E28</f>
        <v>9541.9567200000001</v>
      </c>
    </row>
    <row r="74" spans="1:3" ht="38.25">
      <c r="A74" s="60" t="s">
        <v>111</v>
      </c>
      <c r="B74" s="68" t="s">
        <v>112</v>
      </c>
      <c r="C74" s="52">
        <f>[7]С2.3!E25</f>
        <v>0</v>
      </c>
    </row>
    <row r="75" spans="1:3" ht="25.5">
      <c r="A75" s="60" t="s">
        <v>113</v>
      </c>
      <c r="B75" s="69" t="s">
        <v>114</v>
      </c>
      <c r="C75" s="70">
        <f>[7]С2.3!E12</f>
        <v>0.56000000000000005</v>
      </c>
    </row>
    <row r="76" spans="1:3" ht="25.5">
      <c r="A76" s="60" t="s">
        <v>115</v>
      </c>
      <c r="B76" s="69" t="s">
        <v>104</v>
      </c>
      <c r="C76" s="65">
        <f>[7]С2.3!E13</f>
        <v>300</v>
      </c>
    </row>
    <row r="77" spans="1:3" ht="25.5">
      <c r="A77" s="60" t="s">
        <v>116</v>
      </c>
      <c r="B77" s="72" t="s">
        <v>117</v>
      </c>
      <c r="C77" s="71">
        <f>IF([7]С2.3!E26&gt;0,[7]С2.3!E26,[7]С2.3!E16)</f>
        <v>65637</v>
      </c>
    </row>
    <row r="78" spans="1:3" ht="38.25">
      <c r="A78" s="60" t="s">
        <v>118</v>
      </c>
      <c r="B78" s="72" t="s">
        <v>119</v>
      </c>
      <c r="C78" s="71">
        <f>IF([7]С2.3!E27&gt;0,[7]С2.3!E27,[7]С2.3!E17)</f>
        <v>31684</v>
      </c>
    </row>
    <row r="79" spans="1:3" ht="17.25">
      <c r="A79" s="60" t="s">
        <v>122</v>
      </c>
      <c r="B79" s="32" t="s">
        <v>123</v>
      </c>
      <c r="C79" s="35">
        <f>[7]С2!F29</f>
        <v>0.128978033685065</v>
      </c>
    </row>
    <row r="80" spans="1:3" ht="30">
      <c r="A80" s="60" t="s">
        <v>124</v>
      </c>
      <c r="B80" s="53" t="s">
        <v>125</v>
      </c>
      <c r="C80" s="73">
        <f>[7]С2!F30</f>
        <v>0.11668498168498169</v>
      </c>
    </row>
    <row r="81" spans="1:3" ht="17.25">
      <c r="A81" s="60" t="s">
        <v>126</v>
      </c>
      <c r="B81" s="74" t="s">
        <v>127</v>
      </c>
      <c r="C81" s="35">
        <f>[7]С2!F31</f>
        <v>0.13880000000000001</v>
      </c>
    </row>
    <row r="82" spans="1:3" s="66" customFormat="1" ht="18" thickBot="1">
      <c r="A82" s="75" t="s">
        <v>128</v>
      </c>
      <c r="B82" s="76" t="s">
        <v>129</v>
      </c>
      <c r="C82" s="77">
        <f>[7]С2!F32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[7]С3!F14</f>
        <v>7018.8643800822501</v>
      </c>
    </row>
    <row r="86" spans="1:3" s="66" customFormat="1" ht="42.75">
      <c r="A86" s="79" t="s">
        <v>134</v>
      </c>
      <c r="B86" s="53" t="s">
        <v>135</v>
      </c>
      <c r="C86" s="80">
        <f>[7]С3!F15</f>
        <v>0.2</v>
      </c>
    </row>
    <row r="87" spans="1:3" s="66" customFormat="1" ht="14.25">
      <c r="A87" s="79" t="s">
        <v>136</v>
      </c>
      <c r="B87" s="81" t="s">
        <v>137</v>
      </c>
      <c r="C87" s="65">
        <f>[7]С3!F18</f>
        <v>15</v>
      </c>
    </row>
    <row r="88" spans="1:3" s="66" customFormat="1" ht="17.25">
      <c r="A88" s="79" t="s">
        <v>138</v>
      </c>
      <c r="B88" s="32" t="s">
        <v>139</v>
      </c>
      <c r="C88" s="33">
        <f>[7]С3!F19</f>
        <v>3487.1555421534131</v>
      </c>
    </row>
    <row r="89" spans="1:3" s="66" customFormat="1" ht="55.5">
      <c r="A89" s="79" t="s">
        <v>140</v>
      </c>
      <c r="B89" s="53" t="s">
        <v>141</v>
      </c>
      <c r="C89" s="82">
        <f>[7]С3!F20</f>
        <v>2.1999999999999999E-2</v>
      </c>
    </row>
    <row r="90" spans="1:3" s="66" customFormat="1" ht="14.25">
      <c r="A90" s="79" t="s">
        <v>142</v>
      </c>
      <c r="B90" s="59" t="s">
        <v>86</v>
      </c>
      <c r="C90" s="65">
        <f>[7]С3!F21</f>
        <v>10</v>
      </c>
    </row>
    <row r="91" spans="1:3" s="66" customFormat="1" ht="17.25">
      <c r="A91" s="79" t="s">
        <v>143</v>
      </c>
      <c r="B91" s="32" t="s">
        <v>144</v>
      </c>
      <c r="C91" s="33">
        <f>[7]С3!F22</f>
        <v>4.7105407613583932</v>
      </c>
    </row>
    <row r="92" spans="1:3" s="66" customFormat="1" ht="55.5">
      <c r="A92" s="79" t="s">
        <v>145</v>
      </c>
      <c r="B92" s="53" t="s">
        <v>146</v>
      </c>
      <c r="C92" s="82">
        <f>[7]С3!F23</f>
        <v>3.0000000000000001E-3</v>
      </c>
    </row>
    <row r="93" spans="1:3" s="66" customFormat="1" ht="27.75" thickBot="1">
      <c r="A93" s="83" t="s">
        <v>147</v>
      </c>
      <c r="B93" s="84" t="s">
        <v>241</v>
      </c>
      <c r="C93" s="85">
        <f>[7]С3!F24</f>
        <v>1570.1802537861311</v>
      </c>
    </row>
    <row r="94" spans="1:3" ht="13.5" thickBot="1">
      <c r="A94" s="48"/>
      <c r="B94" s="49"/>
      <c r="C94" s="14"/>
    </row>
    <row r="95" spans="1:3" ht="30" customHeight="1">
      <c r="A95" s="86" t="s">
        <v>148</v>
      </c>
      <c r="B95" s="142" t="s">
        <v>149</v>
      </c>
      <c r="C95" s="142"/>
    </row>
    <row r="96" spans="1:3" ht="30">
      <c r="A96" s="60" t="s">
        <v>150</v>
      </c>
      <c r="B96" s="32" t="s">
        <v>242</v>
      </c>
      <c r="C96" s="33">
        <f>[7]С4!F16</f>
        <v>1652.5</v>
      </c>
    </row>
    <row r="97" spans="1:3" ht="30">
      <c r="A97" s="60" t="s">
        <v>152</v>
      </c>
      <c r="B97" s="59" t="s">
        <v>243</v>
      </c>
      <c r="C97" s="33">
        <f>[7]С4!F17</f>
        <v>73547</v>
      </c>
    </row>
    <row r="98" spans="1:3" ht="17.25">
      <c r="A98" s="60" t="s">
        <v>154</v>
      </c>
      <c r="B98" s="59" t="s">
        <v>155</v>
      </c>
      <c r="C98" s="41">
        <f>[7]С4!F18</f>
        <v>0.02</v>
      </c>
    </row>
    <row r="99" spans="1:3" ht="30">
      <c r="A99" s="60" t="s">
        <v>156</v>
      </c>
      <c r="B99" s="59" t="s">
        <v>157</v>
      </c>
      <c r="C99" s="33">
        <f>[7]С4!F19</f>
        <v>12104</v>
      </c>
    </row>
    <row r="100" spans="1:3" ht="31.5">
      <c r="A100" s="60" t="s">
        <v>158</v>
      </c>
      <c r="B100" s="59" t="s">
        <v>159</v>
      </c>
      <c r="C100" s="41">
        <f>[7]С4!F20</f>
        <v>1.4999999999999999E-2</v>
      </c>
    </row>
    <row r="101" spans="1:3" ht="30">
      <c r="A101" s="60" t="s">
        <v>160</v>
      </c>
      <c r="B101" s="32" t="s">
        <v>244</v>
      </c>
      <c r="C101" s="33">
        <f>[7]С4!F21</f>
        <v>1933.1949342509995</v>
      </c>
    </row>
    <row r="102" spans="1:3" ht="24" customHeight="1">
      <c r="A102" s="60" t="s">
        <v>162</v>
      </c>
      <c r="B102" s="53" t="s">
        <v>163</v>
      </c>
      <c r="C102" s="34">
        <f>IF([7]С4.2!F8="да",[7]С4.2!D21,[7]С4.2!D15)</f>
        <v>0</v>
      </c>
    </row>
    <row r="103" spans="1:3" ht="68.25">
      <c r="A103" s="60" t="s">
        <v>164</v>
      </c>
      <c r="B103" s="53" t="s">
        <v>165</v>
      </c>
      <c r="C103" s="33">
        <f>[7]С4!F22</f>
        <v>3.6112641666666665</v>
      </c>
    </row>
    <row r="104" spans="1:3" ht="30">
      <c r="A104" s="60" t="s">
        <v>166</v>
      </c>
      <c r="B104" s="59" t="s">
        <v>245</v>
      </c>
      <c r="C104" s="33">
        <f>[7]С4!F23</f>
        <v>180</v>
      </c>
    </row>
    <row r="105" spans="1:3" ht="14.25">
      <c r="A105" s="60" t="s">
        <v>168</v>
      </c>
      <c r="B105" s="53" t="s">
        <v>169</v>
      </c>
      <c r="C105" s="33">
        <f>[7]С4!F24</f>
        <v>8497.1999999999989</v>
      </c>
    </row>
    <row r="106" spans="1:3" ht="14.25">
      <c r="A106" s="60" t="s">
        <v>170</v>
      </c>
      <c r="B106" s="59" t="s">
        <v>171</v>
      </c>
      <c r="C106" s="41">
        <f>[7]С4!F25</f>
        <v>0.35</v>
      </c>
    </row>
    <row r="107" spans="1:3" ht="17.25">
      <c r="A107" s="60" t="s">
        <v>172</v>
      </c>
      <c r="B107" s="32" t="s">
        <v>173</v>
      </c>
      <c r="C107" s="33">
        <f>[7]С4!F26</f>
        <v>86.552340000000015</v>
      </c>
    </row>
    <row r="108" spans="1:3" ht="25.5">
      <c r="A108" s="60" t="s">
        <v>174</v>
      </c>
      <c r="B108" s="53" t="s">
        <v>100</v>
      </c>
      <c r="C108" s="34">
        <f>[7]С4.3!E16</f>
        <v>0</v>
      </c>
    </row>
    <row r="109" spans="1:3" ht="25.5">
      <c r="A109" s="60" t="s">
        <v>175</v>
      </c>
      <c r="B109" s="53" t="s">
        <v>176</v>
      </c>
      <c r="C109" s="33">
        <f>[7]С4.3!E17</f>
        <v>23.78</v>
      </c>
    </row>
    <row r="110" spans="1:3" ht="38.25">
      <c r="A110" s="60" t="s">
        <v>177</v>
      </c>
      <c r="B110" s="53" t="s">
        <v>112</v>
      </c>
      <c r="C110" s="34">
        <f>[7]С4.3!E18</f>
        <v>0</v>
      </c>
    </row>
    <row r="111" spans="1:3">
      <c r="A111" s="60" t="s">
        <v>178</v>
      </c>
      <c r="B111" s="53" t="s">
        <v>179</v>
      </c>
      <c r="C111" s="33">
        <f>[7]С4.3!E19</f>
        <v>15.47</v>
      </c>
    </row>
    <row r="112" spans="1:3">
      <c r="A112" s="60" t="s">
        <v>180</v>
      </c>
      <c r="B112" s="59" t="s">
        <v>181</v>
      </c>
      <c r="C112" s="33">
        <f>[7]С4.3!E11</f>
        <v>1871</v>
      </c>
    </row>
    <row r="113" spans="1:3">
      <c r="A113" s="60" t="s">
        <v>182</v>
      </c>
      <c r="B113" s="59" t="s">
        <v>183</v>
      </c>
      <c r="C113" s="52">
        <f>[7]С4.3!E12</f>
        <v>1636</v>
      </c>
    </row>
    <row r="114" spans="1:3">
      <c r="A114" s="60" t="s">
        <v>184</v>
      </c>
      <c r="B114" s="59" t="s">
        <v>185</v>
      </c>
      <c r="C114" s="52">
        <f>[7]С4.3!E13</f>
        <v>204</v>
      </c>
    </row>
    <row r="115" spans="1:3" ht="30">
      <c r="A115" s="60" t="s">
        <v>186</v>
      </c>
      <c r="B115" s="32" t="s">
        <v>246</v>
      </c>
      <c r="C115" s="33">
        <f>[7]С4!F27</f>
        <v>1467.2629458895778</v>
      </c>
    </row>
    <row r="116" spans="1:3" ht="25.5">
      <c r="A116" s="60" t="s">
        <v>188</v>
      </c>
      <c r="B116" s="53" t="s">
        <v>247</v>
      </c>
      <c r="C116" s="33">
        <f>[7]С4!F28</f>
        <v>1126.9300659674177</v>
      </c>
    </row>
    <row r="117" spans="1:3" ht="42.75">
      <c r="A117" s="60" t="s">
        <v>190</v>
      </c>
      <c r="B117" s="53" t="s">
        <v>191</v>
      </c>
      <c r="C117" s="33">
        <f>[7]С4!F29</f>
        <v>340.33287992216015</v>
      </c>
    </row>
    <row r="118" spans="1:3" ht="30">
      <c r="A118" s="60" t="s">
        <v>192</v>
      </c>
      <c r="B118" s="40" t="s">
        <v>193</v>
      </c>
      <c r="C118" s="33">
        <f>[7]С4!F30</f>
        <v>2011.9351883883214</v>
      </c>
    </row>
    <row r="119" spans="1:3" ht="42.75">
      <c r="A119" s="60" t="s">
        <v>248</v>
      </c>
      <c r="B119" s="90" t="s">
        <v>249</v>
      </c>
      <c r="C119" s="33">
        <f>[7]С4!F33</f>
        <v>1264.7982368924493</v>
      </c>
    </row>
    <row r="120" spans="1:3" ht="30">
      <c r="A120" s="60" t="s">
        <v>250</v>
      </c>
      <c r="B120" s="123" t="s">
        <v>251</v>
      </c>
      <c r="C120" s="33">
        <f>[7]С4!F35</f>
        <v>17.040680999999999</v>
      </c>
    </row>
    <row r="121" spans="1:3" ht="14.25">
      <c r="A121" s="60" t="s">
        <v>252</v>
      </c>
      <c r="B121" s="56" t="s">
        <v>253</v>
      </c>
      <c r="C121" s="33">
        <f>[7]С4!F36</f>
        <v>14319.9</v>
      </c>
    </row>
    <row r="122" spans="1:3" ht="28.5" thickBot="1">
      <c r="A122" s="75" t="s">
        <v>254</v>
      </c>
      <c r="B122" s="124" t="s">
        <v>255</v>
      </c>
      <c r="C122" s="85">
        <f>[7]С4!F37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[7]С5!F17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[7]С2!F37</f>
        <v>20.818139999999996</v>
      </c>
    </row>
    <row r="136" spans="1:3" ht="14.25">
      <c r="A136" s="60" t="s">
        <v>214</v>
      </c>
      <c r="B136" s="130" t="s">
        <v>215</v>
      </c>
      <c r="C136" s="33">
        <f>[7]С2!F38</f>
        <v>7</v>
      </c>
    </row>
    <row r="137" spans="1:3" ht="17.25">
      <c r="A137" s="60" t="s">
        <v>216</v>
      </c>
      <c r="B137" s="130" t="s">
        <v>217</v>
      </c>
      <c r="C137" s="33">
        <f>[7]С2!F40</f>
        <v>0.97</v>
      </c>
    </row>
    <row r="138" spans="1:3" ht="15" thickBot="1">
      <c r="A138" s="75" t="s">
        <v>218</v>
      </c>
      <c r="B138" s="131" t="s">
        <v>219</v>
      </c>
      <c r="C138" s="47">
        <f>[7]С2!F42</f>
        <v>0.35</v>
      </c>
    </row>
    <row r="139" spans="1:3" s="88" customFormat="1" ht="13.5" thickBot="1">
      <c r="A139" s="48"/>
      <c r="B139" s="49"/>
      <c r="C139" s="14"/>
    </row>
    <row r="140" spans="1:3" ht="30">
      <c r="A140" s="86" t="s">
        <v>220</v>
      </c>
      <c r="B140" s="96" t="s">
        <v>258</v>
      </c>
      <c r="C140" s="132">
        <f>[7]С2!F35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[7]С2.5!$E$11</f>
        <v>-2.9000000000000026E-2</v>
      </c>
    </row>
    <row r="144" spans="1:3">
      <c r="A144" s="99"/>
      <c r="B144" s="106">
        <f>B143+1</f>
        <v>2021</v>
      </c>
      <c r="C144" s="137">
        <f>[7]С2.5!$F$11</f>
        <v>0.245</v>
      </c>
    </row>
    <row r="145" spans="1:3">
      <c r="A145" s="99"/>
      <c r="B145" s="106">
        <f t="shared" ref="B145:B208" si="0">B144+1</f>
        <v>2022</v>
      </c>
      <c r="C145" s="137">
        <f>[7]С2.5!$G$11</f>
        <v>0.121</v>
      </c>
    </row>
    <row r="146" spans="1:3" ht="13.5" thickBot="1">
      <c r="A146" s="99"/>
      <c r="B146" s="108">
        <f t="shared" si="0"/>
        <v>2023</v>
      </c>
      <c r="C146" s="138">
        <f>[7]С2.5!$H$11</f>
        <v>0.02</v>
      </c>
    </row>
    <row r="147" spans="1:3" hidden="1">
      <c r="A147" s="99"/>
      <c r="B147" s="139">
        <f t="shared" si="0"/>
        <v>2024</v>
      </c>
      <c r="C147" s="140">
        <f>[7]С2.5!$I$11</f>
        <v>-2.93E-2</v>
      </c>
    </row>
    <row r="148" spans="1:3" hidden="1">
      <c r="A148" s="99"/>
      <c r="B148" s="106">
        <f t="shared" si="0"/>
        <v>2025</v>
      </c>
      <c r="C148" s="137">
        <f>[7]С2.5!$J$11</f>
        <v>0.21215960863291</v>
      </c>
    </row>
    <row r="149" spans="1:3" hidden="1">
      <c r="A149" s="99"/>
      <c r="B149" s="106">
        <f t="shared" si="0"/>
        <v>2026</v>
      </c>
      <c r="C149" s="137">
        <f>[7]С2.5!$K$11</f>
        <v>3.5813361771260002E-2</v>
      </c>
    </row>
    <row r="150" spans="1:3" hidden="1">
      <c r="A150" s="99"/>
      <c r="B150" s="106">
        <f t="shared" si="0"/>
        <v>2027</v>
      </c>
      <c r="C150" s="137">
        <f>[7]С2.5!$L$11</f>
        <v>3.2682303599220003E-2</v>
      </c>
    </row>
    <row r="151" spans="1:3" hidden="1">
      <c r="A151" s="99"/>
      <c r="B151" s="106">
        <f t="shared" si="0"/>
        <v>2028</v>
      </c>
      <c r="C151" s="137">
        <f>[7]С2.5!$M$11</f>
        <v>0</v>
      </c>
    </row>
    <row r="152" spans="1:3" hidden="1">
      <c r="A152" s="99"/>
      <c r="B152" s="106">
        <f t="shared" si="0"/>
        <v>2029</v>
      </c>
      <c r="C152" s="137">
        <f>[7]С2.5!$N$11</f>
        <v>0</v>
      </c>
    </row>
    <row r="153" spans="1:3" hidden="1">
      <c r="A153" s="99"/>
      <c r="B153" s="106">
        <f t="shared" si="0"/>
        <v>2030</v>
      </c>
      <c r="C153" s="137">
        <f>[7]С2.5!$O$11</f>
        <v>0</v>
      </c>
    </row>
    <row r="154" spans="1:3" hidden="1">
      <c r="A154" s="99"/>
      <c r="B154" s="106">
        <f t="shared" si="0"/>
        <v>2031</v>
      </c>
      <c r="C154" s="137">
        <f>[7]С2.5!$P$11</f>
        <v>0</v>
      </c>
    </row>
    <row r="155" spans="1:3" hidden="1">
      <c r="A155" s="88"/>
      <c r="B155" s="106">
        <f t="shared" si="0"/>
        <v>2032</v>
      </c>
      <c r="C155" s="137">
        <f>[7]С2.5!$Q$11</f>
        <v>0</v>
      </c>
    </row>
    <row r="156" spans="1:3" hidden="1">
      <c r="A156" s="88"/>
      <c r="B156" s="106">
        <f t="shared" si="0"/>
        <v>2033</v>
      </c>
      <c r="C156" s="137">
        <f>[7]С2.5!$R$11</f>
        <v>0</v>
      </c>
    </row>
    <row r="157" spans="1:3" hidden="1">
      <c r="B157" s="106">
        <f t="shared" si="0"/>
        <v>2034</v>
      </c>
      <c r="C157" s="137">
        <f>[7]С2.5!$S$11</f>
        <v>0</v>
      </c>
    </row>
    <row r="158" spans="1:3" hidden="1">
      <c r="B158" s="106">
        <f t="shared" si="0"/>
        <v>2035</v>
      </c>
      <c r="C158" s="137">
        <f>[7]С2.5!$T$11</f>
        <v>0</v>
      </c>
    </row>
    <row r="159" spans="1:3" hidden="1">
      <c r="B159" s="106">
        <f t="shared" si="0"/>
        <v>2036</v>
      </c>
      <c r="C159" s="137">
        <f>[7]С2.5!$U$11</f>
        <v>0</v>
      </c>
    </row>
    <row r="160" spans="1:3" hidden="1">
      <c r="B160" s="106">
        <f t="shared" si="0"/>
        <v>2037</v>
      </c>
      <c r="C160" s="137">
        <f>[7]С2.5!$V$11</f>
        <v>0</v>
      </c>
    </row>
    <row r="161" spans="2:3" hidden="1">
      <c r="B161" s="106">
        <f t="shared" si="0"/>
        <v>2038</v>
      </c>
      <c r="C161" s="137">
        <f>[7]С2.5!$W$11</f>
        <v>0</v>
      </c>
    </row>
    <row r="162" spans="2:3" hidden="1">
      <c r="B162" s="106">
        <f t="shared" si="0"/>
        <v>2039</v>
      </c>
      <c r="C162" s="137">
        <f>[7]С2.5!$X$11</f>
        <v>0</v>
      </c>
    </row>
    <row r="163" spans="2:3" hidden="1">
      <c r="B163" s="106">
        <f t="shared" si="0"/>
        <v>2040</v>
      </c>
      <c r="C163" s="137">
        <f>[7]С2.5!$Y$11</f>
        <v>0</v>
      </c>
    </row>
    <row r="164" spans="2:3" hidden="1">
      <c r="B164" s="106">
        <f t="shared" si="0"/>
        <v>2041</v>
      </c>
      <c r="C164" s="137">
        <f>[7]С2.5!$Z$11</f>
        <v>0</v>
      </c>
    </row>
    <row r="165" spans="2:3" hidden="1">
      <c r="B165" s="106">
        <f t="shared" si="0"/>
        <v>2042</v>
      </c>
      <c r="C165" s="137">
        <f>[7]С2.5!$AA$11</f>
        <v>0</v>
      </c>
    </row>
    <row r="166" spans="2:3" hidden="1">
      <c r="B166" s="106">
        <f t="shared" si="0"/>
        <v>2043</v>
      </c>
      <c r="C166" s="137">
        <f>[7]С2.5!$AB$11</f>
        <v>0</v>
      </c>
    </row>
    <row r="167" spans="2:3" hidden="1">
      <c r="B167" s="106">
        <f t="shared" si="0"/>
        <v>2044</v>
      </c>
      <c r="C167" s="137">
        <f>[7]С2.5!$AC$11</f>
        <v>0</v>
      </c>
    </row>
    <row r="168" spans="2:3" hidden="1">
      <c r="B168" s="106">
        <f t="shared" si="0"/>
        <v>2045</v>
      </c>
      <c r="C168" s="137">
        <f>[7]С2.5!$AD$11</f>
        <v>0</v>
      </c>
    </row>
    <row r="169" spans="2:3" hidden="1">
      <c r="B169" s="106">
        <f t="shared" si="0"/>
        <v>2046</v>
      </c>
      <c r="C169" s="137">
        <f>[7]С2.5!$AE$11</f>
        <v>0</v>
      </c>
    </row>
    <row r="170" spans="2:3" hidden="1">
      <c r="B170" s="106">
        <f t="shared" si="0"/>
        <v>2047</v>
      </c>
      <c r="C170" s="137">
        <f>[7]С2.5!$AF$11</f>
        <v>0</v>
      </c>
    </row>
    <row r="171" spans="2:3" hidden="1">
      <c r="B171" s="106">
        <f t="shared" si="0"/>
        <v>2048</v>
      </c>
      <c r="C171" s="137">
        <f>[7]С2.5!$AG$11</f>
        <v>0</v>
      </c>
    </row>
    <row r="172" spans="2:3" hidden="1">
      <c r="B172" s="106">
        <f t="shared" si="0"/>
        <v>2049</v>
      </c>
      <c r="C172" s="137">
        <f>[7]С2.5!$AH$11</f>
        <v>0</v>
      </c>
    </row>
    <row r="173" spans="2:3" hidden="1">
      <c r="B173" s="106">
        <f t="shared" si="0"/>
        <v>2050</v>
      </c>
      <c r="C173" s="137">
        <f>[7]С2.5!$AI$11</f>
        <v>0</v>
      </c>
    </row>
    <row r="174" spans="2:3" hidden="1">
      <c r="B174" s="106">
        <f t="shared" si="0"/>
        <v>2051</v>
      </c>
      <c r="C174" s="137">
        <f>[7]С2.5!$AJ$11</f>
        <v>0</v>
      </c>
    </row>
    <row r="175" spans="2:3" hidden="1">
      <c r="B175" s="106">
        <f t="shared" si="0"/>
        <v>2052</v>
      </c>
      <c r="C175" s="137">
        <f>[7]С2.5!$AK$11</f>
        <v>0</v>
      </c>
    </row>
    <row r="176" spans="2:3" hidden="1">
      <c r="B176" s="106">
        <f t="shared" si="0"/>
        <v>2053</v>
      </c>
      <c r="C176" s="137">
        <f>[7]С2.5!$AL$11</f>
        <v>0</v>
      </c>
    </row>
    <row r="177" spans="2:3" hidden="1">
      <c r="B177" s="106">
        <f t="shared" si="0"/>
        <v>2054</v>
      </c>
      <c r="C177" s="137">
        <f>[7]С2.5!$AM$11</f>
        <v>0</v>
      </c>
    </row>
    <row r="178" spans="2:3" hidden="1">
      <c r="B178" s="106">
        <f t="shared" si="0"/>
        <v>2055</v>
      </c>
      <c r="C178" s="137">
        <f>[7]С2.5!$AN$11</f>
        <v>0</v>
      </c>
    </row>
    <row r="179" spans="2:3" hidden="1">
      <c r="B179" s="106">
        <f t="shared" si="0"/>
        <v>2056</v>
      </c>
      <c r="C179" s="137">
        <f>[7]С2.5!$AO$11</f>
        <v>0</v>
      </c>
    </row>
    <row r="180" spans="2:3" hidden="1">
      <c r="B180" s="106">
        <f t="shared" si="0"/>
        <v>2057</v>
      </c>
      <c r="C180" s="137">
        <f>[7]С2.5!$AP$11</f>
        <v>0</v>
      </c>
    </row>
    <row r="181" spans="2:3" hidden="1">
      <c r="B181" s="106">
        <f t="shared" si="0"/>
        <v>2058</v>
      </c>
      <c r="C181" s="137">
        <f>[7]С2.5!$AQ$11</f>
        <v>0</v>
      </c>
    </row>
    <row r="182" spans="2:3" hidden="1">
      <c r="B182" s="106">
        <f t="shared" si="0"/>
        <v>2059</v>
      </c>
      <c r="C182" s="137">
        <f>[7]С2.5!$AR$11</f>
        <v>0</v>
      </c>
    </row>
    <row r="183" spans="2:3" hidden="1">
      <c r="B183" s="106">
        <f t="shared" si="0"/>
        <v>2060</v>
      </c>
      <c r="C183" s="137">
        <f>[7]С2.5!$AS$11</f>
        <v>0</v>
      </c>
    </row>
    <row r="184" spans="2:3" hidden="1">
      <c r="B184" s="106">
        <f t="shared" si="0"/>
        <v>2061</v>
      </c>
      <c r="C184" s="137">
        <f>[7]С2.5!$AT$11</f>
        <v>0</v>
      </c>
    </row>
    <row r="185" spans="2:3" hidden="1">
      <c r="B185" s="106">
        <f t="shared" si="0"/>
        <v>2062</v>
      </c>
      <c r="C185" s="137">
        <f>[7]С2.5!$AU$11</f>
        <v>0</v>
      </c>
    </row>
    <row r="186" spans="2:3" hidden="1">
      <c r="B186" s="106">
        <f t="shared" si="0"/>
        <v>2063</v>
      </c>
      <c r="C186" s="137">
        <f>[7]С2.5!$AV$11</f>
        <v>0</v>
      </c>
    </row>
    <row r="187" spans="2:3" hidden="1">
      <c r="B187" s="106">
        <f t="shared" si="0"/>
        <v>2064</v>
      </c>
      <c r="C187" s="137">
        <f>[7]С2.5!$AW$11</f>
        <v>0</v>
      </c>
    </row>
    <row r="188" spans="2:3" hidden="1">
      <c r="B188" s="106">
        <f t="shared" si="0"/>
        <v>2065</v>
      </c>
      <c r="C188" s="137">
        <f>[7]С2.5!$AX$11</f>
        <v>0</v>
      </c>
    </row>
    <row r="189" spans="2:3" hidden="1">
      <c r="B189" s="106">
        <f t="shared" si="0"/>
        <v>2066</v>
      </c>
      <c r="C189" s="137">
        <f>[7]С2.5!$AY$11</f>
        <v>0</v>
      </c>
    </row>
    <row r="190" spans="2:3" hidden="1">
      <c r="B190" s="106">
        <f t="shared" si="0"/>
        <v>2067</v>
      </c>
      <c r="C190" s="137">
        <f>[7]С2.5!$AZ$11</f>
        <v>0</v>
      </c>
    </row>
    <row r="191" spans="2:3" hidden="1">
      <c r="B191" s="106">
        <f t="shared" si="0"/>
        <v>2068</v>
      </c>
      <c r="C191" s="137">
        <f>[7]С2.5!$BA$11</f>
        <v>0</v>
      </c>
    </row>
    <row r="192" spans="2:3" hidden="1">
      <c r="B192" s="106">
        <f t="shared" si="0"/>
        <v>2069</v>
      </c>
      <c r="C192" s="137">
        <f>[7]С2.5!$BB$11</f>
        <v>0</v>
      </c>
    </row>
    <row r="193" spans="2:3" hidden="1">
      <c r="B193" s="106">
        <f t="shared" si="0"/>
        <v>2070</v>
      </c>
      <c r="C193" s="137">
        <f>[7]С2.5!$BC$11</f>
        <v>0</v>
      </c>
    </row>
    <row r="194" spans="2:3" hidden="1">
      <c r="B194" s="106">
        <f t="shared" si="0"/>
        <v>2071</v>
      </c>
      <c r="C194" s="137">
        <f>[7]С2.5!$BD$11</f>
        <v>0</v>
      </c>
    </row>
    <row r="195" spans="2:3" hidden="1">
      <c r="B195" s="106">
        <f t="shared" si="0"/>
        <v>2072</v>
      </c>
      <c r="C195" s="137">
        <f>[7]С2.5!$BE$11</f>
        <v>0</v>
      </c>
    </row>
    <row r="196" spans="2:3" hidden="1">
      <c r="B196" s="106">
        <f t="shared" si="0"/>
        <v>2073</v>
      </c>
      <c r="C196" s="137">
        <f>[7]С2.5!$BF$11</f>
        <v>0</v>
      </c>
    </row>
    <row r="197" spans="2:3" hidden="1">
      <c r="B197" s="106">
        <f t="shared" si="0"/>
        <v>2074</v>
      </c>
      <c r="C197" s="137">
        <f>[7]С2.5!$BG$11</f>
        <v>0</v>
      </c>
    </row>
    <row r="198" spans="2:3" hidden="1">
      <c r="B198" s="106">
        <f t="shared" si="0"/>
        <v>2075</v>
      </c>
      <c r="C198" s="137">
        <f>[7]С2.5!$BH$11</f>
        <v>0</v>
      </c>
    </row>
    <row r="199" spans="2:3" hidden="1">
      <c r="B199" s="106">
        <f t="shared" si="0"/>
        <v>2076</v>
      </c>
      <c r="C199" s="137">
        <f>[7]С2.5!$BI$11</f>
        <v>0</v>
      </c>
    </row>
    <row r="200" spans="2:3" hidden="1">
      <c r="B200" s="106">
        <f t="shared" si="0"/>
        <v>2077</v>
      </c>
      <c r="C200" s="137">
        <f>[7]С2.5!$BJ$11</f>
        <v>0</v>
      </c>
    </row>
    <row r="201" spans="2:3" hidden="1">
      <c r="B201" s="106">
        <f t="shared" si="0"/>
        <v>2078</v>
      </c>
      <c r="C201" s="137">
        <f>[7]С2.5!$BK$11</f>
        <v>0</v>
      </c>
    </row>
    <row r="202" spans="2:3" hidden="1">
      <c r="B202" s="106">
        <f t="shared" si="0"/>
        <v>2079</v>
      </c>
      <c r="C202" s="137">
        <f>[7]С2.5!$BL$11</f>
        <v>0</v>
      </c>
    </row>
    <row r="203" spans="2:3" hidden="1">
      <c r="B203" s="106">
        <f t="shared" si="0"/>
        <v>2080</v>
      </c>
      <c r="C203" s="137">
        <f>[7]С2.5!$BM$11</f>
        <v>0</v>
      </c>
    </row>
    <row r="204" spans="2:3" hidden="1">
      <c r="B204" s="106">
        <f t="shared" si="0"/>
        <v>2081</v>
      </c>
      <c r="C204" s="137">
        <f>[7]С2.5!$BN$11</f>
        <v>0</v>
      </c>
    </row>
    <row r="205" spans="2:3" hidden="1">
      <c r="B205" s="106">
        <f t="shared" si="0"/>
        <v>2082</v>
      </c>
      <c r="C205" s="137">
        <f>[7]С2.5!$BO$11</f>
        <v>0</v>
      </c>
    </row>
    <row r="206" spans="2:3" hidden="1">
      <c r="B206" s="106">
        <f t="shared" si="0"/>
        <v>2083</v>
      </c>
      <c r="C206" s="137">
        <f>[7]С2.5!$BP$11</f>
        <v>0</v>
      </c>
    </row>
    <row r="207" spans="2:3" hidden="1">
      <c r="B207" s="106">
        <f t="shared" si="0"/>
        <v>2084</v>
      </c>
      <c r="C207" s="137">
        <f>[7]С2.5!$BQ$11</f>
        <v>0</v>
      </c>
    </row>
    <row r="208" spans="2:3" hidden="1">
      <c r="B208" s="106">
        <f t="shared" si="0"/>
        <v>2085</v>
      </c>
      <c r="C208" s="137">
        <f>[7]С2.5!$BR$11</f>
        <v>0</v>
      </c>
    </row>
    <row r="209" spans="2:3" hidden="1">
      <c r="B209" s="106">
        <f t="shared" ref="B209:B223" si="1">B208+1</f>
        <v>2086</v>
      </c>
      <c r="C209" s="137">
        <f>[7]С2.5!$BS$11</f>
        <v>0</v>
      </c>
    </row>
    <row r="210" spans="2:3" hidden="1">
      <c r="B210" s="106">
        <f t="shared" si="1"/>
        <v>2087</v>
      </c>
      <c r="C210" s="137">
        <f>[7]С2.5!$BT$11</f>
        <v>0</v>
      </c>
    </row>
    <row r="211" spans="2:3" hidden="1">
      <c r="B211" s="106">
        <f t="shared" si="1"/>
        <v>2088</v>
      </c>
      <c r="C211" s="137">
        <f>[7]С2.5!$BU$11</f>
        <v>0</v>
      </c>
    </row>
    <row r="212" spans="2:3" hidden="1">
      <c r="B212" s="106">
        <f t="shared" si="1"/>
        <v>2089</v>
      </c>
      <c r="C212" s="137">
        <f>[7]С2.5!$BV$11</f>
        <v>0</v>
      </c>
    </row>
    <row r="213" spans="2:3" hidden="1">
      <c r="B213" s="106">
        <f t="shared" si="1"/>
        <v>2090</v>
      </c>
      <c r="C213" s="137">
        <f>[7]С2.5!$BW$11</f>
        <v>0</v>
      </c>
    </row>
    <row r="214" spans="2:3" hidden="1">
      <c r="B214" s="106">
        <f t="shared" si="1"/>
        <v>2091</v>
      </c>
      <c r="C214" s="137">
        <f>[7]С2.5!$BX$11</f>
        <v>0</v>
      </c>
    </row>
    <row r="215" spans="2:3" hidden="1">
      <c r="B215" s="106">
        <f t="shared" si="1"/>
        <v>2092</v>
      </c>
      <c r="C215" s="137">
        <f>[7]С2.5!$BY$11</f>
        <v>0</v>
      </c>
    </row>
    <row r="216" spans="2:3" hidden="1">
      <c r="B216" s="106">
        <f t="shared" si="1"/>
        <v>2093</v>
      </c>
      <c r="C216" s="137">
        <f>[7]С2.5!$BZ$11</f>
        <v>0</v>
      </c>
    </row>
    <row r="217" spans="2:3" hidden="1">
      <c r="B217" s="106">
        <f t="shared" si="1"/>
        <v>2094</v>
      </c>
      <c r="C217" s="137">
        <f>[7]С2.5!$CA$11</f>
        <v>0</v>
      </c>
    </row>
    <row r="218" spans="2:3" hidden="1">
      <c r="B218" s="106">
        <f t="shared" si="1"/>
        <v>2095</v>
      </c>
      <c r="C218" s="137">
        <f>[7]С2.5!$CB$11</f>
        <v>0</v>
      </c>
    </row>
    <row r="219" spans="2:3" hidden="1">
      <c r="B219" s="106">
        <f t="shared" si="1"/>
        <v>2096</v>
      </c>
      <c r="C219" s="137">
        <f>[7]С2.5!$CC$11</f>
        <v>0</v>
      </c>
    </row>
    <row r="220" spans="2:3" hidden="1">
      <c r="B220" s="106">
        <f t="shared" si="1"/>
        <v>2097</v>
      </c>
      <c r="C220" s="137">
        <f>[7]С2.5!$CD$11</f>
        <v>0</v>
      </c>
    </row>
    <row r="221" spans="2:3" hidden="1">
      <c r="B221" s="106">
        <f t="shared" si="1"/>
        <v>2098</v>
      </c>
      <c r="C221" s="137">
        <f>[7]С2.5!$CE$11</f>
        <v>0</v>
      </c>
    </row>
    <row r="222" spans="2:3" hidden="1">
      <c r="B222" s="106">
        <f t="shared" si="1"/>
        <v>2099</v>
      </c>
      <c r="C222" s="137">
        <f>[7]С2.5!$CF$11</f>
        <v>0</v>
      </c>
    </row>
    <row r="223" spans="2:3" ht="13.5" hidden="1" thickBot="1">
      <c r="B223" s="108">
        <f t="shared" si="1"/>
        <v>2100</v>
      </c>
      <c r="C223" s="138">
        <f>[7]С2.5!$CG$11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G1048576"/>
    </sheetView>
  </sheetViews>
  <sheetFormatPr defaultRowHeight="12.75"/>
  <cols>
    <col min="1" max="1" width="9.140625" style="2" customWidth="1"/>
    <col min="2" max="2" width="100.5703125" style="2" customWidth="1"/>
    <col min="3" max="3" width="20.85546875" style="6"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[8]И1!D13</f>
        <v>Субъект Российской Федерации</v>
      </c>
      <c r="C4" s="9" t="str">
        <f>[8]И1!E13</f>
        <v>Новосибирская область</v>
      </c>
    </row>
    <row r="5" spans="1:3">
      <c r="A5" s="7"/>
      <c r="B5" s="8" t="str">
        <f>[8]И1!D14</f>
        <v>Тип муниципального образования (выберите из списка)</v>
      </c>
      <c r="C5" s="9" t="str">
        <f>[8]И1!E14</f>
        <v>Калининское МО</v>
      </c>
    </row>
    <row r="6" spans="1:3">
      <c r="A6" s="7"/>
      <c r="B6" s="8" t="str">
        <f>IF([8]И1!E15="","",[8]И1!D15)</f>
        <v/>
      </c>
      <c r="C6" s="9" t="str">
        <f>IF([8]И1!E15="","",[8]И1!E15)</f>
        <v/>
      </c>
    </row>
    <row r="7" spans="1:3">
      <c r="A7" s="7"/>
      <c r="B7" s="8" t="str">
        <f>[8]И1!D16</f>
        <v>Код ОКТМО</v>
      </c>
      <c r="C7" s="10" t="str">
        <f>[8]И1!E16</f>
        <v>50621404101</v>
      </c>
    </row>
    <row r="8" spans="1:3">
      <c r="A8" s="7"/>
      <c r="B8" s="11" t="str">
        <f>[8]И1!D17</f>
        <v>Система теплоснабжения</v>
      </c>
      <c r="C8" s="12">
        <f>[8]И1!E17</f>
        <v>0</v>
      </c>
    </row>
    <row r="9" spans="1:3">
      <c r="A9" s="7"/>
      <c r="B9" s="8" t="str">
        <f>[8]И1!D8</f>
        <v>Период регулирования (i)-й</v>
      </c>
      <c r="C9" s="13">
        <f>[8]И1!E8</f>
        <v>2023</v>
      </c>
    </row>
    <row r="10" spans="1:3">
      <c r="A10" s="7"/>
      <c r="B10" s="8" t="str">
        <f>[8]И1!D9</f>
        <v>Период регулирования (i-1)-й</v>
      </c>
      <c r="C10" s="13">
        <f>[8]И1!E9</f>
        <v>2022</v>
      </c>
    </row>
    <row r="11" spans="1:3">
      <c r="A11" s="7"/>
      <c r="B11" s="8" t="str">
        <f>[8]И1!D10</f>
        <v>Период регулирования (i-2)-й</v>
      </c>
      <c r="C11" s="13">
        <f>[8]И1!E10</f>
        <v>2021</v>
      </c>
    </row>
    <row r="12" spans="1:3">
      <c r="A12" s="7"/>
      <c r="B12" s="8" t="str">
        <f>[8]И1!D11</f>
        <v>Базовый год (б)</v>
      </c>
      <c r="C12" s="13">
        <f>[8]И1!E11</f>
        <v>2019</v>
      </c>
    </row>
    <row r="13" spans="1:3" ht="38.25">
      <c r="A13" s="7"/>
      <c r="B13" s="8" t="str">
        <f>[8]И1!D18</f>
        <v>Вид топлива, использование которого преобладает в системе теплоснабжения</v>
      </c>
      <c r="C13" s="14" t="str">
        <f>[8]С1.1!E13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4024.3516425494709</v>
      </c>
    </row>
    <row r="18" spans="1:3" ht="42.75">
      <c r="A18" s="21" t="s">
        <v>8</v>
      </c>
      <c r="B18" s="24" t="s">
        <v>9</v>
      </c>
      <c r="C18" s="25">
        <f>[8]С1!F12</f>
        <v>891.90184297896326</v>
      </c>
    </row>
    <row r="19" spans="1:3" ht="42.75">
      <c r="A19" s="21" t="s">
        <v>10</v>
      </c>
      <c r="B19" s="24" t="s">
        <v>11</v>
      </c>
      <c r="C19" s="25">
        <f>[8]С2!F12</f>
        <v>2109.9946743617465</v>
      </c>
    </row>
    <row r="20" spans="1:3" ht="30">
      <c r="A20" s="21" t="s">
        <v>12</v>
      </c>
      <c r="B20" s="24" t="s">
        <v>13</v>
      </c>
      <c r="C20" s="25">
        <f>[8]С3!F12</f>
        <v>504.88326349025533</v>
      </c>
    </row>
    <row r="21" spans="1:3" ht="42.75">
      <c r="A21" s="21" t="s">
        <v>14</v>
      </c>
      <c r="B21" s="24" t="s">
        <v>226</v>
      </c>
      <c r="C21" s="25">
        <f>[8]С4!F12</f>
        <v>438.66300598224132</v>
      </c>
    </row>
    <row r="22" spans="1:3" ht="30">
      <c r="A22" s="21" t="s">
        <v>16</v>
      </c>
      <c r="B22" s="24" t="s">
        <v>227</v>
      </c>
      <c r="C22" s="25">
        <f>[8]С5!F12</f>
        <v>78.90885573626413</v>
      </c>
    </row>
    <row r="23" spans="1:3" ht="43.5" thickBot="1">
      <c r="A23" s="26" t="s">
        <v>18</v>
      </c>
      <c r="B23" s="27" t="s">
        <v>228</v>
      </c>
      <c r="C23" s="28" t="str">
        <f>[8]С6!F12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[8]С1.1!E16</f>
        <v>5100</v>
      </c>
    </row>
    <row r="29" spans="1:3" ht="42.75">
      <c r="A29" s="21" t="s">
        <v>10</v>
      </c>
      <c r="B29" s="32" t="s">
        <v>230</v>
      </c>
      <c r="C29" s="33">
        <f>[8]С1.1!E27</f>
        <v>2398.1750000000002</v>
      </c>
    </row>
    <row r="30" spans="1:3" ht="17.25">
      <c r="A30" s="21" t="s">
        <v>12</v>
      </c>
      <c r="B30" s="32" t="s">
        <v>29</v>
      </c>
      <c r="C30" s="35">
        <f>[8]С1.1!E19</f>
        <v>0.59499999999999997</v>
      </c>
    </row>
    <row r="31" spans="1:3" ht="17.25">
      <c r="A31" s="21" t="s">
        <v>14</v>
      </c>
      <c r="B31" s="32" t="s">
        <v>30</v>
      </c>
      <c r="C31" s="35">
        <f>[8]С1.1!E20</f>
        <v>-0.113</v>
      </c>
    </row>
    <row r="32" spans="1:3" ht="30">
      <c r="A32" s="21" t="s">
        <v>16</v>
      </c>
      <c r="B32" s="36" t="s">
        <v>231</v>
      </c>
      <c r="C32" s="119">
        <f>[8]С1!F13</f>
        <v>176.4</v>
      </c>
    </row>
    <row r="33" spans="1:3">
      <c r="A33" s="21" t="s">
        <v>18</v>
      </c>
      <c r="B33" s="36" t="s">
        <v>32</v>
      </c>
      <c r="C33" s="38">
        <f>[8]С1!F16</f>
        <v>7000</v>
      </c>
    </row>
    <row r="34" spans="1:3" ht="14.25">
      <c r="A34" s="21" t="s">
        <v>33</v>
      </c>
      <c r="B34" s="40" t="s">
        <v>232</v>
      </c>
      <c r="C34" s="41">
        <f>[8]С1!F17</f>
        <v>0.72857142857142854</v>
      </c>
    </row>
    <row r="35" spans="1:3" ht="15.75">
      <c r="A35" s="120" t="s">
        <v>35</v>
      </c>
      <c r="B35" s="43" t="s">
        <v>36</v>
      </c>
      <c r="C35" s="41">
        <f>[8]С1!F20</f>
        <v>21.588411179999994</v>
      </c>
    </row>
    <row r="36" spans="1:3" ht="15.75">
      <c r="A36" s="120" t="s">
        <v>37</v>
      </c>
      <c r="B36" s="44" t="s">
        <v>38</v>
      </c>
      <c r="C36" s="41">
        <f>[8]С1!F21</f>
        <v>20.818139999999996</v>
      </c>
    </row>
    <row r="37" spans="1:3" ht="14.25">
      <c r="A37" s="120" t="s">
        <v>39</v>
      </c>
      <c r="B37" s="45" t="s">
        <v>40</v>
      </c>
      <c r="C37" s="41">
        <f>[8]С1!F22</f>
        <v>1.0369999999999999</v>
      </c>
    </row>
    <row r="38" spans="1:3" ht="53.25" thickBot="1">
      <c r="A38" s="26" t="s">
        <v>41</v>
      </c>
      <c r="B38" s="46" t="s">
        <v>42</v>
      </c>
      <c r="C38" s="47">
        <f>[8]С1!F23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[8]С2.1!E12</f>
        <v>V</v>
      </c>
    </row>
    <row r="42" spans="1:3" ht="25.5">
      <c r="A42" s="21" t="s">
        <v>47</v>
      </c>
      <c r="B42" s="32" t="s">
        <v>48</v>
      </c>
      <c r="C42" s="51" t="str">
        <f>[8]С2.1!E13</f>
        <v>6 и менее баллов</v>
      </c>
    </row>
    <row r="43" spans="1:3" ht="25.5">
      <c r="A43" s="21" t="s">
        <v>49</v>
      </c>
      <c r="B43" s="32" t="s">
        <v>233</v>
      </c>
      <c r="C43" s="51" t="str">
        <f>[8]С2.1!E14</f>
        <v>от 200 до 500</v>
      </c>
    </row>
    <row r="44" spans="1:3" ht="25.5">
      <c r="A44" s="21" t="s">
        <v>51</v>
      </c>
      <c r="B44" s="32" t="s">
        <v>234</v>
      </c>
      <c r="C44" s="52" t="str">
        <f>[8]С2.1!E15</f>
        <v>нет</v>
      </c>
    </row>
    <row r="45" spans="1:3" ht="30">
      <c r="A45" s="21" t="s">
        <v>53</v>
      </c>
      <c r="B45" s="32" t="s">
        <v>54</v>
      </c>
      <c r="C45" s="33">
        <f>[8]С2!F18</f>
        <v>32402.627334033532</v>
      </c>
    </row>
    <row r="46" spans="1:3" ht="30">
      <c r="A46" s="21" t="s">
        <v>55</v>
      </c>
      <c r="B46" s="53" t="s">
        <v>56</v>
      </c>
      <c r="C46" s="33">
        <f>IF([8]С2!F19&gt;0,[8]С2!F19,[8]С2!F20)</f>
        <v>23441.524932855718</v>
      </c>
    </row>
    <row r="47" spans="1:3" ht="25.5">
      <c r="A47" s="21" t="s">
        <v>57</v>
      </c>
      <c r="B47" s="54" t="s">
        <v>58</v>
      </c>
      <c r="C47" s="33">
        <f>[8]С2.1!E19</f>
        <v>-37</v>
      </c>
    </row>
    <row r="48" spans="1:3" ht="25.5">
      <c r="A48" s="21" t="s">
        <v>59</v>
      </c>
      <c r="B48" s="54" t="s">
        <v>60</v>
      </c>
      <c r="C48" s="33" t="str">
        <f>[8]С2.1!E22</f>
        <v>нет</v>
      </c>
    </row>
    <row r="49" spans="1:3" ht="38.25">
      <c r="A49" s="21" t="s">
        <v>61</v>
      </c>
      <c r="B49" s="55" t="s">
        <v>62</v>
      </c>
      <c r="C49" s="33">
        <f>[8]С2.2!E10</f>
        <v>1287</v>
      </c>
    </row>
    <row r="50" spans="1:3" ht="25.5">
      <c r="A50" s="21" t="s">
        <v>63</v>
      </c>
      <c r="B50" s="56" t="s">
        <v>64</v>
      </c>
      <c r="C50" s="33">
        <f>[8]С2.2!E12</f>
        <v>5.97</v>
      </c>
    </row>
    <row r="51" spans="1:3" ht="52.5">
      <c r="A51" s="21" t="s">
        <v>65</v>
      </c>
      <c r="B51" s="57" t="s">
        <v>66</v>
      </c>
      <c r="C51" s="33">
        <f>[8]С2.2!E13</f>
        <v>1</v>
      </c>
    </row>
    <row r="52" spans="1:3" ht="27.75">
      <c r="A52" s="21" t="s">
        <v>67</v>
      </c>
      <c r="B52" s="56" t="s">
        <v>68</v>
      </c>
      <c r="C52" s="33">
        <f>[8]С2.2!E14</f>
        <v>12104</v>
      </c>
    </row>
    <row r="53" spans="1:3" ht="25.5">
      <c r="A53" s="21" t="s">
        <v>69</v>
      </c>
      <c r="B53" s="57" t="s">
        <v>70</v>
      </c>
      <c r="C53" s="35">
        <f>[8]С2.2!E15</f>
        <v>4.8000000000000001E-2</v>
      </c>
    </row>
    <row r="54" spans="1:3">
      <c r="A54" s="21" t="s">
        <v>71</v>
      </c>
      <c r="B54" s="57" t="s">
        <v>72</v>
      </c>
      <c r="C54" s="33">
        <f>[8]С2.2!E16</f>
        <v>1</v>
      </c>
    </row>
    <row r="55" spans="1:3" ht="15.75">
      <c r="A55" s="21" t="s">
        <v>73</v>
      </c>
      <c r="B55" s="59" t="s">
        <v>74</v>
      </c>
      <c r="C55" s="33">
        <f>[8]С2!F21</f>
        <v>1</v>
      </c>
    </row>
    <row r="56" spans="1:3" ht="30">
      <c r="A56" s="60" t="s">
        <v>75</v>
      </c>
      <c r="B56" s="32" t="s">
        <v>235</v>
      </c>
      <c r="C56" s="33">
        <f>[8]С2!F13</f>
        <v>169640.22915965237</v>
      </c>
    </row>
    <row r="57" spans="1:3" ht="30">
      <c r="A57" s="60" t="s">
        <v>77</v>
      </c>
      <c r="B57" s="59" t="s">
        <v>236</v>
      </c>
      <c r="C57" s="33">
        <f>[8]С2!F14</f>
        <v>113455</v>
      </c>
    </row>
    <row r="58" spans="1:3" ht="15.75">
      <c r="A58" s="60" t="s">
        <v>79</v>
      </c>
      <c r="B58" s="61" t="s">
        <v>80</v>
      </c>
      <c r="C58" s="41">
        <f>[8]С2!F15</f>
        <v>1.071</v>
      </c>
    </row>
    <row r="59" spans="1:3" ht="15.75">
      <c r="A59" s="60" t="s">
        <v>81</v>
      </c>
      <c r="B59" s="61" t="s">
        <v>82</v>
      </c>
      <c r="C59" s="41">
        <f>[8]С2!F16</f>
        <v>1</v>
      </c>
    </row>
    <row r="60" spans="1:3" ht="17.25">
      <c r="A60" s="60" t="s">
        <v>83</v>
      </c>
      <c r="B60" s="59" t="s">
        <v>84</v>
      </c>
      <c r="C60" s="33">
        <f>[8]С2!F17</f>
        <v>1.01</v>
      </c>
    </row>
    <row r="61" spans="1:3" s="66" customFormat="1" ht="14.25">
      <c r="A61" s="60" t="s">
        <v>85</v>
      </c>
      <c r="B61" s="64" t="s">
        <v>86</v>
      </c>
      <c r="C61" s="65">
        <f>[8]С2!F33</f>
        <v>10</v>
      </c>
    </row>
    <row r="62" spans="1:3" ht="30">
      <c r="A62" s="60" t="s">
        <v>87</v>
      </c>
      <c r="B62" s="67" t="s">
        <v>88</v>
      </c>
      <c r="C62" s="33">
        <f>[8]С2!F26</f>
        <v>1570.1802537861311</v>
      </c>
    </row>
    <row r="63" spans="1:3" ht="17.25">
      <c r="A63" s="60" t="s">
        <v>89</v>
      </c>
      <c r="B63" s="53" t="s">
        <v>237</v>
      </c>
      <c r="C63" s="33">
        <f>[8]С2!F27</f>
        <v>0.27046175099999997</v>
      </c>
    </row>
    <row r="64" spans="1:3" ht="17.25">
      <c r="A64" s="60" t="s">
        <v>91</v>
      </c>
      <c r="B64" s="59" t="s">
        <v>238</v>
      </c>
      <c r="C64" s="65">
        <f>[8]С2!F28</f>
        <v>4200</v>
      </c>
    </row>
    <row r="65" spans="1:3" ht="42.75">
      <c r="A65" s="60" t="s">
        <v>93</v>
      </c>
      <c r="B65" s="32" t="s">
        <v>239</v>
      </c>
      <c r="C65" s="33">
        <f>[8]С2!F22</f>
        <v>35717.748653137714</v>
      </c>
    </row>
    <row r="66" spans="1:3" ht="30">
      <c r="A66" s="60" t="s">
        <v>95</v>
      </c>
      <c r="B66" s="61" t="s">
        <v>240</v>
      </c>
      <c r="C66" s="33">
        <f>[8]С2!F23</f>
        <v>1990</v>
      </c>
    </row>
    <row r="67" spans="1:3" ht="30">
      <c r="A67" s="60" t="s">
        <v>97</v>
      </c>
      <c r="B67" s="53" t="s">
        <v>98</v>
      </c>
      <c r="C67" s="33">
        <f>[8]С2.1!E27</f>
        <v>14307.876789999998</v>
      </c>
    </row>
    <row r="68" spans="1:3" ht="38.25">
      <c r="A68" s="60" t="s">
        <v>99</v>
      </c>
      <c r="B68" s="68" t="s">
        <v>100</v>
      </c>
      <c r="C68" s="52">
        <f>[8]С2.3!E21</f>
        <v>0</v>
      </c>
    </row>
    <row r="69" spans="1:3" ht="25.5">
      <c r="A69" s="60" t="s">
        <v>101</v>
      </c>
      <c r="B69" s="69" t="s">
        <v>102</v>
      </c>
      <c r="C69" s="70">
        <f>[8]С2.3!E11</f>
        <v>9.89</v>
      </c>
    </row>
    <row r="70" spans="1:3" ht="25.5">
      <c r="A70" s="60" t="s">
        <v>103</v>
      </c>
      <c r="B70" s="69" t="s">
        <v>104</v>
      </c>
      <c r="C70" s="65">
        <f>[8]С2.3!E13</f>
        <v>300</v>
      </c>
    </row>
    <row r="71" spans="1:3" ht="25.5">
      <c r="A71" s="60" t="s">
        <v>105</v>
      </c>
      <c r="B71" s="68" t="s">
        <v>106</v>
      </c>
      <c r="C71" s="71">
        <f>IF([8]С2.3!E22&gt;0,[8]С2.3!E22,[8]С2.3!E14)</f>
        <v>61211</v>
      </c>
    </row>
    <row r="72" spans="1:3" ht="38.25">
      <c r="A72" s="60" t="s">
        <v>107</v>
      </c>
      <c r="B72" s="68" t="s">
        <v>108</v>
      </c>
      <c r="C72" s="71">
        <f>IF([8]С2.3!E23&gt;0,[8]С2.3!E23,[8]С2.3!E15)</f>
        <v>45675</v>
      </c>
    </row>
    <row r="73" spans="1:3" ht="30">
      <c r="A73" s="60" t="s">
        <v>109</v>
      </c>
      <c r="B73" s="53" t="s">
        <v>110</v>
      </c>
      <c r="C73" s="33">
        <f>[8]С2.1!E28</f>
        <v>9541.9567200000001</v>
      </c>
    </row>
    <row r="74" spans="1:3" ht="38.25">
      <c r="A74" s="60" t="s">
        <v>111</v>
      </c>
      <c r="B74" s="68" t="s">
        <v>112</v>
      </c>
      <c r="C74" s="52">
        <f>[8]С2.3!E25</f>
        <v>0</v>
      </c>
    </row>
    <row r="75" spans="1:3" ht="25.5">
      <c r="A75" s="60" t="s">
        <v>113</v>
      </c>
      <c r="B75" s="69" t="s">
        <v>114</v>
      </c>
      <c r="C75" s="70">
        <f>[8]С2.3!E12</f>
        <v>0.56000000000000005</v>
      </c>
    </row>
    <row r="76" spans="1:3" ht="25.5">
      <c r="A76" s="60" t="s">
        <v>115</v>
      </c>
      <c r="B76" s="69" t="s">
        <v>104</v>
      </c>
      <c r="C76" s="65">
        <f>[8]С2.3!E13</f>
        <v>300</v>
      </c>
    </row>
    <row r="77" spans="1:3" ht="25.5">
      <c r="A77" s="60" t="s">
        <v>116</v>
      </c>
      <c r="B77" s="72" t="s">
        <v>117</v>
      </c>
      <c r="C77" s="71">
        <f>IF([8]С2.3!E26&gt;0,[8]С2.3!E26,[8]С2.3!E16)</f>
        <v>65637</v>
      </c>
    </row>
    <row r="78" spans="1:3" ht="38.25">
      <c r="A78" s="60" t="s">
        <v>118</v>
      </c>
      <c r="B78" s="72" t="s">
        <v>119</v>
      </c>
      <c r="C78" s="71">
        <f>IF([8]С2.3!E27&gt;0,[8]С2.3!E27,[8]С2.3!E17)</f>
        <v>31684</v>
      </c>
    </row>
    <row r="79" spans="1:3" ht="17.25">
      <c r="A79" s="60" t="s">
        <v>122</v>
      </c>
      <c r="B79" s="32" t="s">
        <v>123</v>
      </c>
      <c r="C79" s="35">
        <f>[8]С2!F29</f>
        <v>0.128978033685065</v>
      </c>
    </row>
    <row r="80" spans="1:3" ht="30">
      <c r="A80" s="60" t="s">
        <v>124</v>
      </c>
      <c r="B80" s="53" t="s">
        <v>125</v>
      </c>
      <c r="C80" s="73">
        <f>[8]С2!F30</f>
        <v>0.11668498168498169</v>
      </c>
    </row>
    <row r="81" spans="1:3" ht="17.25">
      <c r="A81" s="60" t="s">
        <v>126</v>
      </c>
      <c r="B81" s="74" t="s">
        <v>127</v>
      </c>
      <c r="C81" s="35">
        <f>[8]С2!F31</f>
        <v>0.13880000000000001</v>
      </c>
    </row>
    <row r="82" spans="1:3" s="66" customFormat="1" ht="18" thickBot="1">
      <c r="A82" s="75" t="s">
        <v>128</v>
      </c>
      <c r="B82" s="76" t="s">
        <v>129</v>
      </c>
      <c r="C82" s="77">
        <f>[8]С2!F32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[8]С3!F14</f>
        <v>7018.8643800822501</v>
      </c>
    </row>
    <row r="86" spans="1:3" s="66" customFormat="1" ht="42.75">
      <c r="A86" s="79" t="s">
        <v>134</v>
      </c>
      <c r="B86" s="53" t="s">
        <v>135</v>
      </c>
      <c r="C86" s="80">
        <f>[8]С3!F15</f>
        <v>0.2</v>
      </c>
    </row>
    <row r="87" spans="1:3" s="66" customFormat="1" ht="14.25">
      <c r="A87" s="79" t="s">
        <v>136</v>
      </c>
      <c r="B87" s="81" t="s">
        <v>137</v>
      </c>
      <c r="C87" s="65">
        <f>[8]С3!F18</f>
        <v>15</v>
      </c>
    </row>
    <row r="88" spans="1:3" s="66" customFormat="1" ht="17.25">
      <c r="A88" s="79" t="s">
        <v>138</v>
      </c>
      <c r="B88" s="32" t="s">
        <v>139</v>
      </c>
      <c r="C88" s="33">
        <f>[8]С3!F19</f>
        <v>3487.1555421534131</v>
      </c>
    </row>
    <row r="89" spans="1:3" s="66" customFormat="1" ht="55.5">
      <c r="A89" s="79" t="s">
        <v>140</v>
      </c>
      <c r="B89" s="53" t="s">
        <v>141</v>
      </c>
      <c r="C89" s="82">
        <f>[8]С3!F20</f>
        <v>2.1999999999999999E-2</v>
      </c>
    </row>
    <row r="90" spans="1:3" s="66" customFormat="1" ht="14.25">
      <c r="A90" s="79" t="s">
        <v>142</v>
      </c>
      <c r="B90" s="59" t="s">
        <v>86</v>
      </c>
      <c r="C90" s="65">
        <f>[8]С3!F21</f>
        <v>10</v>
      </c>
    </row>
    <row r="91" spans="1:3" s="66" customFormat="1" ht="17.25">
      <c r="A91" s="79" t="s">
        <v>143</v>
      </c>
      <c r="B91" s="32" t="s">
        <v>144</v>
      </c>
      <c r="C91" s="33">
        <f>[8]С3!F22</f>
        <v>4.7105407613583932</v>
      </c>
    </row>
    <row r="92" spans="1:3" s="66" customFormat="1" ht="55.5">
      <c r="A92" s="79" t="s">
        <v>145</v>
      </c>
      <c r="B92" s="53" t="s">
        <v>146</v>
      </c>
      <c r="C92" s="82">
        <f>[8]С3!F23</f>
        <v>3.0000000000000001E-3</v>
      </c>
    </row>
    <row r="93" spans="1:3" s="66" customFormat="1" ht="27.75" thickBot="1">
      <c r="A93" s="83" t="s">
        <v>147</v>
      </c>
      <c r="B93" s="84" t="s">
        <v>241</v>
      </c>
      <c r="C93" s="85">
        <f>[8]С3!F24</f>
        <v>1570.1802537861311</v>
      </c>
    </row>
    <row r="94" spans="1:3" ht="13.5" thickBot="1">
      <c r="A94" s="48"/>
      <c r="B94" s="49"/>
      <c r="C94" s="14"/>
    </row>
    <row r="95" spans="1:3" ht="30" customHeight="1">
      <c r="A95" s="86" t="s">
        <v>148</v>
      </c>
      <c r="B95" s="142" t="s">
        <v>149</v>
      </c>
      <c r="C95" s="142"/>
    </row>
    <row r="96" spans="1:3" ht="30">
      <c r="A96" s="60" t="s">
        <v>150</v>
      </c>
      <c r="B96" s="32" t="s">
        <v>242</v>
      </c>
      <c r="C96" s="33">
        <f>[8]С4!F16</f>
        <v>1652.5</v>
      </c>
    </row>
    <row r="97" spans="1:3" ht="30">
      <c r="A97" s="60" t="s">
        <v>152</v>
      </c>
      <c r="B97" s="59" t="s">
        <v>243</v>
      </c>
      <c r="C97" s="33">
        <f>[8]С4!F17</f>
        <v>73547</v>
      </c>
    </row>
    <row r="98" spans="1:3" ht="17.25">
      <c r="A98" s="60" t="s">
        <v>154</v>
      </c>
      <c r="B98" s="59" t="s">
        <v>155</v>
      </c>
      <c r="C98" s="41">
        <f>[8]С4!F18</f>
        <v>0.02</v>
      </c>
    </row>
    <row r="99" spans="1:3" ht="30">
      <c r="A99" s="60" t="s">
        <v>156</v>
      </c>
      <c r="B99" s="59" t="s">
        <v>157</v>
      </c>
      <c r="C99" s="33">
        <f>[8]С4!F19</f>
        <v>12104</v>
      </c>
    </row>
    <row r="100" spans="1:3" ht="31.5">
      <c r="A100" s="60" t="s">
        <v>158</v>
      </c>
      <c r="B100" s="59" t="s">
        <v>159</v>
      </c>
      <c r="C100" s="41">
        <f>[8]С4!F20</f>
        <v>1.4999999999999999E-2</v>
      </c>
    </row>
    <row r="101" spans="1:3" ht="30">
      <c r="A101" s="60" t="s">
        <v>160</v>
      </c>
      <c r="B101" s="32" t="s">
        <v>244</v>
      </c>
      <c r="C101" s="33">
        <f>[8]С4!F21</f>
        <v>1933.1949342509995</v>
      </c>
    </row>
    <row r="102" spans="1:3" ht="24" customHeight="1">
      <c r="A102" s="60" t="s">
        <v>162</v>
      </c>
      <c r="B102" s="53" t="s">
        <v>163</v>
      </c>
      <c r="C102" s="34">
        <f>IF([8]С4.2!F8="да",[8]С4.2!D21,[8]С4.2!D15)</f>
        <v>0</v>
      </c>
    </row>
    <row r="103" spans="1:3" ht="68.25">
      <c r="A103" s="60" t="s">
        <v>164</v>
      </c>
      <c r="B103" s="53" t="s">
        <v>165</v>
      </c>
      <c r="C103" s="33">
        <f>[8]С4!F22</f>
        <v>3.6112641666666665</v>
      </c>
    </row>
    <row r="104" spans="1:3" ht="30">
      <c r="A104" s="60" t="s">
        <v>166</v>
      </c>
      <c r="B104" s="59" t="s">
        <v>245</v>
      </c>
      <c r="C104" s="33">
        <f>[8]С4!F23</f>
        <v>180</v>
      </c>
    </row>
    <row r="105" spans="1:3" ht="14.25">
      <c r="A105" s="60" t="s">
        <v>168</v>
      </c>
      <c r="B105" s="53" t="s">
        <v>169</v>
      </c>
      <c r="C105" s="33">
        <f>[8]С4!F24</f>
        <v>8497.1999999999989</v>
      </c>
    </row>
    <row r="106" spans="1:3" ht="14.25">
      <c r="A106" s="60" t="s">
        <v>170</v>
      </c>
      <c r="B106" s="59" t="s">
        <v>171</v>
      </c>
      <c r="C106" s="41">
        <f>[8]С4!F25</f>
        <v>0.35</v>
      </c>
    </row>
    <row r="107" spans="1:3" ht="17.25">
      <c r="A107" s="60" t="s">
        <v>172</v>
      </c>
      <c r="B107" s="32" t="s">
        <v>173</v>
      </c>
      <c r="C107" s="33">
        <f>[8]С4!F26</f>
        <v>61.757849999999998</v>
      </c>
    </row>
    <row r="108" spans="1:3" ht="25.5">
      <c r="A108" s="60" t="s">
        <v>174</v>
      </c>
      <c r="B108" s="53" t="s">
        <v>100</v>
      </c>
      <c r="C108" s="34">
        <f>[8]С4.3!E16</f>
        <v>0</v>
      </c>
    </row>
    <row r="109" spans="1:3" ht="25.5">
      <c r="A109" s="60" t="s">
        <v>175</v>
      </c>
      <c r="B109" s="53" t="s">
        <v>176</v>
      </c>
      <c r="C109" s="33">
        <f>[8]С4.3!E17</f>
        <v>16.71</v>
      </c>
    </row>
    <row r="110" spans="1:3" ht="38.25">
      <c r="A110" s="60" t="s">
        <v>177</v>
      </c>
      <c r="B110" s="53" t="s">
        <v>112</v>
      </c>
      <c r="C110" s="34">
        <f>[8]С4.3!E18</f>
        <v>0</v>
      </c>
    </row>
    <row r="111" spans="1:3">
      <c r="A111" s="60" t="s">
        <v>178</v>
      </c>
      <c r="B111" s="53" t="s">
        <v>179</v>
      </c>
      <c r="C111" s="33">
        <f>[8]С4.3!E19</f>
        <v>15.47</v>
      </c>
    </row>
    <row r="112" spans="1:3">
      <c r="A112" s="60" t="s">
        <v>180</v>
      </c>
      <c r="B112" s="59" t="s">
        <v>181</v>
      </c>
      <c r="C112" s="33">
        <f>[8]С4.3!E11</f>
        <v>1871</v>
      </c>
    </row>
    <row r="113" spans="1:3">
      <c r="A113" s="60" t="s">
        <v>182</v>
      </c>
      <c r="B113" s="59" t="s">
        <v>183</v>
      </c>
      <c r="C113" s="52">
        <f>[8]С4.3!E12</f>
        <v>1636</v>
      </c>
    </row>
    <row r="114" spans="1:3">
      <c r="A114" s="60" t="s">
        <v>184</v>
      </c>
      <c r="B114" s="59" t="s">
        <v>185</v>
      </c>
      <c r="C114" s="52">
        <f>[8]С4.3!E13</f>
        <v>204</v>
      </c>
    </row>
    <row r="115" spans="1:3" ht="30">
      <c r="A115" s="60" t="s">
        <v>186</v>
      </c>
      <c r="B115" s="32" t="s">
        <v>246</v>
      </c>
      <c r="C115" s="33">
        <f>[8]С4!F27</f>
        <v>1467.2629458895778</v>
      </c>
    </row>
    <row r="116" spans="1:3" ht="25.5">
      <c r="A116" s="60" t="s">
        <v>188</v>
      </c>
      <c r="B116" s="53" t="s">
        <v>247</v>
      </c>
      <c r="C116" s="33">
        <f>[8]С4!F28</f>
        <v>1126.9300659674177</v>
      </c>
    </row>
    <row r="117" spans="1:3" ht="42.75">
      <c r="A117" s="60" t="s">
        <v>190</v>
      </c>
      <c r="B117" s="53" t="s">
        <v>191</v>
      </c>
      <c r="C117" s="33">
        <f>[8]С4!F29</f>
        <v>340.33287992216015</v>
      </c>
    </row>
    <row r="118" spans="1:3" ht="30">
      <c r="A118" s="60" t="s">
        <v>192</v>
      </c>
      <c r="B118" s="40" t="s">
        <v>193</v>
      </c>
      <c r="C118" s="33">
        <f>[8]С4!F30</f>
        <v>2062.205612996227</v>
      </c>
    </row>
    <row r="119" spans="1:3" ht="42.75">
      <c r="A119" s="60" t="s">
        <v>248</v>
      </c>
      <c r="B119" s="90" t="s">
        <v>249</v>
      </c>
      <c r="C119" s="33">
        <f>[8]С4!F33</f>
        <v>1316.7823013375851</v>
      </c>
    </row>
    <row r="120" spans="1:3" ht="30">
      <c r="A120" s="60" t="s">
        <v>250</v>
      </c>
      <c r="B120" s="123" t="s">
        <v>251</v>
      </c>
      <c r="C120" s="33">
        <f>[8]С4!F35</f>
        <v>17.040680999999999</v>
      </c>
    </row>
    <row r="121" spans="1:3" ht="14.25">
      <c r="A121" s="60" t="s">
        <v>252</v>
      </c>
      <c r="B121" s="56" t="s">
        <v>253</v>
      </c>
      <c r="C121" s="33">
        <f>[8]С4!F36</f>
        <v>14319.9</v>
      </c>
    </row>
    <row r="122" spans="1:3" ht="28.5" thickBot="1">
      <c r="A122" s="75" t="s">
        <v>254</v>
      </c>
      <c r="B122" s="124" t="s">
        <v>255</v>
      </c>
      <c r="C122" s="85">
        <f>[8]С4!F37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[8]С5!F17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[8]С2!F37</f>
        <v>20.818139999999996</v>
      </c>
    </row>
    <row r="136" spans="1:3" ht="14.25">
      <c r="A136" s="60" t="s">
        <v>214</v>
      </c>
      <c r="B136" s="130" t="s">
        <v>215</v>
      </c>
      <c r="C136" s="33">
        <f>[8]С2!F38</f>
        <v>7</v>
      </c>
    </row>
    <row r="137" spans="1:3" ht="17.25">
      <c r="A137" s="60" t="s">
        <v>216</v>
      </c>
      <c r="B137" s="130" t="s">
        <v>217</v>
      </c>
      <c r="C137" s="33">
        <f>[8]С2!F40</f>
        <v>0.97</v>
      </c>
    </row>
    <row r="138" spans="1:3" ht="15" thickBot="1">
      <c r="A138" s="75" t="s">
        <v>218</v>
      </c>
      <c r="B138" s="131" t="s">
        <v>219</v>
      </c>
      <c r="C138" s="47">
        <f>[8]С2!F42</f>
        <v>0.35</v>
      </c>
    </row>
    <row r="139" spans="1:3" s="88" customFormat="1" ht="13.5" thickBot="1">
      <c r="A139" s="48"/>
      <c r="B139" s="49"/>
      <c r="C139" s="14"/>
    </row>
    <row r="140" spans="1:3" ht="30">
      <c r="A140" s="86" t="s">
        <v>220</v>
      </c>
      <c r="B140" s="96" t="s">
        <v>258</v>
      </c>
      <c r="C140" s="132">
        <f>[8]С2!F35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[8]С2.5!$E$11</f>
        <v>-2.9000000000000026E-2</v>
      </c>
    </row>
    <row r="144" spans="1:3">
      <c r="A144" s="99"/>
      <c r="B144" s="106">
        <f>B143+1</f>
        <v>2021</v>
      </c>
      <c r="C144" s="137">
        <f>[8]С2.5!$F$11</f>
        <v>0.245</v>
      </c>
    </row>
    <row r="145" spans="1:3">
      <c r="A145" s="99"/>
      <c r="B145" s="106">
        <f t="shared" ref="B145:B208" si="0">B144+1</f>
        <v>2022</v>
      </c>
      <c r="C145" s="137">
        <f>[8]С2.5!$G$11</f>
        <v>0.121</v>
      </c>
    </row>
    <row r="146" spans="1:3" ht="13.5" thickBot="1">
      <c r="A146" s="99"/>
      <c r="B146" s="108">
        <f t="shared" si="0"/>
        <v>2023</v>
      </c>
      <c r="C146" s="138">
        <f>[8]С2.5!$H$11</f>
        <v>0.02</v>
      </c>
    </row>
    <row r="147" spans="1:3" hidden="1">
      <c r="A147" s="99"/>
      <c r="B147" s="139">
        <f t="shared" si="0"/>
        <v>2024</v>
      </c>
      <c r="C147" s="140">
        <f>[8]С2.5!$I$11</f>
        <v>-2.93E-2</v>
      </c>
    </row>
    <row r="148" spans="1:3" hidden="1">
      <c r="A148" s="99"/>
      <c r="B148" s="106">
        <f t="shared" si="0"/>
        <v>2025</v>
      </c>
      <c r="C148" s="137">
        <f>[8]С2.5!$J$11</f>
        <v>0.21215960863291</v>
      </c>
    </row>
    <row r="149" spans="1:3" hidden="1">
      <c r="A149" s="99"/>
      <c r="B149" s="106">
        <f t="shared" si="0"/>
        <v>2026</v>
      </c>
      <c r="C149" s="137">
        <f>[8]С2.5!$K$11</f>
        <v>3.5813361771260002E-2</v>
      </c>
    </row>
    <row r="150" spans="1:3" hidden="1">
      <c r="A150" s="99"/>
      <c r="B150" s="106">
        <f t="shared" si="0"/>
        <v>2027</v>
      </c>
      <c r="C150" s="137">
        <f>[8]С2.5!$L$11</f>
        <v>3.2682303599220003E-2</v>
      </c>
    </row>
    <row r="151" spans="1:3" hidden="1">
      <c r="A151" s="99"/>
      <c r="B151" s="106">
        <f t="shared" si="0"/>
        <v>2028</v>
      </c>
      <c r="C151" s="137">
        <f>[8]С2.5!$M$11</f>
        <v>0</v>
      </c>
    </row>
    <row r="152" spans="1:3" hidden="1">
      <c r="A152" s="99"/>
      <c r="B152" s="106">
        <f t="shared" si="0"/>
        <v>2029</v>
      </c>
      <c r="C152" s="137">
        <f>[8]С2.5!$N$11</f>
        <v>0</v>
      </c>
    </row>
    <row r="153" spans="1:3" hidden="1">
      <c r="A153" s="99"/>
      <c r="B153" s="106">
        <f t="shared" si="0"/>
        <v>2030</v>
      </c>
      <c r="C153" s="137">
        <f>[8]С2.5!$O$11</f>
        <v>0</v>
      </c>
    </row>
    <row r="154" spans="1:3" hidden="1">
      <c r="A154" s="99"/>
      <c r="B154" s="106">
        <f t="shared" si="0"/>
        <v>2031</v>
      </c>
      <c r="C154" s="137">
        <f>[8]С2.5!$P$11</f>
        <v>0</v>
      </c>
    </row>
    <row r="155" spans="1:3" hidden="1">
      <c r="A155" s="88"/>
      <c r="B155" s="106">
        <f t="shared" si="0"/>
        <v>2032</v>
      </c>
      <c r="C155" s="137">
        <f>[8]С2.5!$Q$11</f>
        <v>0</v>
      </c>
    </row>
    <row r="156" spans="1:3" hidden="1">
      <c r="A156" s="88"/>
      <c r="B156" s="106">
        <f t="shared" si="0"/>
        <v>2033</v>
      </c>
      <c r="C156" s="137">
        <f>[8]С2.5!$R$11</f>
        <v>0</v>
      </c>
    </row>
    <row r="157" spans="1:3" hidden="1">
      <c r="B157" s="106">
        <f t="shared" si="0"/>
        <v>2034</v>
      </c>
      <c r="C157" s="137">
        <f>[8]С2.5!$S$11</f>
        <v>0</v>
      </c>
    </row>
    <row r="158" spans="1:3" hidden="1">
      <c r="B158" s="106">
        <f t="shared" si="0"/>
        <v>2035</v>
      </c>
      <c r="C158" s="137">
        <f>[8]С2.5!$T$11</f>
        <v>0</v>
      </c>
    </row>
    <row r="159" spans="1:3" hidden="1">
      <c r="B159" s="106">
        <f t="shared" si="0"/>
        <v>2036</v>
      </c>
      <c r="C159" s="137">
        <f>[8]С2.5!$U$11</f>
        <v>0</v>
      </c>
    </row>
    <row r="160" spans="1:3" hidden="1">
      <c r="B160" s="106">
        <f t="shared" si="0"/>
        <v>2037</v>
      </c>
      <c r="C160" s="137">
        <f>[8]С2.5!$V$11</f>
        <v>0</v>
      </c>
    </row>
    <row r="161" spans="2:3" hidden="1">
      <c r="B161" s="106">
        <f t="shared" si="0"/>
        <v>2038</v>
      </c>
      <c r="C161" s="137">
        <f>[8]С2.5!$W$11</f>
        <v>0</v>
      </c>
    </row>
    <row r="162" spans="2:3" hidden="1">
      <c r="B162" s="106">
        <f t="shared" si="0"/>
        <v>2039</v>
      </c>
      <c r="C162" s="137">
        <f>[8]С2.5!$X$11</f>
        <v>0</v>
      </c>
    </row>
    <row r="163" spans="2:3" hidden="1">
      <c r="B163" s="106">
        <f t="shared" si="0"/>
        <v>2040</v>
      </c>
      <c r="C163" s="137">
        <f>[8]С2.5!$Y$11</f>
        <v>0</v>
      </c>
    </row>
    <row r="164" spans="2:3" hidden="1">
      <c r="B164" s="106">
        <f t="shared" si="0"/>
        <v>2041</v>
      </c>
      <c r="C164" s="137">
        <f>[8]С2.5!$Z$11</f>
        <v>0</v>
      </c>
    </row>
    <row r="165" spans="2:3" hidden="1">
      <c r="B165" s="106">
        <f t="shared" si="0"/>
        <v>2042</v>
      </c>
      <c r="C165" s="137">
        <f>[8]С2.5!$AA$11</f>
        <v>0</v>
      </c>
    </row>
    <row r="166" spans="2:3" hidden="1">
      <c r="B166" s="106">
        <f t="shared" si="0"/>
        <v>2043</v>
      </c>
      <c r="C166" s="137">
        <f>[8]С2.5!$AB$11</f>
        <v>0</v>
      </c>
    </row>
    <row r="167" spans="2:3" hidden="1">
      <c r="B167" s="106">
        <f t="shared" si="0"/>
        <v>2044</v>
      </c>
      <c r="C167" s="137">
        <f>[8]С2.5!$AC$11</f>
        <v>0</v>
      </c>
    </row>
    <row r="168" spans="2:3" hidden="1">
      <c r="B168" s="106">
        <f t="shared" si="0"/>
        <v>2045</v>
      </c>
      <c r="C168" s="137">
        <f>[8]С2.5!$AD$11</f>
        <v>0</v>
      </c>
    </row>
    <row r="169" spans="2:3" hidden="1">
      <c r="B169" s="106">
        <f t="shared" si="0"/>
        <v>2046</v>
      </c>
      <c r="C169" s="137">
        <f>[8]С2.5!$AE$11</f>
        <v>0</v>
      </c>
    </row>
    <row r="170" spans="2:3" hidden="1">
      <c r="B170" s="106">
        <f t="shared" si="0"/>
        <v>2047</v>
      </c>
      <c r="C170" s="137">
        <f>[8]С2.5!$AF$11</f>
        <v>0</v>
      </c>
    </row>
    <row r="171" spans="2:3" hidden="1">
      <c r="B171" s="106">
        <f t="shared" si="0"/>
        <v>2048</v>
      </c>
      <c r="C171" s="137">
        <f>[8]С2.5!$AG$11</f>
        <v>0</v>
      </c>
    </row>
    <row r="172" spans="2:3" hidden="1">
      <c r="B172" s="106">
        <f t="shared" si="0"/>
        <v>2049</v>
      </c>
      <c r="C172" s="137">
        <f>[8]С2.5!$AH$11</f>
        <v>0</v>
      </c>
    </row>
    <row r="173" spans="2:3" hidden="1">
      <c r="B173" s="106">
        <f t="shared" si="0"/>
        <v>2050</v>
      </c>
      <c r="C173" s="137">
        <f>[8]С2.5!$AI$11</f>
        <v>0</v>
      </c>
    </row>
    <row r="174" spans="2:3" hidden="1">
      <c r="B174" s="106">
        <f t="shared" si="0"/>
        <v>2051</v>
      </c>
      <c r="C174" s="137">
        <f>[8]С2.5!$AJ$11</f>
        <v>0</v>
      </c>
    </row>
    <row r="175" spans="2:3" hidden="1">
      <c r="B175" s="106">
        <f t="shared" si="0"/>
        <v>2052</v>
      </c>
      <c r="C175" s="137">
        <f>[8]С2.5!$AK$11</f>
        <v>0</v>
      </c>
    </row>
    <row r="176" spans="2:3" hidden="1">
      <c r="B176" s="106">
        <f t="shared" si="0"/>
        <v>2053</v>
      </c>
      <c r="C176" s="137">
        <f>[8]С2.5!$AL$11</f>
        <v>0</v>
      </c>
    </row>
    <row r="177" spans="2:3" hidden="1">
      <c r="B177" s="106">
        <f t="shared" si="0"/>
        <v>2054</v>
      </c>
      <c r="C177" s="137">
        <f>[8]С2.5!$AM$11</f>
        <v>0</v>
      </c>
    </row>
    <row r="178" spans="2:3" hidden="1">
      <c r="B178" s="106">
        <f t="shared" si="0"/>
        <v>2055</v>
      </c>
      <c r="C178" s="137">
        <f>[8]С2.5!$AN$11</f>
        <v>0</v>
      </c>
    </row>
    <row r="179" spans="2:3" hidden="1">
      <c r="B179" s="106">
        <f t="shared" si="0"/>
        <v>2056</v>
      </c>
      <c r="C179" s="137">
        <f>[8]С2.5!$AO$11</f>
        <v>0</v>
      </c>
    </row>
    <row r="180" spans="2:3" hidden="1">
      <c r="B180" s="106">
        <f t="shared" si="0"/>
        <v>2057</v>
      </c>
      <c r="C180" s="137">
        <f>[8]С2.5!$AP$11</f>
        <v>0</v>
      </c>
    </row>
    <row r="181" spans="2:3" hidden="1">
      <c r="B181" s="106">
        <f t="shared" si="0"/>
        <v>2058</v>
      </c>
      <c r="C181" s="137">
        <f>[8]С2.5!$AQ$11</f>
        <v>0</v>
      </c>
    </row>
    <row r="182" spans="2:3" hidden="1">
      <c r="B182" s="106">
        <f t="shared" si="0"/>
        <v>2059</v>
      </c>
      <c r="C182" s="137">
        <f>[8]С2.5!$AR$11</f>
        <v>0</v>
      </c>
    </row>
    <row r="183" spans="2:3" hidden="1">
      <c r="B183" s="106">
        <f t="shared" si="0"/>
        <v>2060</v>
      </c>
      <c r="C183" s="137">
        <f>[8]С2.5!$AS$11</f>
        <v>0</v>
      </c>
    </row>
    <row r="184" spans="2:3" hidden="1">
      <c r="B184" s="106">
        <f t="shared" si="0"/>
        <v>2061</v>
      </c>
      <c r="C184" s="137">
        <f>[8]С2.5!$AT$11</f>
        <v>0</v>
      </c>
    </row>
    <row r="185" spans="2:3" hidden="1">
      <c r="B185" s="106">
        <f t="shared" si="0"/>
        <v>2062</v>
      </c>
      <c r="C185" s="137">
        <f>[8]С2.5!$AU$11</f>
        <v>0</v>
      </c>
    </row>
    <row r="186" spans="2:3" hidden="1">
      <c r="B186" s="106">
        <f t="shared" si="0"/>
        <v>2063</v>
      </c>
      <c r="C186" s="137">
        <f>[8]С2.5!$AV$11</f>
        <v>0</v>
      </c>
    </row>
    <row r="187" spans="2:3" hidden="1">
      <c r="B187" s="106">
        <f t="shared" si="0"/>
        <v>2064</v>
      </c>
      <c r="C187" s="137">
        <f>[8]С2.5!$AW$11</f>
        <v>0</v>
      </c>
    </row>
    <row r="188" spans="2:3" hidden="1">
      <c r="B188" s="106">
        <f t="shared" si="0"/>
        <v>2065</v>
      </c>
      <c r="C188" s="137">
        <f>[8]С2.5!$AX$11</f>
        <v>0</v>
      </c>
    </row>
    <row r="189" spans="2:3" hidden="1">
      <c r="B189" s="106">
        <f t="shared" si="0"/>
        <v>2066</v>
      </c>
      <c r="C189" s="137">
        <f>[8]С2.5!$AY$11</f>
        <v>0</v>
      </c>
    </row>
    <row r="190" spans="2:3" hidden="1">
      <c r="B190" s="106">
        <f t="shared" si="0"/>
        <v>2067</v>
      </c>
      <c r="C190" s="137">
        <f>[8]С2.5!$AZ$11</f>
        <v>0</v>
      </c>
    </row>
    <row r="191" spans="2:3" hidden="1">
      <c r="B191" s="106">
        <f t="shared" si="0"/>
        <v>2068</v>
      </c>
      <c r="C191" s="137">
        <f>[8]С2.5!$BA$11</f>
        <v>0</v>
      </c>
    </row>
    <row r="192" spans="2:3" hidden="1">
      <c r="B192" s="106">
        <f t="shared" si="0"/>
        <v>2069</v>
      </c>
      <c r="C192" s="137">
        <f>[8]С2.5!$BB$11</f>
        <v>0</v>
      </c>
    </row>
    <row r="193" spans="2:3" hidden="1">
      <c r="B193" s="106">
        <f t="shared" si="0"/>
        <v>2070</v>
      </c>
      <c r="C193" s="137">
        <f>[8]С2.5!$BC$11</f>
        <v>0</v>
      </c>
    </row>
    <row r="194" spans="2:3" hidden="1">
      <c r="B194" s="106">
        <f t="shared" si="0"/>
        <v>2071</v>
      </c>
      <c r="C194" s="137">
        <f>[8]С2.5!$BD$11</f>
        <v>0</v>
      </c>
    </row>
    <row r="195" spans="2:3" hidden="1">
      <c r="B195" s="106">
        <f t="shared" si="0"/>
        <v>2072</v>
      </c>
      <c r="C195" s="137">
        <f>[8]С2.5!$BE$11</f>
        <v>0</v>
      </c>
    </row>
    <row r="196" spans="2:3" hidden="1">
      <c r="B196" s="106">
        <f t="shared" si="0"/>
        <v>2073</v>
      </c>
      <c r="C196" s="137">
        <f>[8]С2.5!$BF$11</f>
        <v>0</v>
      </c>
    </row>
    <row r="197" spans="2:3" hidden="1">
      <c r="B197" s="106">
        <f t="shared" si="0"/>
        <v>2074</v>
      </c>
      <c r="C197" s="137">
        <f>[8]С2.5!$BG$11</f>
        <v>0</v>
      </c>
    </row>
    <row r="198" spans="2:3" hidden="1">
      <c r="B198" s="106">
        <f t="shared" si="0"/>
        <v>2075</v>
      </c>
      <c r="C198" s="137">
        <f>[8]С2.5!$BH$11</f>
        <v>0</v>
      </c>
    </row>
    <row r="199" spans="2:3" hidden="1">
      <c r="B199" s="106">
        <f t="shared" si="0"/>
        <v>2076</v>
      </c>
      <c r="C199" s="137">
        <f>[8]С2.5!$BI$11</f>
        <v>0</v>
      </c>
    </row>
    <row r="200" spans="2:3" hidden="1">
      <c r="B200" s="106">
        <f t="shared" si="0"/>
        <v>2077</v>
      </c>
      <c r="C200" s="137">
        <f>[8]С2.5!$BJ$11</f>
        <v>0</v>
      </c>
    </row>
    <row r="201" spans="2:3" hidden="1">
      <c r="B201" s="106">
        <f t="shared" si="0"/>
        <v>2078</v>
      </c>
      <c r="C201" s="137">
        <f>[8]С2.5!$BK$11</f>
        <v>0</v>
      </c>
    </row>
    <row r="202" spans="2:3" hidden="1">
      <c r="B202" s="106">
        <f t="shared" si="0"/>
        <v>2079</v>
      </c>
      <c r="C202" s="137">
        <f>[8]С2.5!$BL$11</f>
        <v>0</v>
      </c>
    </row>
    <row r="203" spans="2:3" hidden="1">
      <c r="B203" s="106">
        <f t="shared" si="0"/>
        <v>2080</v>
      </c>
      <c r="C203" s="137">
        <f>[8]С2.5!$BM$11</f>
        <v>0</v>
      </c>
    </row>
    <row r="204" spans="2:3" hidden="1">
      <c r="B204" s="106">
        <f t="shared" si="0"/>
        <v>2081</v>
      </c>
      <c r="C204" s="137">
        <f>[8]С2.5!$BN$11</f>
        <v>0</v>
      </c>
    </row>
    <row r="205" spans="2:3" hidden="1">
      <c r="B205" s="106">
        <f t="shared" si="0"/>
        <v>2082</v>
      </c>
      <c r="C205" s="137">
        <f>[8]С2.5!$BO$11</f>
        <v>0</v>
      </c>
    </row>
    <row r="206" spans="2:3" hidden="1">
      <c r="B206" s="106">
        <f t="shared" si="0"/>
        <v>2083</v>
      </c>
      <c r="C206" s="137">
        <f>[8]С2.5!$BP$11</f>
        <v>0</v>
      </c>
    </row>
    <row r="207" spans="2:3" hidden="1">
      <c r="B207" s="106">
        <f t="shared" si="0"/>
        <v>2084</v>
      </c>
      <c r="C207" s="137">
        <f>[8]С2.5!$BQ$11</f>
        <v>0</v>
      </c>
    </row>
    <row r="208" spans="2:3" hidden="1">
      <c r="B208" s="106">
        <f t="shared" si="0"/>
        <v>2085</v>
      </c>
      <c r="C208" s="137">
        <f>[8]С2.5!$BR$11</f>
        <v>0</v>
      </c>
    </row>
    <row r="209" spans="2:3" hidden="1">
      <c r="B209" s="106">
        <f t="shared" ref="B209:B223" si="1">B208+1</f>
        <v>2086</v>
      </c>
      <c r="C209" s="137">
        <f>[8]С2.5!$BS$11</f>
        <v>0</v>
      </c>
    </row>
    <row r="210" spans="2:3" hidden="1">
      <c r="B210" s="106">
        <f t="shared" si="1"/>
        <v>2087</v>
      </c>
      <c r="C210" s="137">
        <f>[8]С2.5!$BT$11</f>
        <v>0</v>
      </c>
    </row>
    <row r="211" spans="2:3" hidden="1">
      <c r="B211" s="106">
        <f t="shared" si="1"/>
        <v>2088</v>
      </c>
      <c r="C211" s="137">
        <f>[8]С2.5!$BU$11</f>
        <v>0</v>
      </c>
    </row>
    <row r="212" spans="2:3" hidden="1">
      <c r="B212" s="106">
        <f t="shared" si="1"/>
        <v>2089</v>
      </c>
      <c r="C212" s="137">
        <f>[8]С2.5!$BV$11</f>
        <v>0</v>
      </c>
    </row>
    <row r="213" spans="2:3" hidden="1">
      <c r="B213" s="106">
        <f t="shared" si="1"/>
        <v>2090</v>
      </c>
      <c r="C213" s="137">
        <f>[8]С2.5!$BW$11</f>
        <v>0</v>
      </c>
    </row>
    <row r="214" spans="2:3" hidden="1">
      <c r="B214" s="106">
        <f t="shared" si="1"/>
        <v>2091</v>
      </c>
      <c r="C214" s="137">
        <f>[8]С2.5!$BX$11</f>
        <v>0</v>
      </c>
    </row>
    <row r="215" spans="2:3" hidden="1">
      <c r="B215" s="106">
        <f t="shared" si="1"/>
        <v>2092</v>
      </c>
      <c r="C215" s="137">
        <f>[8]С2.5!$BY$11</f>
        <v>0</v>
      </c>
    </row>
    <row r="216" spans="2:3" hidden="1">
      <c r="B216" s="106">
        <f t="shared" si="1"/>
        <v>2093</v>
      </c>
      <c r="C216" s="137">
        <f>[8]С2.5!$BZ$11</f>
        <v>0</v>
      </c>
    </row>
    <row r="217" spans="2:3" hidden="1">
      <c r="B217" s="106">
        <f t="shared" si="1"/>
        <v>2094</v>
      </c>
      <c r="C217" s="137">
        <f>[8]С2.5!$CA$11</f>
        <v>0</v>
      </c>
    </row>
    <row r="218" spans="2:3" hidden="1">
      <c r="B218" s="106">
        <f t="shared" si="1"/>
        <v>2095</v>
      </c>
      <c r="C218" s="137">
        <f>[8]С2.5!$CB$11</f>
        <v>0</v>
      </c>
    </row>
    <row r="219" spans="2:3" hidden="1">
      <c r="B219" s="106">
        <f t="shared" si="1"/>
        <v>2096</v>
      </c>
      <c r="C219" s="137">
        <f>[8]С2.5!$CC$11</f>
        <v>0</v>
      </c>
    </row>
    <row r="220" spans="2:3" hidden="1">
      <c r="B220" s="106">
        <f t="shared" si="1"/>
        <v>2097</v>
      </c>
      <c r="C220" s="137">
        <f>[8]С2.5!$CD$11</f>
        <v>0</v>
      </c>
    </row>
    <row r="221" spans="2:3" hidden="1">
      <c r="B221" s="106">
        <f t="shared" si="1"/>
        <v>2098</v>
      </c>
      <c r="C221" s="137">
        <f>[8]С2.5!$CE$11</f>
        <v>0</v>
      </c>
    </row>
    <row r="222" spans="2:3" hidden="1">
      <c r="B222" s="106">
        <f t="shared" si="1"/>
        <v>2099</v>
      </c>
      <c r="C222" s="137">
        <f>[8]С2.5!$CF$11</f>
        <v>0</v>
      </c>
    </row>
    <row r="223" spans="2:3" ht="13.5" hidden="1" thickBot="1">
      <c r="B223" s="108">
        <f t="shared" si="1"/>
        <v>2100</v>
      </c>
      <c r="C223" s="138">
        <f>[8]С2.5!$CG$11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2" customWidth="1"/>
    <col min="2" max="2" width="100.5703125" style="2" customWidth="1"/>
    <col min="3" max="3" width="20.85546875" style="6"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[9]И1!D13</f>
        <v>Субъект Российской Федерации</v>
      </c>
      <c r="C4" s="9" t="str">
        <f>[9]И1!E13</f>
        <v>Новосибирская область</v>
      </c>
    </row>
    <row r="5" spans="1:3">
      <c r="A5" s="7"/>
      <c r="B5" s="8" t="str">
        <f>[9]И1!D14</f>
        <v>Тип муниципального образования (выберите из списка)</v>
      </c>
      <c r="C5" s="9" t="str">
        <f>[9]И1!E14</f>
        <v>Кандауровское МО</v>
      </c>
    </row>
    <row r="6" spans="1:3">
      <c r="A6" s="7"/>
      <c r="B6" s="8" t="str">
        <f>IF([9]И1!E15="","",[9]И1!D15)</f>
        <v/>
      </c>
      <c r="C6" s="9" t="str">
        <f>IF([9]И1!E15="","",[9]И1!E15)</f>
        <v/>
      </c>
    </row>
    <row r="7" spans="1:3">
      <c r="A7" s="7"/>
      <c r="B7" s="8" t="str">
        <f>[9]И1!D16</f>
        <v>Код ОКТМО</v>
      </c>
      <c r="C7" s="10" t="str">
        <f>[9]И1!E16</f>
        <v>50621407101</v>
      </c>
    </row>
    <row r="8" spans="1:3">
      <c r="A8" s="7"/>
      <c r="B8" s="11" t="str">
        <f>[9]И1!D17</f>
        <v>Система теплоснабжения</v>
      </c>
      <c r="C8" s="12">
        <f>[9]И1!E17</f>
        <v>0</v>
      </c>
    </row>
    <row r="9" spans="1:3">
      <c r="A9" s="7"/>
      <c r="B9" s="8" t="str">
        <f>[9]И1!D8</f>
        <v>Период регулирования (i)-й</v>
      </c>
      <c r="C9" s="13">
        <f>[9]И1!E8</f>
        <v>2023</v>
      </c>
    </row>
    <row r="10" spans="1:3">
      <c r="A10" s="7"/>
      <c r="B10" s="8" t="str">
        <f>[9]И1!D9</f>
        <v>Период регулирования (i-1)-й</v>
      </c>
      <c r="C10" s="13">
        <f>[9]И1!E9</f>
        <v>2022</v>
      </c>
    </row>
    <row r="11" spans="1:3">
      <c r="A11" s="7"/>
      <c r="B11" s="8" t="str">
        <f>[9]И1!D10</f>
        <v>Период регулирования (i-2)-й</v>
      </c>
      <c r="C11" s="13">
        <f>[9]И1!E10</f>
        <v>2021</v>
      </c>
    </row>
    <row r="12" spans="1:3">
      <c r="A12" s="7"/>
      <c r="B12" s="8" t="str">
        <f>[9]И1!D11</f>
        <v>Базовый год (б)</v>
      </c>
      <c r="C12" s="13">
        <f>[9]И1!E11</f>
        <v>2019</v>
      </c>
    </row>
    <row r="13" spans="1:3" ht="38.25">
      <c r="A13" s="7"/>
      <c r="B13" s="8" t="str">
        <f>[9]И1!D18</f>
        <v>Вид топлива, использование которого преобладает в системе теплоснабжения</v>
      </c>
      <c r="C13" s="14" t="str">
        <f>[9]С1.1!E13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4026.114824337732</v>
      </c>
    </row>
    <row r="18" spans="1:3" ht="42.75">
      <c r="A18" s="21" t="s">
        <v>8</v>
      </c>
      <c r="B18" s="24" t="s">
        <v>9</v>
      </c>
      <c r="C18" s="25">
        <f>[9]С1!F12</f>
        <v>891.90184297896326</v>
      </c>
    </row>
    <row r="19" spans="1:3" ht="42.75">
      <c r="A19" s="21" t="s">
        <v>10</v>
      </c>
      <c r="B19" s="24" t="s">
        <v>11</v>
      </c>
      <c r="C19" s="25">
        <f>[9]С2!F12</f>
        <v>2109.9946743617465</v>
      </c>
    </row>
    <row r="20" spans="1:3" ht="30">
      <c r="A20" s="21" t="s">
        <v>12</v>
      </c>
      <c r="B20" s="24" t="s">
        <v>13</v>
      </c>
      <c r="C20" s="25">
        <f>[9]С3!F12</f>
        <v>504.88326349025533</v>
      </c>
    </row>
    <row r="21" spans="1:3" ht="42.75">
      <c r="A21" s="21" t="s">
        <v>14</v>
      </c>
      <c r="B21" s="24" t="s">
        <v>226</v>
      </c>
      <c r="C21" s="25">
        <f>[9]С4!F12</f>
        <v>440.39161557857591</v>
      </c>
    </row>
    <row r="22" spans="1:3" ht="30">
      <c r="A22" s="21" t="s">
        <v>16</v>
      </c>
      <c r="B22" s="24" t="s">
        <v>227</v>
      </c>
      <c r="C22" s="25">
        <f>[9]С5!F12</f>
        <v>78.943427928190829</v>
      </c>
    </row>
    <row r="23" spans="1:3" ht="43.5" thickBot="1">
      <c r="A23" s="26" t="s">
        <v>18</v>
      </c>
      <c r="B23" s="27" t="s">
        <v>228</v>
      </c>
      <c r="C23" s="28" t="str">
        <f>[9]С6!F12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[9]С1.1!E16</f>
        <v>5100</v>
      </c>
    </row>
    <row r="29" spans="1:3" ht="42.75">
      <c r="A29" s="21" t="s">
        <v>10</v>
      </c>
      <c r="B29" s="32" t="s">
        <v>230</v>
      </c>
      <c r="C29" s="33">
        <f>[9]С1.1!E27</f>
        <v>2398.1750000000002</v>
      </c>
    </row>
    <row r="30" spans="1:3" ht="17.25">
      <c r="A30" s="21" t="s">
        <v>12</v>
      </c>
      <c r="B30" s="32" t="s">
        <v>29</v>
      </c>
      <c r="C30" s="35">
        <f>[9]С1.1!E19</f>
        <v>0.59499999999999997</v>
      </c>
    </row>
    <row r="31" spans="1:3" ht="17.25">
      <c r="A31" s="21" t="s">
        <v>14</v>
      </c>
      <c r="B31" s="32" t="s">
        <v>30</v>
      </c>
      <c r="C31" s="35">
        <f>[9]С1.1!E20</f>
        <v>-0.113</v>
      </c>
    </row>
    <row r="32" spans="1:3" ht="30">
      <c r="A32" s="21" t="s">
        <v>16</v>
      </c>
      <c r="B32" s="36" t="s">
        <v>231</v>
      </c>
      <c r="C32" s="119">
        <f>[9]С1!F13</f>
        <v>176.4</v>
      </c>
    </row>
    <row r="33" spans="1:3">
      <c r="A33" s="21" t="s">
        <v>18</v>
      </c>
      <c r="B33" s="36" t="s">
        <v>32</v>
      </c>
      <c r="C33" s="38">
        <f>[9]С1!F16</f>
        <v>7000</v>
      </c>
    </row>
    <row r="34" spans="1:3" ht="14.25">
      <c r="A34" s="21" t="s">
        <v>33</v>
      </c>
      <c r="B34" s="40" t="s">
        <v>232</v>
      </c>
      <c r="C34" s="41">
        <f>[9]С1!F17</f>
        <v>0.72857142857142854</v>
      </c>
    </row>
    <row r="35" spans="1:3" ht="15.75">
      <c r="A35" s="120" t="s">
        <v>35</v>
      </c>
      <c r="B35" s="43" t="s">
        <v>36</v>
      </c>
      <c r="C35" s="41">
        <f>[9]С1!F20</f>
        <v>21.588411179999994</v>
      </c>
    </row>
    <row r="36" spans="1:3" ht="15.75">
      <c r="A36" s="120" t="s">
        <v>37</v>
      </c>
      <c r="B36" s="44" t="s">
        <v>38</v>
      </c>
      <c r="C36" s="41">
        <f>[9]С1!F21</f>
        <v>20.818139999999996</v>
      </c>
    </row>
    <row r="37" spans="1:3" ht="14.25">
      <c r="A37" s="120" t="s">
        <v>39</v>
      </c>
      <c r="B37" s="45" t="s">
        <v>40</v>
      </c>
      <c r="C37" s="41">
        <f>[9]С1!F22</f>
        <v>1.0369999999999999</v>
      </c>
    </row>
    <row r="38" spans="1:3" ht="53.25" thickBot="1">
      <c r="A38" s="26" t="s">
        <v>41</v>
      </c>
      <c r="B38" s="46" t="s">
        <v>42</v>
      </c>
      <c r="C38" s="47">
        <f>[9]С1!F23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[9]С2.1!E12</f>
        <v>V</v>
      </c>
    </row>
    <row r="42" spans="1:3" ht="25.5">
      <c r="A42" s="21" t="s">
        <v>47</v>
      </c>
      <c r="B42" s="32" t="s">
        <v>48</v>
      </c>
      <c r="C42" s="51" t="str">
        <f>[9]С2.1!E13</f>
        <v>6 и менее баллов</v>
      </c>
    </row>
    <row r="43" spans="1:3" ht="25.5">
      <c r="A43" s="21" t="s">
        <v>49</v>
      </c>
      <c r="B43" s="32" t="s">
        <v>233</v>
      </c>
      <c r="C43" s="51" t="str">
        <f>[9]С2.1!E14</f>
        <v>от 200 до 500</v>
      </c>
    </row>
    <row r="44" spans="1:3" ht="25.5">
      <c r="A44" s="21" t="s">
        <v>51</v>
      </c>
      <c r="B44" s="32" t="s">
        <v>234</v>
      </c>
      <c r="C44" s="52" t="str">
        <f>[9]С2.1!E15</f>
        <v>нет</v>
      </c>
    </row>
    <row r="45" spans="1:3" ht="30">
      <c r="A45" s="21" t="s">
        <v>53</v>
      </c>
      <c r="B45" s="32" t="s">
        <v>54</v>
      </c>
      <c r="C45" s="33">
        <f>[9]С2!F18</f>
        <v>32402.627334033532</v>
      </c>
    </row>
    <row r="46" spans="1:3" ht="30">
      <c r="A46" s="21" t="s">
        <v>55</v>
      </c>
      <c r="B46" s="53" t="s">
        <v>56</v>
      </c>
      <c r="C46" s="33">
        <f>IF([9]С2!F19&gt;0,[9]С2!F19,[9]С2!F20)</f>
        <v>23441.524932855718</v>
      </c>
    </row>
    <row r="47" spans="1:3" ht="25.5">
      <c r="A47" s="21" t="s">
        <v>57</v>
      </c>
      <c r="B47" s="54" t="s">
        <v>58</v>
      </c>
      <c r="C47" s="33">
        <f>[9]С2.1!E19</f>
        <v>-37</v>
      </c>
    </row>
    <row r="48" spans="1:3" ht="25.5">
      <c r="A48" s="21" t="s">
        <v>59</v>
      </c>
      <c r="B48" s="54" t="s">
        <v>60</v>
      </c>
      <c r="C48" s="33" t="str">
        <f>[9]С2.1!E22</f>
        <v>нет</v>
      </c>
    </row>
    <row r="49" spans="1:3" ht="38.25">
      <c r="A49" s="21" t="s">
        <v>61</v>
      </c>
      <c r="B49" s="55" t="s">
        <v>62</v>
      </c>
      <c r="C49" s="33">
        <f>[9]С2.2!E10</f>
        <v>1287</v>
      </c>
    </row>
    <row r="50" spans="1:3" ht="25.5">
      <c r="A50" s="21" t="s">
        <v>63</v>
      </c>
      <c r="B50" s="56" t="s">
        <v>64</v>
      </c>
      <c r="C50" s="33">
        <f>[9]С2.2!E12</f>
        <v>5.97</v>
      </c>
    </row>
    <row r="51" spans="1:3" ht="52.5">
      <c r="A51" s="21" t="s">
        <v>65</v>
      </c>
      <c r="B51" s="57" t="s">
        <v>66</v>
      </c>
      <c r="C51" s="33">
        <f>[9]С2.2!E13</f>
        <v>1</v>
      </c>
    </row>
    <row r="52" spans="1:3" ht="27.75">
      <c r="A52" s="21" t="s">
        <v>67</v>
      </c>
      <c r="B52" s="56" t="s">
        <v>68</v>
      </c>
      <c r="C52" s="33">
        <f>[9]С2.2!E14</f>
        <v>12104</v>
      </c>
    </row>
    <row r="53" spans="1:3" ht="25.5">
      <c r="A53" s="21" t="s">
        <v>69</v>
      </c>
      <c r="B53" s="57" t="s">
        <v>70</v>
      </c>
      <c r="C53" s="35">
        <f>[9]С2.2!E15</f>
        <v>4.8000000000000001E-2</v>
      </c>
    </row>
    <row r="54" spans="1:3">
      <c r="A54" s="21" t="s">
        <v>71</v>
      </c>
      <c r="B54" s="57" t="s">
        <v>72</v>
      </c>
      <c r="C54" s="33">
        <f>[9]С2.2!E16</f>
        <v>1</v>
      </c>
    </row>
    <row r="55" spans="1:3" ht="15.75">
      <c r="A55" s="21" t="s">
        <v>73</v>
      </c>
      <c r="B55" s="59" t="s">
        <v>74</v>
      </c>
      <c r="C55" s="33">
        <f>[9]С2!F21</f>
        <v>1</v>
      </c>
    </row>
    <row r="56" spans="1:3" ht="30">
      <c r="A56" s="60" t="s">
        <v>75</v>
      </c>
      <c r="B56" s="32" t="s">
        <v>235</v>
      </c>
      <c r="C56" s="33">
        <f>[9]С2!F13</f>
        <v>169640.22915965237</v>
      </c>
    </row>
    <row r="57" spans="1:3" ht="30">
      <c r="A57" s="60" t="s">
        <v>77</v>
      </c>
      <c r="B57" s="59" t="s">
        <v>236</v>
      </c>
      <c r="C57" s="33">
        <f>[9]С2!F14</f>
        <v>113455</v>
      </c>
    </row>
    <row r="58" spans="1:3" ht="15.75">
      <c r="A58" s="60" t="s">
        <v>79</v>
      </c>
      <c r="B58" s="61" t="s">
        <v>80</v>
      </c>
      <c r="C58" s="41">
        <f>[9]С2!F15</f>
        <v>1.071</v>
      </c>
    </row>
    <row r="59" spans="1:3" ht="15.75">
      <c r="A59" s="60" t="s">
        <v>81</v>
      </c>
      <c r="B59" s="61" t="s">
        <v>82</v>
      </c>
      <c r="C59" s="41">
        <f>[9]С2!F16</f>
        <v>1</v>
      </c>
    </row>
    <row r="60" spans="1:3" ht="17.25">
      <c r="A60" s="60" t="s">
        <v>83</v>
      </c>
      <c r="B60" s="59" t="s">
        <v>84</v>
      </c>
      <c r="C60" s="33">
        <f>[9]С2!F17</f>
        <v>1.01</v>
      </c>
    </row>
    <row r="61" spans="1:3" s="66" customFormat="1" ht="14.25">
      <c r="A61" s="60" t="s">
        <v>85</v>
      </c>
      <c r="B61" s="64" t="s">
        <v>86</v>
      </c>
      <c r="C61" s="65">
        <f>[9]С2!F33</f>
        <v>10</v>
      </c>
    </row>
    <row r="62" spans="1:3" ht="30">
      <c r="A62" s="60" t="s">
        <v>87</v>
      </c>
      <c r="B62" s="67" t="s">
        <v>88</v>
      </c>
      <c r="C62" s="33">
        <f>[9]С2!F26</f>
        <v>1570.1802537861311</v>
      </c>
    </row>
    <row r="63" spans="1:3" ht="17.25">
      <c r="A63" s="60" t="s">
        <v>89</v>
      </c>
      <c r="B63" s="53" t="s">
        <v>237</v>
      </c>
      <c r="C63" s="33">
        <f>[9]С2!F27</f>
        <v>0.27046175099999997</v>
      </c>
    </row>
    <row r="64" spans="1:3" ht="17.25">
      <c r="A64" s="60" t="s">
        <v>91</v>
      </c>
      <c r="B64" s="59" t="s">
        <v>238</v>
      </c>
      <c r="C64" s="65">
        <f>[9]С2!F28</f>
        <v>4200</v>
      </c>
    </row>
    <row r="65" spans="1:3" ht="42.75">
      <c r="A65" s="60" t="s">
        <v>93</v>
      </c>
      <c r="B65" s="32" t="s">
        <v>239</v>
      </c>
      <c r="C65" s="33">
        <f>[9]С2!F22</f>
        <v>35717.748653137714</v>
      </c>
    </row>
    <row r="66" spans="1:3" ht="30">
      <c r="A66" s="60" t="s">
        <v>95</v>
      </c>
      <c r="B66" s="61" t="s">
        <v>240</v>
      </c>
      <c r="C66" s="33">
        <f>[9]С2!F23</f>
        <v>1990</v>
      </c>
    </row>
    <row r="67" spans="1:3" ht="30">
      <c r="A67" s="60" t="s">
        <v>97</v>
      </c>
      <c r="B67" s="53" t="s">
        <v>98</v>
      </c>
      <c r="C67" s="33">
        <f>[9]С2.1!E27</f>
        <v>14307.876789999998</v>
      </c>
    </row>
    <row r="68" spans="1:3" ht="38.25">
      <c r="A68" s="60" t="s">
        <v>99</v>
      </c>
      <c r="B68" s="68" t="s">
        <v>100</v>
      </c>
      <c r="C68" s="52">
        <f>[9]С2.3!E21</f>
        <v>0</v>
      </c>
    </row>
    <row r="69" spans="1:3" ht="25.5">
      <c r="A69" s="60" t="s">
        <v>101</v>
      </c>
      <c r="B69" s="69" t="s">
        <v>102</v>
      </c>
      <c r="C69" s="70">
        <f>[9]С2.3!E11</f>
        <v>9.89</v>
      </c>
    </row>
    <row r="70" spans="1:3" ht="25.5">
      <c r="A70" s="60" t="s">
        <v>103</v>
      </c>
      <c r="B70" s="69" t="s">
        <v>104</v>
      </c>
      <c r="C70" s="65">
        <f>[9]С2.3!E13</f>
        <v>300</v>
      </c>
    </row>
    <row r="71" spans="1:3" ht="25.5">
      <c r="A71" s="60" t="s">
        <v>105</v>
      </c>
      <c r="B71" s="68" t="s">
        <v>106</v>
      </c>
      <c r="C71" s="71">
        <f>IF([9]С2.3!E22&gt;0,[9]С2.3!E22,[9]С2.3!E14)</f>
        <v>61211</v>
      </c>
    </row>
    <row r="72" spans="1:3" ht="38.25">
      <c r="A72" s="60" t="s">
        <v>107</v>
      </c>
      <c r="B72" s="68" t="s">
        <v>108</v>
      </c>
      <c r="C72" s="71">
        <f>IF([9]С2.3!E23&gt;0,[9]С2.3!E23,[9]С2.3!E15)</f>
        <v>45675</v>
      </c>
    </row>
    <row r="73" spans="1:3" ht="30">
      <c r="A73" s="60" t="s">
        <v>109</v>
      </c>
      <c r="B73" s="53" t="s">
        <v>110</v>
      </c>
      <c r="C73" s="33">
        <f>[9]С2.1!E28</f>
        <v>9541.9567200000001</v>
      </c>
    </row>
    <row r="74" spans="1:3" ht="38.25">
      <c r="A74" s="60" t="s">
        <v>111</v>
      </c>
      <c r="B74" s="68" t="s">
        <v>112</v>
      </c>
      <c r="C74" s="52">
        <f>[9]С2.3!E25</f>
        <v>0</v>
      </c>
    </row>
    <row r="75" spans="1:3" ht="25.5">
      <c r="A75" s="60" t="s">
        <v>113</v>
      </c>
      <c r="B75" s="69" t="s">
        <v>114</v>
      </c>
      <c r="C75" s="70">
        <f>[9]С2.3!E12</f>
        <v>0.56000000000000005</v>
      </c>
    </row>
    <row r="76" spans="1:3" ht="25.5">
      <c r="A76" s="60" t="s">
        <v>115</v>
      </c>
      <c r="B76" s="69" t="s">
        <v>104</v>
      </c>
      <c r="C76" s="65">
        <f>[9]С2.3!E13</f>
        <v>300</v>
      </c>
    </row>
    <row r="77" spans="1:3" ht="25.5">
      <c r="A77" s="60" t="s">
        <v>116</v>
      </c>
      <c r="B77" s="72" t="s">
        <v>117</v>
      </c>
      <c r="C77" s="71">
        <f>IF([9]С2.3!E26&gt;0,[9]С2.3!E26,[9]С2.3!E16)</f>
        <v>65637</v>
      </c>
    </row>
    <row r="78" spans="1:3" ht="38.25">
      <c r="A78" s="60" t="s">
        <v>118</v>
      </c>
      <c r="B78" s="72" t="s">
        <v>119</v>
      </c>
      <c r="C78" s="71">
        <f>IF([9]С2.3!E27&gt;0,[9]С2.3!E27,[9]С2.3!E17)</f>
        <v>31684</v>
      </c>
    </row>
    <row r="79" spans="1:3" ht="17.25">
      <c r="A79" s="60" t="s">
        <v>122</v>
      </c>
      <c r="B79" s="32" t="s">
        <v>123</v>
      </c>
      <c r="C79" s="35">
        <f>[9]С2!F29</f>
        <v>0.128978033685065</v>
      </c>
    </row>
    <row r="80" spans="1:3" ht="30">
      <c r="A80" s="60" t="s">
        <v>124</v>
      </c>
      <c r="B80" s="53" t="s">
        <v>125</v>
      </c>
      <c r="C80" s="73">
        <f>[9]С2!F30</f>
        <v>0.11668498168498169</v>
      </c>
    </row>
    <row r="81" spans="1:3" ht="17.25">
      <c r="A81" s="60" t="s">
        <v>126</v>
      </c>
      <c r="B81" s="74" t="s">
        <v>127</v>
      </c>
      <c r="C81" s="35">
        <f>[9]С2!F31</f>
        <v>0.13880000000000001</v>
      </c>
    </row>
    <row r="82" spans="1:3" s="66" customFormat="1" ht="18" thickBot="1">
      <c r="A82" s="75" t="s">
        <v>128</v>
      </c>
      <c r="B82" s="76" t="s">
        <v>129</v>
      </c>
      <c r="C82" s="77">
        <f>[9]С2!F32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[9]С3!F14</f>
        <v>7018.8643800822501</v>
      </c>
    </row>
    <row r="86" spans="1:3" s="66" customFormat="1" ht="42.75">
      <c r="A86" s="79" t="s">
        <v>134</v>
      </c>
      <c r="B86" s="53" t="s">
        <v>135</v>
      </c>
      <c r="C86" s="80">
        <f>[9]С3!F15</f>
        <v>0.2</v>
      </c>
    </row>
    <row r="87" spans="1:3" s="66" customFormat="1" ht="14.25">
      <c r="A87" s="79" t="s">
        <v>136</v>
      </c>
      <c r="B87" s="81" t="s">
        <v>137</v>
      </c>
      <c r="C87" s="65">
        <f>[9]С3!F18</f>
        <v>15</v>
      </c>
    </row>
    <row r="88" spans="1:3" s="66" customFormat="1" ht="17.25">
      <c r="A88" s="79" t="s">
        <v>138</v>
      </c>
      <c r="B88" s="32" t="s">
        <v>139</v>
      </c>
      <c r="C88" s="33">
        <f>[9]С3!F19</f>
        <v>3487.1555421534131</v>
      </c>
    </row>
    <row r="89" spans="1:3" s="66" customFormat="1" ht="55.5">
      <c r="A89" s="79" t="s">
        <v>140</v>
      </c>
      <c r="B89" s="53" t="s">
        <v>141</v>
      </c>
      <c r="C89" s="82">
        <f>[9]С3!F20</f>
        <v>2.1999999999999999E-2</v>
      </c>
    </row>
    <row r="90" spans="1:3" s="66" customFormat="1" ht="14.25">
      <c r="A90" s="79" t="s">
        <v>142</v>
      </c>
      <c r="B90" s="59" t="s">
        <v>86</v>
      </c>
      <c r="C90" s="65">
        <f>[9]С3!F21</f>
        <v>10</v>
      </c>
    </row>
    <row r="91" spans="1:3" s="66" customFormat="1" ht="17.25">
      <c r="A91" s="79" t="s">
        <v>143</v>
      </c>
      <c r="B91" s="32" t="s">
        <v>144</v>
      </c>
      <c r="C91" s="33">
        <f>[9]С3!F22</f>
        <v>4.7105407613583932</v>
      </c>
    </row>
    <row r="92" spans="1:3" s="66" customFormat="1" ht="55.5">
      <c r="A92" s="79" t="s">
        <v>145</v>
      </c>
      <c r="B92" s="53" t="s">
        <v>146</v>
      </c>
      <c r="C92" s="82">
        <f>[9]С3!F23</f>
        <v>3.0000000000000001E-3</v>
      </c>
    </row>
    <row r="93" spans="1:3" s="66" customFormat="1" ht="27.75" thickBot="1">
      <c r="A93" s="83" t="s">
        <v>147</v>
      </c>
      <c r="B93" s="84" t="s">
        <v>241</v>
      </c>
      <c r="C93" s="85">
        <f>[9]С3!F24</f>
        <v>1570.1802537861311</v>
      </c>
    </row>
    <row r="94" spans="1:3" ht="13.5" thickBot="1">
      <c r="A94" s="48"/>
      <c r="B94" s="49"/>
      <c r="C94" s="14"/>
    </row>
    <row r="95" spans="1:3" ht="30" customHeight="1">
      <c r="A95" s="86" t="s">
        <v>148</v>
      </c>
      <c r="B95" s="142" t="s">
        <v>149</v>
      </c>
      <c r="C95" s="142"/>
    </row>
    <row r="96" spans="1:3" ht="30">
      <c r="A96" s="60" t="s">
        <v>150</v>
      </c>
      <c r="B96" s="32" t="s">
        <v>242</v>
      </c>
      <c r="C96" s="33">
        <f>[9]С4!F16</f>
        <v>1652.5</v>
      </c>
    </row>
    <row r="97" spans="1:3" ht="30">
      <c r="A97" s="60" t="s">
        <v>152</v>
      </c>
      <c r="B97" s="59" t="s">
        <v>243</v>
      </c>
      <c r="C97" s="33">
        <f>[9]С4!F17</f>
        <v>73547</v>
      </c>
    </row>
    <row r="98" spans="1:3" ht="17.25">
      <c r="A98" s="60" t="s">
        <v>154</v>
      </c>
      <c r="B98" s="59" t="s">
        <v>155</v>
      </c>
      <c r="C98" s="41">
        <f>[9]С4!F18</f>
        <v>0.02</v>
      </c>
    </row>
    <row r="99" spans="1:3" ht="30">
      <c r="A99" s="60" t="s">
        <v>156</v>
      </c>
      <c r="B99" s="59" t="s">
        <v>157</v>
      </c>
      <c r="C99" s="33">
        <f>[9]С4!F19</f>
        <v>12104</v>
      </c>
    </row>
    <row r="100" spans="1:3" ht="31.5">
      <c r="A100" s="60" t="s">
        <v>158</v>
      </c>
      <c r="B100" s="59" t="s">
        <v>159</v>
      </c>
      <c r="C100" s="41">
        <f>[9]С4!F20</f>
        <v>1.4999999999999999E-2</v>
      </c>
    </row>
    <row r="101" spans="1:3" ht="30">
      <c r="A101" s="60" t="s">
        <v>160</v>
      </c>
      <c r="B101" s="32" t="s">
        <v>244</v>
      </c>
      <c r="C101" s="33">
        <f>[9]С4!F21</f>
        <v>1933.1949342509995</v>
      </c>
    </row>
    <row r="102" spans="1:3" ht="24" customHeight="1">
      <c r="A102" s="60" t="s">
        <v>162</v>
      </c>
      <c r="B102" s="53" t="s">
        <v>163</v>
      </c>
      <c r="C102" s="34">
        <f>IF([9]С4.2!F8="да",[9]С4.2!D21,[9]С4.2!D15)</f>
        <v>0</v>
      </c>
    </row>
    <row r="103" spans="1:3" ht="68.25">
      <c r="A103" s="60" t="s">
        <v>164</v>
      </c>
      <c r="B103" s="53" t="s">
        <v>165</v>
      </c>
      <c r="C103" s="33">
        <f>[9]С4!F22</f>
        <v>3.6112641666666665</v>
      </c>
    </row>
    <row r="104" spans="1:3" ht="30">
      <c r="A104" s="60" t="s">
        <v>166</v>
      </c>
      <c r="B104" s="59" t="s">
        <v>245</v>
      </c>
      <c r="C104" s="33">
        <f>[9]С4!F23</f>
        <v>180</v>
      </c>
    </row>
    <row r="105" spans="1:3" ht="14.25">
      <c r="A105" s="60" t="s">
        <v>168</v>
      </c>
      <c r="B105" s="53" t="s">
        <v>169</v>
      </c>
      <c r="C105" s="33">
        <f>[9]С4!F24</f>
        <v>8497.1999999999989</v>
      </c>
    </row>
    <row r="106" spans="1:3" ht="14.25">
      <c r="A106" s="60" t="s">
        <v>170</v>
      </c>
      <c r="B106" s="59" t="s">
        <v>171</v>
      </c>
      <c r="C106" s="41">
        <f>[9]С4!F25</f>
        <v>0.35</v>
      </c>
    </row>
    <row r="107" spans="1:3" ht="17.25">
      <c r="A107" s="60" t="s">
        <v>172</v>
      </c>
      <c r="B107" s="32" t="s">
        <v>173</v>
      </c>
      <c r="C107" s="33">
        <f>[9]С4!F26</f>
        <v>86.552340000000015</v>
      </c>
    </row>
    <row r="108" spans="1:3" ht="25.5">
      <c r="A108" s="60" t="s">
        <v>174</v>
      </c>
      <c r="B108" s="53" t="s">
        <v>100</v>
      </c>
      <c r="C108" s="34">
        <f>[9]С4.3!E16</f>
        <v>0</v>
      </c>
    </row>
    <row r="109" spans="1:3" ht="25.5">
      <c r="A109" s="60" t="s">
        <v>175</v>
      </c>
      <c r="B109" s="53" t="s">
        <v>176</v>
      </c>
      <c r="C109" s="33">
        <f>[9]С4.3!E17</f>
        <v>23.78</v>
      </c>
    </row>
    <row r="110" spans="1:3" ht="38.25">
      <c r="A110" s="60" t="s">
        <v>177</v>
      </c>
      <c r="B110" s="53" t="s">
        <v>112</v>
      </c>
      <c r="C110" s="34">
        <f>[9]С4.3!E18</f>
        <v>0</v>
      </c>
    </row>
    <row r="111" spans="1:3">
      <c r="A111" s="60" t="s">
        <v>178</v>
      </c>
      <c r="B111" s="53" t="s">
        <v>179</v>
      </c>
      <c r="C111" s="33">
        <f>[9]С4.3!E19</f>
        <v>15.47</v>
      </c>
    </row>
    <row r="112" spans="1:3">
      <c r="A112" s="60" t="s">
        <v>180</v>
      </c>
      <c r="B112" s="59" t="s">
        <v>181</v>
      </c>
      <c r="C112" s="33">
        <f>[9]С4.3!E11</f>
        <v>1871</v>
      </c>
    </row>
    <row r="113" spans="1:3">
      <c r="A113" s="60" t="s">
        <v>182</v>
      </c>
      <c r="B113" s="59" t="s">
        <v>183</v>
      </c>
      <c r="C113" s="52">
        <f>[9]С4.3!E12</f>
        <v>1636</v>
      </c>
    </row>
    <row r="114" spans="1:3">
      <c r="A114" s="60" t="s">
        <v>184</v>
      </c>
      <c r="B114" s="59" t="s">
        <v>185</v>
      </c>
      <c r="C114" s="52">
        <f>[9]С4.3!E13</f>
        <v>204</v>
      </c>
    </row>
    <row r="115" spans="1:3" ht="30">
      <c r="A115" s="60" t="s">
        <v>186</v>
      </c>
      <c r="B115" s="32" t="s">
        <v>246</v>
      </c>
      <c r="C115" s="33">
        <f>[9]С4!F27</f>
        <v>1467.2629458895778</v>
      </c>
    </row>
    <row r="116" spans="1:3" ht="25.5">
      <c r="A116" s="60" t="s">
        <v>188</v>
      </c>
      <c r="B116" s="53" t="s">
        <v>247</v>
      </c>
      <c r="C116" s="33">
        <f>[9]С4!F28</f>
        <v>1126.9300659674177</v>
      </c>
    </row>
    <row r="117" spans="1:3" ht="42.75">
      <c r="A117" s="60" t="s">
        <v>190</v>
      </c>
      <c r="B117" s="53" t="s">
        <v>191</v>
      </c>
      <c r="C117" s="33">
        <f>[9]С4!F29</f>
        <v>340.33287992216015</v>
      </c>
    </row>
    <row r="118" spans="1:3" ht="30">
      <c r="A118" s="60" t="s">
        <v>192</v>
      </c>
      <c r="B118" s="40" t="s">
        <v>193</v>
      </c>
      <c r="C118" s="33">
        <f>[9]С4!F30</f>
        <v>2063.919252833457</v>
      </c>
    </row>
    <row r="119" spans="1:3" ht="42.75">
      <c r="A119" s="60" t="s">
        <v>248</v>
      </c>
      <c r="B119" s="90" t="s">
        <v>249</v>
      </c>
      <c r="C119" s="33">
        <f>[9]С4!F33</f>
        <v>1316.7823013375851</v>
      </c>
    </row>
    <row r="120" spans="1:3" ht="30">
      <c r="A120" s="60" t="s">
        <v>250</v>
      </c>
      <c r="B120" s="123" t="s">
        <v>251</v>
      </c>
      <c r="C120" s="33">
        <f>[9]С4!F35</f>
        <v>17.040680999999999</v>
      </c>
    </row>
    <row r="121" spans="1:3" ht="14.25">
      <c r="A121" s="60" t="s">
        <v>252</v>
      </c>
      <c r="B121" s="56" t="s">
        <v>253</v>
      </c>
      <c r="C121" s="33">
        <f>[9]С4!F36</f>
        <v>14319.9</v>
      </c>
    </row>
    <row r="122" spans="1:3" ht="28.5" thickBot="1">
      <c r="A122" s="75" t="s">
        <v>254</v>
      </c>
      <c r="B122" s="124" t="s">
        <v>255</v>
      </c>
      <c r="C122" s="85">
        <f>[9]С4!F37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[9]С5!F17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[9]С2!F37</f>
        <v>20.818139999999996</v>
      </c>
    </row>
    <row r="136" spans="1:3" ht="14.25">
      <c r="A136" s="60" t="s">
        <v>214</v>
      </c>
      <c r="B136" s="130" t="s">
        <v>215</v>
      </c>
      <c r="C136" s="33">
        <f>[9]С2!F38</f>
        <v>7</v>
      </c>
    </row>
    <row r="137" spans="1:3" ht="17.25">
      <c r="A137" s="60" t="s">
        <v>216</v>
      </c>
      <c r="B137" s="130" t="s">
        <v>217</v>
      </c>
      <c r="C137" s="33">
        <f>[9]С2!F40</f>
        <v>0.97</v>
      </c>
    </row>
    <row r="138" spans="1:3" ht="15" thickBot="1">
      <c r="A138" s="75" t="s">
        <v>218</v>
      </c>
      <c r="B138" s="131" t="s">
        <v>219</v>
      </c>
      <c r="C138" s="47">
        <f>[9]С2!F42</f>
        <v>0.35</v>
      </c>
    </row>
    <row r="139" spans="1:3" s="88" customFormat="1" ht="13.5" thickBot="1">
      <c r="A139" s="48"/>
      <c r="B139" s="49"/>
      <c r="C139" s="14"/>
    </row>
    <row r="140" spans="1:3" ht="30">
      <c r="A140" s="86" t="s">
        <v>220</v>
      </c>
      <c r="B140" s="96" t="s">
        <v>258</v>
      </c>
      <c r="C140" s="132">
        <f>[9]С2!F35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[9]С2.5!$E$11</f>
        <v>-2.9000000000000026E-2</v>
      </c>
    </row>
    <row r="144" spans="1:3">
      <c r="A144" s="99"/>
      <c r="B144" s="106">
        <f>B143+1</f>
        <v>2021</v>
      </c>
      <c r="C144" s="137">
        <f>[9]С2.5!$F$11</f>
        <v>0.245</v>
      </c>
    </row>
    <row r="145" spans="1:3">
      <c r="A145" s="99"/>
      <c r="B145" s="106">
        <f t="shared" ref="B145:B208" si="0">B144+1</f>
        <v>2022</v>
      </c>
      <c r="C145" s="137">
        <f>[9]С2.5!$G$11</f>
        <v>0.121</v>
      </c>
    </row>
    <row r="146" spans="1:3" ht="13.5" thickBot="1">
      <c r="A146" s="99"/>
      <c r="B146" s="108">
        <f t="shared" si="0"/>
        <v>2023</v>
      </c>
      <c r="C146" s="138">
        <f>[9]С2.5!$H$11</f>
        <v>0.02</v>
      </c>
    </row>
    <row r="147" spans="1:3" hidden="1">
      <c r="A147" s="99"/>
      <c r="B147" s="139">
        <f t="shared" si="0"/>
        <v>2024</v>
      </c>
      <c r="C147" s="140">
        <f>[9]С2.5!$I$11</f>
        <v>-2.93E-2</v>
      </c>
    </row>
    <row r="148" spans="1:3" hidden="1">
      <c r="A148" s="99"/>
      <c r="B148" s="106">
        <f t="shared" si="0"/>
        <v>2025</v>
      </c>
      <c r="C148" s="137">
        <f>[9]С2.5!$J$11</f>
        <v>0.21215960863291</v>
      </c>
    </row>
    <row r="149" spans="1:3" hidden="1">
      <c r="A149" s="99"/>
      <c r="B149" s="106">
        <f t="shared" si="0"/>
        <v>2026</v>
      </c>
      <c r="C149" s="137">
        <f>[9]С2.5!$K$11</f>
        <v>3.5813361771260002E-2</v>
      </c>
    </row>
    <row r="150" spans="1:3" hidden="1">
      <c r="A150" s="99"/>
      <c r="B150" s="106">
        <f t="shared" si="0"/>
        <v>2027</v>
      </c>
      <c r="C150" s="137">
        <f>[9]С2.5!$L$11</f>
        <v>3.2682303599220003E-2</v>
      </c>
    </row>
    <row r="151" spans="1:3" hidden="1">
      <c r="A151" s="99"/>
      <c r="B151" s="106">
        <f t="shared" si="0"/>
        <v>2028</v>
      </c>
      <c r="C151" s="137">
        <f>[9]С2.5!$M$11</f>
        <v>0</v>
      </c>
    </row>
    <row r="152" spans="1:3" hidden="1">
      <c r="A152" s="99"/>
      <c r="B152" s="106">
        <f t="shared" si="0"/>
        <v>2029</v>
      </c>
      <c r="C152" s="137">
        <f>[9]С2.5!$N$11</f>
        <v>0</v>
      </c>
    </row>
    <row r="153" spans="1:3" hidden="1">
      <c r="A153" s="99"/>
      <c r="B153" s="106">
        <f t="shared" si="0"/>
        <v>2030</v>
      </c>
      <c r="C153" s="137">
        <f>[9]С2.5!$O$11</f>
        <v>0</v>
      </c>
    </row>
    <row r="154" spans="1:3" hidden="1">
      <c r="A154" s="99"/>
      <c r="B154" s="106">
        <f t="shared" si="0"/>
        <v>2031</v>
      </c>
      <c r="C154" s="137">
        <f>[9]С2.5!$P$11</f>
        <v>0</v>
      </c>
    </row>
    <row r="155" spans="1:3" hidden="1">
      <c r="A155" s="88"/>
      <c r="B155" s="106">
        <f t="shared" si="0"/>
        <v>2032</v>
      </c>
      <c r="C155" s="137">
        <f>[9]С2.5!$Q$11</f>
        <v>0</v>
      </c>
    </row>
    <row r="156" spans="1:3" hidden="1">
      <c r="A156" s="88"/>
      <c r="B156" s="106">
        <f t="shared" si="0"/>
        <v>2033</v>
      </c>
      <c r="C156" s="137">
        <f>[9]С2.5!$R$11</f>
        <v>0</v>
      </c>
    </row>
    <row r="157" spans="1:3" hidden="1">
      <c r="B157" s="106">
        <f t="shared" si="0"/>
        <v>2034</v>
      </c>
      <c r="C157" s="137">
        <f>[9]С2.5!$S$11</f>
        <v>0</v>
      </c>
    </row>
    <row r="158" spans="1:3" hidden="1">
      <c r="B158" s="106">
        <f t="shared" si="0"/>
        <v>2035</v>
      </c>
      <c r="C158" s="137">
        <f>[9]С2.5!$T$11</f>
        <v>0</v>
      </c>
    </row>
    <row r="159" spans="1:3" hidden="1">
      <c r="B159" s="106">
        <f t="shared" si="0"/>
        <v>2036</v>
      </c>
      <c r="C159" s="137">
        <f>[9]С2.5!$U$11</f>
        <v>0</v>
      </c>
    </row>
    <row r="160" spans="1:3" hidden="1">
      <c r="B160" s="106">
        <f t="shared" si="0"/>
        <v>2037</v>
      </c>
      <c r="C160" s="137">
        <f>[9]С2.5!$V$11</f>
        <v>0</v>
      </c>
    </row>
    <row r="161" spans="2:3" hidden="1">
      <c r="B161" s="106">
        <f t="shared" si="0"/>
        <v>2038</v>
      </c>
      <c r="C161" s="137">
        <f>[9]С2.5!$W$11</f>
        <v>0</v>
      </c>
    </row>
    <row r="162" spans="2:3" hidden="1">
      <c r="B162" s="106">
        <f t="shared" si="0"/>
        <v>2039</v>
      </c>
      <c r="C162" s="137">
        <f>[9]С2.5!$X$11</f>
        <v>0</v>
      </c>
    </row>
    <row r="163" spans="2:3" hidden="1">
      <c r="B163" s="106">
        <f t="shared" si="0"/>
        <v>2040</v>
      </c>
      <c r="C163" s="137">
        <f>[9]С2.5!$Y$11</f>
        <v>0</v>
      </c>
    </row>
    <row r="164" spans="2:3" hidden="1">
      <c r="B164" s="106">
        <f t="shared" si="0"/>
        <v>2041</v>
      </c>
      <c r="C164" s="137">
        <f>[9]С2.5!$Z$11</f>
        <v>0</v>
      </c>
    </row>
    <row r="165" spans="2:3" hidden="1">
      <c r="B165" s="106">
        <f t="shared" si="0"/>
        <v>2042</v>
      </c>
      <c r="C165" s="137">
        <f>[9]С2.5!$AA$11</f>
        <v>0</v>
      </c>
    </row>
    <row r="166" spans="2:3" hidden="1">
      <c r="B166" s="106">
        <f t="shared" si="0"/>
        <v>2043</v>
      </c>
      <c r="C166" s="137">
        <f>[9]С2.5!$AB$11</f>
        <v>0</v>
      </c>
    </row>
    <row r="167" spans="2:3" hidden="1">
      <c r="B167" s="106">
        <f t="shared" si="0"/>
        <v>2044</v>
      </c>
      <c r="C167" s="137">
        <f>[9]С2.5!$AC$11</f>
        <v>0</v>
      </c>
    </row>
    <row r="168" spans="2:3" hidden="1">
      <c r="B168" s="106">
        <f t="shared" si="0"/>
        <v>2045</v>
      </c>
      <c r="C168" s="137">
        <f>[9]С2.5!$AD$11</f>
        <v>0</v>
      </c>
    </row>
    <row r="169" spans="2:3" hidden="1">
      <c r="B169" s="106">
        <f t="shared" si="0"/>
        <v>2046</v>
      </c>
      <c r="C169" s="137">
        <f>[9]С2.5!$AE$11</f>
        <v>0</v>
      </c>
    </row>
    <row r="170" spans="2:3" hidden="1">
      <c r="B170" s="106">
        <f t="shared" si="0"/>
        <v>2047</v>
      </c>
      <c r="C170" s="137">
        <f>[9]С2.5!$AF$11</f>
        <v>0</v>
      </c>
    </row>
    <row r="171" spans="2:3" hidden="1">
      <c r="B171" s="106">
        <f t="shared" si="0"/>
        <v>2048</v>
      </c>
      <c r="C171" s="137">
        <f>[9]С2.5!$AG$11</f>
        <v>0</v>
      </c>
    </row>
    <row r="172" spans="2:3" hidden="1">
      <c r="B172" s="106">
        <f t="shared" si="0"/>
        <v>2049</v>
      </c>
      <c r="C172" s="137">
        <f>[9]С2.5!$AH$11</f>
        <v>0</v>
      </c>
    </row>
    <row r="173" spans="2:3" hidden="1">
      <c r="B173" s="106">
        <f t="shared" si="0"/>
        <v>2050</v>
      </c>
      <c r="C173" s="137">
        <f>[9]С2.5!$AI$11</f>
        <v>0</v>
      </c>
    </row>
    <row r="174" spans="2:3" hidden="1">
      <c r="B174" s="106">
        <f t="shared" si="0"/>
        <v>2051</v>
      </c>
      <c r="C174" s="137">
        <f>[9]С2.5!$AJ$11</f>
        <v>0</v>
      </c>
    </row>
    <row r="175" spans="2:3" hidden="1">
      <c r="B175" s="106">
        <f t="shared" si="0"/>
        <v>2052</v>
      </c>
      <c r="C175" s="137">
        <f>[9]С2.5!$AK$11</f>
        <v>0</v>
      </c>
    </row>
    <row r="176" spans="2:3" hidden="1">
      <c r="B176" s="106">
        <f t="shared" si="0"/>
        <v>2053</v>
      </c>
      <c r="C176" s="137">
        <f>[9]С2.5!$AL$11</f>
        <v>0</v>
      </c>
    </row>
    <row r="177" spans="2:3" hidden="1">
      <c r="B177" s="106">
        <f t="shared" si="0"/>
        <v>2054</v>
      </c>
      <c r="C177" s="137">
        <f>[9]С2.5!$AM$11</f>
        <v>0</v>
      </c>
    </row>
    <row r="178" spans="2:3" hidden="1">
      <c r="B178" s="106">
        <f t="shared" si="0"/>
        <v>2055</v>
      </c>
      <c r="C178" s="137">
        <f>[9]С2.5!$AN$11</f>
        <v>0</v>
      </c>
    </row>
    <row r="179" spans="2:3" hidden="1">
      <c r="B179" s="106">
        <f t="shared" si="0"/>
        <v>2056</v>
      </c>
      <c r="C179" s="137">
        <f>[9]С2.5!$AO$11</f>
        <v>0</v>
      </c>
    </row>
    <row r="180" spans="2:3" hidden="1">
      <c r="B180" s="106">
        <f t="shared" si="0"/>
        <v>2057</v>
      </c>
      <c r="C180" s="137">
        <f>[9]С2.5!$AP$11</f>
        <v>0</v>
      </c>
    </row>
    <row r="181" spans="2:3" hidden="1">
      <c r="B181" s="106">
        <f t="shared" si="0"/>
        <v>2058</v>
      </c>
      <c r="C181" s="137">
        <f>[9]С2.5!$AQ$11</f>
        <v>0</v>
      </c>
    </row>
    <row r="182" spans="2:3" hidden="1">
      <c r="B182" s="106">
        <f t="shared" si="0"/>
        <v>2059</v>
      </c>
      <c r="C182" s="137">
        <f>[9]С2.5!$AR$11</f>
        <v>0</v>
      </c>
    </row>
    <row r="183" spans="2:3" hidden="1">
      <c r="B183" s="106">
        <f t="shared" si="0"/>
        <v>2060</v>
      </c>
      <c r="C183" s="137">
        <f>[9]С2.5!$AS$11</f>
        <v>0</v>
      </c>
    </row>
    <row r="184" spans="2:3" hidden="1">
      <c r="B184" s="106">
        <f t="shared" si="0"/>
        <v>2061</v>
      </c>
      <c r="C184" s="137">
        <f>[9]С2.5!$AT$11</f>
        <v>0</v>
      </c>
    </row>
    <row r="185" spans="2:3" hidden="1">
      <c r="B185" s="106">
        <f t="shared" si="0"/>
        <v>2062</v>
      </c>
      <c r="C185" s="137">
        <f>[9]С2.5!$AU$11</f>
        <v>0</v>
      </c>
    </row>
    <row r="186" spans="2:3" hidden="1">
      <c r="B186" s="106">
        <f t="shared" si="0"/>
        <v>2063</v>
      </c>
      <c r="C186" s="137">
        <f>[9]С2.5!$AV$11</f>
        <v>0</v>
      </c>
    </row>
    <row r="187" spans="2:3" hidden="1">
      <c r="B187" s="106">
        <f t="shared" si="0"/>
        <v>2064</v>
      </c>
      <c r="C187" s="137">
        <f>[9]С2.5!$AW$11</f>
        <v>0</v>
      </c>
    </row>
    <row r="188" spans="2:3" hidden="1">
      <c r="B188" s="106">
        <f t="shared" si="0"/>
        <v>2065</v>
      </c>
      <c r="C188" s="137">
        <f>[9]С2.5!$AX$11</f>
        <v>0</v>
      </c>
    </row>
    <row r="189" spans="2:3" hidden="1">
      <c r="B189" s="106">
        <f t="shared" si="0"/>
        <v>2066</v>
      </c>
      <c r="C189" s="137">
        <f>[9]С2.5!$AY$11</f>
        <v>0</v>
      </c>
    </row>
    <row r="190" spans="2:3" hidden="1">
      <c r="B190" s="106">
        <f t="shared" si="0"/>
        <v>2067</v>
      </c>
      <c r="C190" s="137">
        <f>[9]С2.5!$AZ$11</f>
        <v>0</v>
      </c>
    </row>
    <row r="191" spans="2:3" hidden="1">
      <c r="B191" s="106">
        <f t="shared" si="0"/>
        <v>2068</v>
      </c>
      <c r="C191" s="137">
        <f>[9]С2.5!$BA$11</f>
        <v>0</v>
      </c>
    </row>
    <row r="192" spans="2:3" hidden="1">
      <c r="B192" s="106">
        <f t="shared" si="0"/>
        <v>2069</v>
      </c>
      <c r="C192" s="137">
        <f>[9]С2.5!$BB$11</f>
        <v>0</v>
      </c>
    </row>
    <row r="193" spans="2:3" hidden="1">
      <c r="B193" s="106">
        <f t="shared" si="0"/>
        <v>2070</v>
      </c>
      <c r="C193" s="137">
        <f>[9]С2.5!$BC$11</f>
        <v>0</v>
      </c>
    </row>
    <row r="194" spans="2:3" hidden="1">
      <c r="B194" s="106">
        <f t="shared" si="0"/>
        <v>2071</v>
      </c>
      <c r="C194" s="137">
        <f>[9]С2.5!$BD$11</f>
        <v>0</v>
      </c>
    </row>
    <row r="195" spans="2:3" hidden="1">
      <c r="B195" s="106">
        <f t="shared" si="0"/>
        <v>2072</v>
      </c>
      <c r="C195" s="137">
        <f>[9]С2.5!$BE$11</f>
        <v>0</v>
      </c>
    </row>
    <row r="196" spans="2:3" hidden="1">
      <c r="B196" s="106">
        <f t="shared" si="0"/>
        <v>2073</v>
      </c>
      <c r="C196" s="137">
        <f>[9]С2.5!$BF$11</f>
        <v>0</v>
      </c>
    </row>
    <row r="197" spans="2:3" hidden="1">
      <c r="B197" s="106">
        <f t="shared" si="0"/>
        <v>2074</v>
      </c>
      <c r="C197" s="137">
        <f>[9]С2.5!$BG$11</f>
        <v>0</v>
      </c>
    </row>
    <row r="198" spans="2:3" hidden="1">
      <c r="B198" s="106">
        <f t="shared" si="0"/>
        <v>2075</v>
      </c>
      <c r="C198" s="137">
        <f>[9]С2.5!$BH$11</f>
        <v>0</v>
      </c>
    </row>
    <row r="199" spans="2:3" hidden="1">
      <c r="B199" s="106">
        <f t="shared" si="0"/>
        <v>2076</v>
      </c>
      <c r="C199" s="137">
        <f>[9]С2.5!$BI$11</f>
        <v>0</v>
      </c>
    </row>
    <row r="200" spans="2:3" hidden="1">
      <c r="B200" s="106">
        <f t="shared" si="0"/>
        <v>2077</v>
      </c>
      <c r="C200" s="137">
        <f>[9]С2.5!$BJ$11</f>
        <v>0</v>
      </c>
    </row>
    <row r="201" spans="2:3" hidden="1">
      <c r="B201" s="106">
        <f t="shared" si="0"/>
        <v>2078</v>
      </c>
      <c r="C201" s="137">
        <f>[9]С2.5!$BK$11</f>
        <v>0</v>
      </c>
    </row>
    <row r="202" spans="2:3" hidden="1">
      <c r="B202" s="106">
        <f t="shared" si="0"/>
        <v>2079</v>
      </c>
      <c r="C202" s="137">
        <f>[9]С2.5!$BL$11</f>
        <v>0</v>
      </c>
    </row>
    <row r="203" spans="2:3" hidden="1">
      <c r="B203" s="106">
        <f t="shared" si="0"/>
        <v>2080</v>
      </c>
      <c r="C203" s="137">
        <f>[9]С2.5!$BM$11</f>
        <v>0</v>
      </c>
    </row>
    <row r="204" spans="2:3" hidden="1">
      <c r="B204" s="106">
        <f t="shared" si="0"/>
        <v>2081</v>
      </c>
      <c r="C204" s="137">
        <f>[9]С2.5!$BN$11</f>
        <v>0</v>
      </c>
    </row>
    <row r="205" spans="2:3" hidden="1">
      <c r="B205" s="106">
        <f t="shared" si="0"/>
        <v>2082</v>
      </c>
      <c r="C205" s="137">
        <f>[9]С2.5!$BO$11</f>
        <v>0</v>
      </c>
    </row>
    <row r="206" spans="2:3" hidden="1">
      <c r="B206" s="106">
        <f t="shared" si="0"/>
        <v>2083</v>
      </c>
      <c r="C206" s="137">
        <f>[9]С2.5!$BP$11</f>
        <v>0</v>
      </c>
    </row>
    <row r="207" spans="2:3" hidden="1">
      <c r="B207" s="106">
        <f t="shared" si="0"/>
        <v>2084</v>
      </c>
      <c r="C207" s="137">
        <f>[9]С2.5!$BQ$11</f>
        <v>0</v>
      </c>
    </row>
    <row r="208" spans="2:3" hidden="1">
      <c r="B208" s="106">
        <f t="shared" si="0"/>
        <v>2085</v>
      </c>
      <c r="C208" s="137">
        <f>[9]С2.5!$BR$11</f>
        <v>0</v>
      </c>
    </row>
    <row r="209" spans="2:3" hidden="1">
      <c r="B209" s="106">
        <f t="shared" ref="B209:B223" si="1">B208+1</f>
        <v>2086</v>
      </c>
      <c r="C209" s="137">
        <f>[9]С2.5!$BS$11</f>
        <v>0</v>
      </c>
    </row>
    <row r="210" spans="2:3" hidden="1">
      <c r="B210" s="106">
        <f t="shared" si="1"/>
        <v>2087</v>
      </c>
      <c r="C210" s="137">
        <f>[9]С2.5!$BT$11</f>
        <v>0</v>
      </c>
    </row>
    <row r="211" spans="2:3" hidden="1">
      <c r="B211" s="106">
        <f t="shared" si="1"/>
        <v>2088</v>
      </c>
      <c r="C211" s="137">
        <f>[9]С2.5!$BU$11</f>
        <v>0</v>
      </c>
    </row>
    <row r="212" spans="2:3" hidden="1">
      <c r="B212" s="106">
        <f t="shared" si="1"/>
        <v>2089</v>
      </c>
      <c r="C212" s="137">
        <f>[9]С2.5!$BV$11</f>
        <v>0</v>
      </c>
    </row>
    <row r="213" spans="2:3" hidden="1">
      <c r="B213" s="106">
        <f t="shared" si="1"/>
        <v>2090</v>
      </c>
      <c r="C213" s="137">
        <f>[9]С2.5!$BW$11</f>
        <v>0</v>
      </c>
    </row>
    <row r="214" spans="2:3" hidden="1">
      <c r="B214" s="106">
        <f t="shared" si="1"/>
        <v>2091</v>
      </c>
      <c r="C214" s="137">
        <f>[9]С2.5!$BX$11</f>
        <v>0</v>
      </c>
    </row>
    <row r="215" spans="2:3" hidden="1">
      <c r="B215" s="106">
        <f t="shared" si="1"/>
        <v>2092</v>
      </c>
      <c r="C215" s="137">
        <f>[9]С2.5!$BY$11</f>
        <v>0</v>
      </c>
    </row>
    <row r="216" spans="2:3" hidden="1">
      <c r="B216" s="106">
        <f t="shared" si="1"/>
        <v>2093</v>
      </c>
      <c r="C216" s="137">
        <f>[9]С2.5!$BZ$11</f>
        <v>0</v>
      </c>
    </row>
    <row r="217" spans="2:3" hidden="1">
      <c r="B217" s="106">
        <f t="shared" si="1"/>
        <v>2094</v>
      </c>
      <c r="C217" s="137">
        <f>[9]С2.5!$CA$11</f>
        <v>0</v>
      </c>
    </row>
    <row r="218" spans="2:3" hidden="1">
      <c r="B218" s="106">
        <f t="shared" si="1"/>
        <v>2095</v>
      </c>
      <c r="C218" s="137">
        <f>[9]С2.5!$CB$11</f>
        <v>0</v>
      </c>
    </row>
    <row r="219" spans="2:3" hidden="1">
      <c r="B219" s="106">
        <f t="shared" si="1"/>
        <v>2096</v>
      </c>
      <c r="C219" s="137">
        <f>[9]С2.5!$CC$11</f>
        <v>0</v>
      </c>
    </row>
    <row r="220" spans="2:3" hidden="1">
      <c r="B220" s="106">
        <f t="shared" si="1"/>
        <v>2097</v>
      </c>
      <c r="C220" s="137">
        <f>[9]С2.5!$CD$11</f>
        <v>0</v>
      </c>
    </row>
    <row r="221" spans="2:3" hidden="1">
      <c r="B221" s="106">
        <f t="shared" si="1"/>
        <v>2098</v>
      </c>
      <c r="C221" s="137">
        <f>[9]С2.5!$CE$11</f>
        <v>0</v>
      </c>
    </row>
    <row r="222" spans="2:3" hidden="1">
      <c r="B222" s="106">
        <f t="shared" si="1"/>
        <v>2099</v>
      </c>
      <c r="C222" s="137">
        <f>[9]С2.5!$CF$11</f>
        <v>0</v>
      </c>
    </row>
    <row r="223" spans="2:3" ht="13.5" hidden="1" thickBot="1">
      <c r="B223" s="108">
        <f t="shared" si="1"/>
        <v>2100</v>
      </c>
      <c r="C223" s="138">
        <f>[9]С2.5!$CG$11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G1048576"/>
    </sheetView>
  </sheetViews>
  <sheetFormatPr defaultRowHeight="12.75"/>
  <cols>
    <col min="1" max="1" width="9.140625" style="2" customWidth="1"/>
    <col min="2" max="2" width="100.5703125" style="2" customWidth="1"/>
    <col min="3" max="3" width="20.85546875" style="6"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[10]И1!D13</f>
        <v>Субъект Российской Федерации</v>
      </c>
      <c r="C4" s="9" t="str">
        <f>[10]И1!E13</f>
        <v>Новосибирская область</v>
      </c>
    </row>
    <row r="5" spans="1:3">
      <c r="A5" s="7"/>
      <c r="B5" s="8" t="str">
        <f>[10]И1!D14</f>
        <v>Тип муниципального образования (выберите из списка)</v>
      </c>
      <c r="C5" s="9" t="str">
        <f>[10]И1!E14</f>
        <v>Королевское МО</v>
      </c>
    </row>
    <row r="6" spans="1:3">
      <c r="A6" s="7"/>
      <c r="B6" s="8" t="str">
        <f>IF([10]И1!E15="","",[10]И1!D15)</f>
        <v/>
      </c>
      <c r="C6" s="9" t="str">
        <f>IF([10]И1!E15="","",[10]И1!E15)</f>
        <v/>
      </c>
    </row>
    <row r="7" spans="1:3">
      <c r="A7" s="7"/>
      <c r="B7" s="8" t="str">
        <f>[10]И1!D16</f>
        <v>Код ОКТМО</v>
      </c>
      <c r="C7" s="10" t="str">
        <f>[10]И1!E16</f>
        <v>50621410101</v>
      </c>
    </row>
    <row r="8" spans="1:3">
      <c r="A8" s="7"/>
      <c r="B8" s="11" t="str">
        <f>[10]И1!D17</f>
        <v>Система теплоснабжения</v>
      </c>
      <c r="C8" s="12">
        <f>[10]И1!E17</f>
        <v>0</v>
      </c>
    </row>
    <row r="9" spans="1:3">
      <c r="A9" s="7"/>
      <c r="B9" s="8" t="str">
        <f>[10]И1!D8</f>
        <v>Период регулирования (i)-й</v>
      </c>
      <c r="C9" s="13">
        <f>[10]И1!E8</f>
        <v>2023</v>
      </c>
    </row>
    <row r="10" spans="1:3">
      <c r="A10" s="7"/>
      <c r="B10" s="8" t="str">
        <f>[10]И1!D9</f>
        <v>Период регулирования (i-1)-й</v>
      </c>
      <c r="C10" s="13">
        <f>[10]И1!E9</f>
        <v>2022</v>
      </c>
    </row>
    <row r="11" spans="1:3">
      <c r="A11" s="7"/>
      <c r="B11" s="8" t="str">
        <f>[10]И1!D10</f>
        <v>Период регулирования (i-2)-й</v>
      </c>
      <c r="C11" s="13">
        <f>[10]И1!E10</f>
        <v>2021</v>
      </c>
    </row>
    <row r="12" spans="1:3">
      <c r="A12" s="7"/>
      <c r="B12" s="8" t="str">
        <f>[10]И1!D11</f>
        <v>Базовый год (б)</v>
      </c>
      <c r="C12" s="13">
        <f>[10]И1!E11</f>
        <v>2019</v>
      </c>
    </row>
    <row r="13" spans="1:3" ht="38.25">
      <c r="A13" s="7"/>
      <c r="B13" s="8" t="str">
        <f>[10]И1!D18</f>
        <v>Вид топлива, использование которого преобладает в системе теплоснабжения</v>
      </c>
      <c r="C13" s="14" t="str">
        <f>[10]С1.1!E13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4026.114824337732</v>
      </c>
    </row>
    <row r="18" spans="1:3" ht="42.75">
      <c r="A18" s="21" t="s">
        <v>8</v>
      </c>
      <c r="B18" s="24" t="s">
        <v>9</v>
      </c>
      <c r="C18" s="25">
        <f>[10]С1!F12</f>
        <v>891.90184297896326</v>
      </c>
    </row>
    <row r="19" spans="1:3" ht="42.75">
      <c r="A19" s="21" t="s">
        <v>10</v>
      </c>
      <c r="B19" s="24" t="s">
        <v>11</v>
      </c>
      <c r="C19" s="25">
        <f>[10]С2!F12</f>
        <v>2109.9946743617465</v>
      </c>
    </row>
    <row r="20" spans="1:3" ht="30">
      <c r="A20" s="21" t="s">
        <v>12</v>
      </c>
      <c r="B20" s="24" t="s">
        <v>13</v>
      </c>
      <c r="C20" s="25">
        <f>[10]С3!F12</f>
        <v>504.88326349025533</v>
      </c>
    </row>
    <row r="21" spans="1:3" ht="42.75">
      <c r="A21" s="21" t="s">
        <v>14</v>
      </c>
      <c r="B21" s="24" t="s">
        <v>226</v>
      </c>
      <c r="C21" s="25">
        <f>[10]С4!F12</f>
        <v>440.39161557857591</v>
      </c>
    </row>
    <row r="22" spans="1:3" ht="30">
      <c r="A22" s="21" t="s">
        <v>16</v>
      </c>
      <c r="B22" s="24" t="s">
        <v>227</v>
      </c>
      <c r="C22" s="25">
        <f>[10]С5!F12</f>
        <v>78.943427928190829</v>
      </c>
    </row>
    <row r="23" spans="1:3" ht="43.5" thickBot="1">
      <c r="A23" s="26" t="s">
        <v>18</v>
      </c>
      <c r="B23" s="27" t="s">
        <v>228</v>
      </c>
      <c r="C23" s="28" t="str">
        <f>[10]С6!F12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[10]С1.1!E16</f>
        <v>5100</v>
      </c>
    </row>
    <row r="29" spans="1:3" ht="42.75">
      <c r="A29" s="21" t="s">
        <v>10</v>
      </c>
      <c r="B29" s="32" t="s">
        <v>230</v>
      </c>
      <c r="C29" s="33">
        <f>[10]С1.1!E27</f>
        <v>2398.1750000000002</v>
      </c>
    </row>
    <row r="30" spans="1:3" ht="17.25">
      <c r="A30" s="21" t="s">
        <v>12</v>
      </c>
      <c r="B30" s="32" t="s">
        <v>29</v>
      </c>
      <c r="C30" s="35">
        <f>[10]С1.1!E19</f>
        <v>0.59499999999999997</v>
      </c>
    </row>
    <row r="31" spans="1:3" ht="17.25">
      <c r="A31" s="21" t="s">
        <v>14</v>
      </c>
      <c r="B31" s="32" t="s">
        <v>30</v>
      </c>
      <c r="C31" s="35">
        <f>[10]С1.1!E20</f>
        <v>-0.113</v>
      </c>
    </row>
    <row r="32" spans="1:3" ht="30">
      <c r="A32" s="21" t="s">
        <v>16</v>
      </c>
      <c r="B32" s="36" t="s">
        <v>231</v>
      </c>
      <c r="C32" s="119">
        <f>[10]С1!F13</f>
        <v>176.4</v>
      </c>
    </row>
    <row r="33" spans="1:3">
      <c r="A33" s="21" t="s">
        <v>18</v>
      </c>
      <c r="B33" s="36" t="s">
        <v>32</v>
      </c>
      <c r="C33" s="38">
        <f>[10]С1!F16</f>
        <v>7000</v>
      </c>
    </row>
    <row r="34" spans="1:3" ht="14.25">
      <c r="A34" s="21" t="s">
        <v>33</v>
      </c>
      <c r="B34" s="40" t="s">
        <v>232</v>
      </c>
      <c r="C34" s="41">
        <f>[10]С1!F17</f>
        <v>0.72857142857142854</v>
      </c>
    </row>
    <row r="35" spans="1:3" ht="15.75">
      <c r="A35" s="120" t="s">
        <v>35</v>
      </c>
      <c r="B35" s="43" t="s">
        <v>36</v>
      </c>
      <c r="C35" s="41">
        <f>[10]С1!F20</f>
        <v>21.588411179999994</v>
      </c>
    </row>
    <row r="36" spans="1:3" ht="15.75">
      <c r="A36" s="120" t="s">
        <v>37</v>
      </c>
      <c r="B36" s="44" t="s">
        <v>38</v>
      </c>
      <c r="C36" s="41">
        <f>[10]С1!F21</f>
        <v>20.818139999999996</v>
      </c>
    </row>
    <row r="37" spans="1:3" ht="14.25">
      <c r="A37" s="120" t="s">
        <v>39</v>
      </c>
      <c r="B37" s="45" t="s">
        <v>40</v>
      </c>
      <c r="C37" s="41">
        <f>[10]С1!F22</f>
        <v>1.0369999999999999</v>
      </c>
    </row>
    <row r="38" spans="1:3" ht="53.25" thickBot="1">
      <c r="A38" s="26" t="s">
        <v>41</v>
      </c>
      <c r="B38" s="46" t="s">
        <v>42</v>
      </c>
      <c r="C38" s="47">
        <f>[10]С1!F23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[10]С2.1!E12</f>
        <v>V</v>
      </c>
    </row>
    <row r="42" spans="1:3" ht="25.5">
      <c r="A42" s="21" t="s">
        <v>47</v>
      </c>
      <c r="B42" s="32" t="s">
        <v>48</v>
      </c>
      <c r="C42" s="51" t="str">
        <f>[10]С2.1!E13</f>
        <v>6 и менее баллов</v>
      </c>
    </row>
    <row r="43" spans="1:3" ht="25.5">
      <c r="A43" s="21" t="s">
        <v>49</v>
      </c>
      <c r="B43" s="32" t="s">
        <v>233</v>
      </c>
      <c r="C43" s="51" t="str">
        <f>[10]С2.1!E14</f>
        <v>от 200 до 500</v>
      </c>
    </row>
    <row r="44" spans="1:3" ht="25.5">
      <c r="A44" s="21" t="s">
        <v>51</v>
      </c>
      <c r="B44" s="32" t="s">
        <v>234</v>
      </c>
      <c r="C44" s="52" t="str">
        <f>[10]С2.1!E15</f>
        <v>нет</v>
      </c>
    </row>
    <row r="45" spans="1:3" ht="30">
      <c r="A45" s="21" t="s">
        <v>53</v>
      </c>
      <c r="B45" s="32" t="s">
        <v>54</v>
      </c>
      <c r="C45" s="33">
        <f>[10]С2!F18</f>
        <v>32402.627334033532</v>
      </c>
    </row>
    <row r="46" spans="1:3" ht="30">
      <c r="A46" s="21" t="s">
        <v>55</v>
      </c>
      <c r="B46" s="53" t="s">
        <v>56</v>
      </c>
      <c r="C46" s="33">
        <f>IF([10]С2!F19&gt;0,[10]С2!F19,[10]С2!F20)</f>
        <v>23441.524932855718</v>
      </c>
    </row>
    <row r="47" spans="1:3" ht="25.5">
      <c r="A47" s="21" t="s">
        <v>57</v>
      </c>
      <c r="B47" s="54" t="s">
        <v>58</v>
      </c>
      <c r="C47" s="33">
        <f>[10]С2.1!E19</f>
        <v>-37</v>
      </c>
    </row>
    <row r="48" spans="1:3" ht="25.5">
      <c r="A48" s="21" t="s">
        <v>59</v>
      </c>
      <c r="B48" s="54" t="s">
        <v>60</v>
      </c>
      <c r="C48" s="33" t="str">
        <f>[10]С2.1!E22</f>
        <v>нет</v>
      </c>
    </row>
    <row r="49" spans="1:3" ht="38.25">
      <c r="A49" s="21" t="s">
        <v>61</v>
      </c>
      <c r="B49" s="55" t="s">
        <v>62</v>
      </c>
      <c r="C49" s="33">
        <f>[10]С2.2!E10</f>
        <v>1287</v>
      </c>
    </row>
    <row r="50" spans="1:3" ht="25.5">
      <c r="A50" s="21" t="s">
        <v>63</v>
      </c>
      <c r="B50" s="56" t="s">
        <v>64</v>
      </c>
      <c r="C50" s="33">
        <f>[10]С2.2!E12</f>
        <v>5.97</v>
      </c>
    </row>
    <row r="51" spans="1:3" ht="52.5">
      <c r="A51" s="21" t="s">
        <v>65</v>
      </c>
      <c r="B51" s="57" t="s">
        <v>66</v>
      </c>
      <c r="C51" s="33">
        <f>[10]С2.2!E13</f>
        <v>1</v>
      </c>
    </row>
    <row r="52" spans="1:3" ht="27.75">
      <c r="A52" s="21" t="s">
        <v>67</v>
      </c>
      <c r="B52" s="56" t="s">
        <v>68</v>
      </c>
      <c r="C52" s="33">
        <f>[10]С2.2!E14</f>
        <v>12104</v>
      </c>
    </row>
    <row r="53" spans="1:3" ht="25.5">
      <c r="A53" s="21" t="s">
        <v>69</v>
      </c>
      <c r="B53" s="57" t="s">
        <v>70</v>
      </c>
      <c r="C53" s="35">
        <f>[10]С2.2!E15</f>
        <v>4.8000000000000001E-2</v>
      </c>
    </row>
    <row r="54" spans="1:3">
      <c r="A54" s="21" t="s">
        <v>71</v>
      </c>
      <c r="B54" s="57" t="s">
        <v>72</v>
      </c>
      <c r="C54" s="33">
        <f>[10]С2.2!E16</f>
        <v>1</v>
      </c>
    </row>
    <row r="55" spans="1:3" ht="15.75">
      <c r="A55" s="21" t="s">
        <v>73</v>
      </c>
      <c r="B55" s="59" t="s">
        <v>74</v>
      </c>
      <c r="C55" s="33">
        <f>[10]С2!F21</f>
        <v>1</v>
      </c>
    </row>
    <row r="56" spans="1:3" ht="30">
      <c r="A56" s="60" t="s">
        <v>75</v>
      </c>
      <c r="B56" s="32" t="s">
        <v>235</v>
      </c>
      <c r="C56" s="33">
        <f>[10]С2!F13</f>
        <v>169640.22915965237</v>
      </c>
    </row>
    <row r="57" spans="1:3" ht="30">
      <c r="A57" s="60" t="s">
        <v>77</v>
      </c>
      <c r="B57" s="59" t="s">
        <v>236</v>
      </c>
      <c r="C57" s="33">
        <f>[10]С2!F14</f>
        <v>113455</v>
      </c>
    </row>
    <row r="58" spans="1:3" ht="15.75">
      <c r="A58" s="60" t="s">
        <v>79</v>
      </c>
      <c r="B58" s="61" t="s">
        <v>80</v>
      </c>
      <c r="C58" s="41">
        <f>[10]С2!F15</f>
        <v>1.071</v>
      </c>
    </row>
    <row r="59" spans="1:3" ht="15.75">
      <c r="A59" s="60" t="s">
        <v>81</v>
      </c>
      <c r="B59" s="61" t="s">
        <v>82</v>
      </c>
      <c r="C59" s="41">
        <f>[10]С2!F16</f>
        <v>1</v>
      </c>
    </row>
    <row r="60" spans="1:3" ht="17.25">
      <c r="A60" s="60" t="s">
        <v>83</v>
      </c>
      <c r="B60" s="59" t="s">
        <v>84</v>
      </c>
      <c r="C60" s="33">
        <f>[10]С2!F17</f>
        <v>1.01</v>
      </c>
    </row>
    <row r="61" spans="1:3" s="66" customFormat="1" ht="14.25">
      <c r="A61" s="60" t="s">
        <v>85</v>
      </c>
      <c r="B61" s="64" t="s">
        <v>86</v>
      </c>
      <c r="C61" s="65">
        <f>[10]С2!F33</f>
        <v>10</v>
      </c>
    </row>
    <row r="62" spans="1:3" ht="30">
      <c r="A62" s="60" t="s">
        <v>87</v>
      </c>
      <c r="B62" s="67" t="s">
        <v>88</v>
      </c>
      <c r="C62" s="33">
        <f>[10]С2!F26</f>
        <v>1570.1802537861311</v>
      </c>
    </row>
    <row r="63" spans="1:3" ht="17.25">
      <c r="A63" s="60" t="s">
        <v>89</v>
      </c>
      <c r="B63" s="53" t="s">
        <v>237</v>
      </c>
      <c r="C63" s="33">
        <f>[10]С2!F27</f>
        <v>0.27046175099999997</v>
      </c>
    </row>
    <row r="64" spans="1:3" ht="17.25">
      <c r="A64" s="60" t="s">
        <v>91</v>
      </c>
      <c r="B64" s="59" t="s">
        <v>238</v>
      </c>
      <c r="C64" s="65">
        <f>[10]С2!F28</f>
        <v>4200</v>
      </c>
    </row>
    <row r="65" spans="1:3" ht="42.75">
      <c r="A65" s="60" t="s">
        <v>93</v>
      </c>
      <c r="B65" s="32" t="s">
        <v>239</v>
      </c>
      <c r="C65" s="33">
        <f>[10]С2!F22</f>
        <v>35717.748653137714</v>
      </c>
    </row>
    <row r="66" spans="1:3" ht="30">
      <c r="A66" s="60" t="s">
        <v>95</v>
      </c>
      <c r="B66" s="61" t="s">
        <v>240</v>
      </c>
      <c r="C66" s="33">
        <f>[10]С2!F23</f>
        <v>1990</v>
      </c>
    </row>
    <row r="67" spans="1:3" ht="30">
      <c r="A67" s="60" t="s">
        <v>97</v>
      </c>
      <c r="B67" s="53" t="s">
        <v>98</v>
      </c>
      <c r="C67" s="33">
        <f>[10]С2.1!E27</f>
        <v>14307.876789999998</v>
      </c>
    </row>
    <row r="68" spans="1:3" ht="38.25">
      <c r="A68" s="60" t="s">
        <v>99</v>
      </c>
      <c r="B68" s="68" t="s">
        <v>100</v>
      </c>
      <c r="C68" s="52">
        <f>[10]С2.3!E21</f>
        <v>0</v>
      </c>
    </row>
    <row r="69" spans="1:3" ht="25.5">
      <c r="A69" s="60" t="s">
        <v>101</v>
      </c>
      <c r="B69" s="69" t="s">
        <v>102</v>
      </c>
      <c r="C69" s="70">
        <f>[10]С2.3!E11</f>
        <v>9.89</v>
      </c>
    </row>
    <row r="70" spans="1:3" ht="25.5">
      <c r="A70" s="60" t="s">
        <v>103</v>
      </c>
      <c r="B70" s="69" t="s">
        <v>104</v>
      </c>
      <c r="C70" s="65">
        <f>[10]С2.3!E13</f>
        <v>300</v>
      </c>
    </row>
    <row r="71" spans="1:3" ht="25.5">
      <c r="A71" s="60" t="s">
        <v>105</v>
      </c>
      <c r="B71" s="68" t="s">
        <v>106</v>
      </c>
      <c r="C71" s="71">
        <f>IF([10]С2.3!E22&gt;0,[10]С2.3!E22,[10]С2.3!E14)</f>
        <v>61211</v>
      </c>
    </row>
    <row r="72" spans="1:3" ht="38.25">
      <c r="A72" s="60" t="s">
        <v>107</v>
      </c>
      <c r="B72" s="68" t="s">
        <v>108</v>
      </c>
      <c r="C72" s="71">
        <f>IF([10]С2.3!E23&gt;0,[10]С2.3!E23,[10]С2.3!E15)</f>
        <v>45675</v>
      </c>
    </row>
    <row r="73" spans="1:3" ht="30">
      <c r="A73" s="60" t="s">
        <v>109</v>
      </c>
      <c r="B73" s="53" t="s">
        <v>110</v>
      </c>
      <c r="C73" s="33">
        <f>[10]С2.1!E28</f>
        <v>9541.9567200000001</v>
      </c>
    </row>
    <row r="74" spans="1:3" ht="38.25">
      <c r="A74" s="60" t="s">
        <v>111</v>
      </c>
      <c r="B74" s="68" t="s">
        <v>112</v>
      </c>
      <c r="C74" s="52">
        <f>[10]С2.3!E25</f>
        <v>0</v>
      </c>
    </row>
    <row r="75" spans="1:3" ht="25.5">
      <c r="A75" s="60" t="s">
        <v>113</v>
      </c>
      <c r="B75" s="69" t="s">
        <v>114</v>
      </c>
      <c r="C75" s="70">
        <f>[10]С2.3!E12</f>
        <v>0.56000000000000005</v>
      </c>
    </row>
    <row r="76" spans="1:3" ht="25.5">
      <c r="A76" s="60" t="s">
        <v>115</v>
      </c>
      <c r="B76" s="69" t="s">
        <v>104</v>
      </c>
      <c r="C76" s="65">
        <f>[10]С2.3!E13</f>
        <v>300</v>
      </c>
    </row>
    <row r="77" spans="1:3" ht="25.5">
      <c r="A77" s="60" t="s">
        <v>116</v>
      </c>
      <c r="B77" s="72" t="s">
        <v>117</v>
      </c>
      <c r="C77" s="71">
        <f>IF([10]С2.3!E26&gt;0,[10]С2.3!E26,[10]С2.3!E16)</f>
        <v>65637</v>
      </c>
    </row>
    <row r="78" spans="1:3" ht="38.25">
      <c r="A78" s="60" t="s">
        <v>118</v>
      </c>
      <c r="B78" s="72" t="s">
        <v>119</v>
      </c>
      <c r="C78" s="71">
        <f>IF([10]С2.3!E27&gt;0,[10]С2.3!E27,[10]С2.3!E17)</f>
        <v>31684</v>
      </c>
    </row>
    <row r="79" spans="1:3" ht="17.25">
      <c r="A79" s="60" t="s">
        <v>122</v>
      </c>
      <c r="B79" s="32" t="s">
        <v>123</v>
      </c>
      <c r="C79" s="35">
        <f>[10]С2!F29</f>
        <v>0.128978033685065</v>
      </c>
    </row>
    <row r="80" spans="1:3" ht="30">
      <c r="A80" s="60" t="s">
        <v>124</v>
      </c>
      <c r="B80" s="53" t="s">
        <v>125</v>
      </c>
      <c r="C80" s="73">
        <f>[10]С2!F30</f>
        <v>0.11668498168498169</v>
      </c>
    </row>
    <row r="81" spans="1:3" ht="17.25">
      <c r="A81" s="60" t="s">
        <v>126</v>
      </c>
      <c r="B81" s="74" t="s">
        <v>127</v>
      </c>
      <c r="C81" s="35">
        <f>[10]С2!F31</f>
        <v>0.13880000000000001</v>
      </c>
    </row>
    <row r="82" spans="1:3" s="66" customFormat="1" ht="18" thickBot="1">
      <c r="A82" s="75" t="s">
        <v>128</v>
      </c>
      <c r="B82" s="76" t="s">
        <v>129</v>
      </c>
      <c r="C82" s="77">
        <f>[10]С2!F32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[10]С3!F14</f>
        <v>7018.8643800822501</v>
      </c>
    </row>
    <row r="86" spans="1:3" s="66" customFormat="1" ht="42.75">
      <c r="A86" s="79" t="s">
        <v>134</v>
      </c>
      <c r="B86" s="53" t="s">
        <v>135</v>
      </c>
      <c r="C86" s="80">
        <f>[10]С3!F15</f>
        <v>0.2</v>
      </c>
    </row>
    <row r="87" spans="1:3" s="66" customFormat="1" ht="14.25">
      <c r="A87" s="79" t="s">
        <v>136</v>
      </c>
      <c r="B87" s="81" t="s">
        <v>137</v>
      </c>
      <c r="C87" s="65">
        <f>[10]С3!F18</f>
        <v>15</v>
      </c>
    </row>
    <row r="88" spans="1:3" s="66" customFormat="1" ht="17.25">
      <c r="A88" s="79" t="s">
        <v>138</v>
      </c>
      <c r="B88" s="32" t="s">
        <v>139</v>
      </c>
      <c r="C88" s="33">
        <f>[10]С3!F19</f>
        <v>3487.1555421534131</v>
      </c>
    </row>
    <row r="89" spans="1:3" s="66" customFormat="1" ht="55.5">
      <c r="A89" s="79" t="s">
        <v>140</v>
      </c>
      <c r="B89" s="53" t="s">
        <v>141</v>
      </c>
      <c r="C89" s="82">
        <f>[10]С3!F20</f>
        <v>2.1999999999999999E-2</v>
      </c>
    </row>
    <row r="90" spans="1:3" s="66" customFormat="1" ht="14.25">
      <c r="A90" s="79" t="s">
        <v>142</v>
      </c>
      <c r="B90" s="59" t="s">
        <v>86</v>
      </c>
      <c r="C90" s="65">
        <f>[10]С3!F21</f>
        <v>10</v>
      </c>
    </row>
    <row r="91" spans="1:3" s="66" customFormat="1" ht="17.25">
      <c r="A91" s="79" t="s">
        <v>143</v>
      </c>
      <c r="B91" s="32" t="s">
        <v>144</v>
      </c>
      <c r="C91" s="33">
        <f>[10]С3!F22</f>
        <v>4.7105407613583932</v>
      </c>
    </row>
    <row r="92" spans="1:3" s="66" customFormat="1" ht="55.5">
      <c r="A92" s="79" t="s">
        <v>145</v>
      </c>
      <c r="B92" s="53" t="s">
        <v>146</v>
      </c>
      <c r="C92" s="82">
        <f>[10]С3!F23</f>
        <v>3.0000000000000001E-3</v>
      </c>
    </row>
    <row r="93" spans="1:3" s="66" customFormat="1" ht="27.75" thickBot="1">
      <c r="A93" s="83" t="s">
        <v>147</v>
      </c>
      <c r="B93" s="84" t="s">
        <v>241</v>
      </c>
      <c r="C93" s="85">
        <f>[10]С3!F24</f>
        <v>1570.1802537861311</v>
      </c>
    </row>
    <row r="94" spans="1:3" ht="13.5" thickBot="1">
      <c r="A94" s="48"/>
      <c r="B94" s="49"/>
      <c r="C94" s="14"/>
    </row>
    <row r="95" spans="1:3" ht="30" customHeight="1">
      <c r="A95" s="86" t="s">
        <v>148</v>
      </c>
      <c r="B95" s="142" t="s">
        <v>149</v>
      </c>
      <c r="C95" s="142"/>
    </row>
    <row r="96" spans="1:3" ht="30">
      <c r="A96" s="60" t="s">
        <v>150</v>
      </c>
      <c r="B96" s="32" t="s">
        <v>242</v>
      </c>
      <c r="C96" s="33">
        <f>[10]С4!F16</f>
        <v>1652.5</v>
      </c>
    </row>
    <row r="97" spans="1:3" ht="30">
      <c r="A97" s="60" t="s">
        <v>152</v>
      </c>
      <c r="B97" s="59" t="s">
        <v>243</v>
      </c>
      <c r="C97" s="33">
        <f>[10]С4!F17</f>
        <v>73547</v>
      </c>
    </row>
    <row r="98" spans="1:3" ht="17.25">
      <c r="A98" s="60" t="s">
        <v>154</v>
      </c>
      <c r="B98" s="59" t="s">
        <v>155</v>
      </c>
      <c r="C98" s="41">
        <f>[10]С4!F18</f>
        <v>0.02</v>
      </c>
    </row>
    <row r="99" spans="1:3" ht="30">
      <c r="A99" s="60" t="s">
        <v>156</v>
      </c>
      <c r="B99" s="59" t="s">
        <v>157</v>
      </c>
      <c r="C99" s="33">
        <f>[10]С4!F19</f>
        <v>12104</v>
      </c>
    </row>
    <row r="100" spans="1:3" ht="31.5">
      <c r="A100" s="60" t="s">
        <v>158</v>
      </c>
      <c r="B100" s="59" t="s">
        <v>159</v>
      </c>
      <c r="C100" s="41">
        <f>[10]С4!F20</f>
        <v>1.4999999999999999E-2</v>
      </c>
    </row>
    <row r="101" spans="1:3" ht="30">
      <c r="A101" s="60" t="s">
        <v>160</v>
      </c>
      <c r="B101" s="32" t="s">
        <v>244</v>
      </c>
      <c r="C101" s="33">
        <f>[10]С4!F21</f>
        <v>1933.1949342509995</v>
      </c>
    </row>
    <row r="102" spans="1:3" ht="24" customHeight="1">
      <c r="A102" s="60" t="s">
        <v>162</v>
      </c>
      <c r="B102" s="53" t="s">
        <v>163</v>
      </c>
      <c r="C102" s="34">
        <f>IF([10]С4.2!F8="да",[10]С4.2!D21,[10]С4.2!D15)</f>
        <v>0</v>
      </c>
    </row>
    <row r="103" spans="1:3" ht="68.25">
      <c r="A103" s="60" t="s">
        <v>164</v>
      </c>
      <c r="B103" s="53" t="s">
        <v>165</v>
      </c>
      <c r="C103" s="33">
        <f>[10]С4!F22</f>
        <v>3.6112641666666665</v>
      </c>
    </row>
    <row r="104" spans="1:3" ht="30">
      <c r="A104" s="60" t="s">
        <v>166</v>
      </c>
      <c r="B104" s="59" t="s">
        <v>245</v>
      </c>
      <c r="C104" s="33">
        <f>[10]С4!F23</f>
        <v>180</v>
      </c>
    </row>
    <row r="105" spans="1:3" ht="14.25">
      <c r="A105" s="60" t="s">
        <v>168</v>
      </c>
      <c r="B105" s="53" t="s">
        <v>169</v>
      </c>
      <c r="C105" s="33">
        <f>[10]С4!F24</f>
        <v>8497.1999999999989</v>
      </c>
    </row>
    <row r="106" spans="1:3" ht="14.25">
      <c r="A106" s="60" t="s">
        <v>170</v>
      </c>
      <c r="B106" s="59" t="s">
        <v>171</v>
      </c>
      <c r="C106" s="41">
        <f>[10]С4!F25</f>
        <v>0.35</v>
      </c>
    </row>
    <row r="107" spans="1:3" ht="17.25">
      <c r="A107" s="60" t="s">
        <v>172</v>
      </c>
      <c r="B107" s="32" t="s">
        <v>173</v>
      </c>
      <c r="C107" s="33">
        <f>[10]С4!F26</f>
        <v>86.552340000000015</v>
      </c>
    </row>
    <row r="108" spans="1:3" ht="25.5">
      <c r="A108" s="60" t="s">
        <v>174</v>
      </c>
      <c r="B108" s="53" t="s">
        <v>100</v>
      </c>
      <c r="C108" s="34">
        <f>[10]С4.3!E16</f>
        <v>0</v>
      </c>
    </row>
    <row r="109" spans="1:3" ht="25.5">
      <c r="A109" s="60" t="s">
        <v>175</v>
      </c>
      <c r="B109" s="53" t="s">
        <v>176</v>
      </c>
      <c r="C109" s="33">
        <f>[10]С4.3!E17</f>
        <v>23.78</v>
      </c>
    </row>
    <row r="110" spans="1:3" ht="38.25">
      <c r="A110" s="60" t="s">
        <v>177</v>
      </c>
      <c r="B110" s="53" t="s">
        <v>112</v>
      </c>
      <c r="C110" s="34">
        <f>[10]С4.3!E18</f>
        <v>0</v>
      </c>
    </row>
    <row r="111" spans="1:3">
      <c r="A111" s="60" t="s">
        <v>178</v>
      </c>
      <c r="B111" s="53" t="s">
        <v>179</v>
      </c>
      <c r="C111" s="33">
        <f>[10]С4.3!E19</f>
        <v>15.47</v>
      </c>
    </row>
    <row r="112" spans="1:3">
      <c r="A112" s="60" t="s">
        <v>180</v>
      </c>
      <c r="B112" s="59" t="s">
        <v>181</v>
      </c>
      <c r="C112" s="33">
        <f>[10]С4.3!E11</f>
        <v>1871</v>
      </c>
    </row>
    <row r="113" spans="1:3">
      <c r="A113" s="60" t="s">
        <v>182</v>
      </c>
      <c r="B113" s="59" t="s">
        <v>183</v>
      </c>
      <c r="C113" s="52">
        <f>[10]С4.3!E12</f>
        <v>1636</v>
      </c>
    </row>
    <row r="114" spans="1:3">
      <c r="A114" s="60" t="s">
        <v>184</v>
      </c>
      <c r="B114" s="59" t="s">
        <v>185</v>
      </c>
      <c r="C114" s="52">
        <f>[10]С4.3!E13</f>
        <v>204</v>
      </c>
    </row>
    <row r="115" spans="1:3" ht="30">
      <c r="A115" s="60" t="s">
        <v>186</v>
      </c>
      <c r="B115" s="32" t="s">
        <v>246</v>
      </c>
      <c r="C115" s="33">
        <f>[10]С4!F27</f>
        <v>1467.2629458895778</v>
      </c>
    </row>
    <row r="116" spans="1:3" ht="25.5">
      <c r="A116" s="60" t="s">
        <v>188</v>
      </c>
      <c r="B116" s="53" t="s">
        <v>247</v>
      </c>
      <c r="C116" s="33">
        <f>[10]С4!F28</f>
        <v>1126.9300659674177</v>
      </c>
    </row>
    <row r="117" spans="1:3" ht="42.75">
      <c r="A117" s="60" t="s">
        <v>190</v>
      </c>
      <c r="B117" s="53" t="s">
        <v>191</v>
      </c>
      <c r="C117" s="33">
        <f>[10]С4!F29</f>
        <v>340.33287992216015</v>
      </c>
    </row>
    <row r="118" spans="1:3" ht="30">
      <c r="A118" s="60" t="s">
        <v>192</v>
      </c>
      <c r="B118" s="40" t="s">
        <v>193</v>
      </c>
      <c r="C118" s="33">
        <f>[10]С4!F30</f>
        <v>2063.919252833457</v>
      </c>
    </row>
    <row r="119" spans="1:3" ht="42.75">
      <c r="A119" s="60" t="s">
        <v>248</v>
      </c>
      <c r="B119" s="90" t="s">
        <v>249</v>
      </c>
      <c r="C119" s="33">
        <f>[10]С4!F33</f>
        <v>1316.7823013375851</v>
      </c>
    </row>
    <row r="120" spans="1:3" ht="30">
      <c r="A120" s="60" t="s">
        <v>250</v>
      </c>
      <c r="B120" s="123" t="s">
        <v>251</v>
      </c>
      <c r="C120" s="33">
        <f>[10]С4!F35</f>
        <v>17.040680999999999</v>
      </c>
    </row>
    <row r="121" spans="1:3" ht="14.25">
      <c r="A121" s="60" t="s">
        <v>252</v>
      </c>
      <c r="B121" s="56" t="s">
        <v>253</v>
      </c>
      <c r="C121" s="33">
        <f>[10]С4!F36</f>
        <v>14319.9</v>
      </c>
    </row>
    <row r="122" spans="1:3" ht="28.5" thickBot="1">
      <c r="A122" s="75" t="s">
        <v>254</v>
      </c>
      <c r="B122" s="124" t="s">
        <v>255</v>
      </c>
      <c r="C122" s="85">
        <f>[10]С4!F37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[10]С5!F17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[10]С2!F37</f>
        <v>20.818139999999996</v>
      </c>
    </row>
    <row r="136" spans="1:3" ht="14.25">
      <c r="A136" s="60" t="s">
        <v>214</v>
      </c>
      <c r="B136" s="130" t="s">
        <v>215</v>
      </c>
      <c r="C136" s="33">
        <f>[10]С2!F38</f>
        <v>7</v>
      </c>
    </row>
    <row r="137" spans="1:3" ht="17.25">
      <c r="A137" s="60" t="s">
        <v>216</v>
      </c>
      <c r="B137" s="130" t="s">
        <v>217</v>
      </c>
      <c r="C137" s="33">
        <f>[10]С2!F40</f>
        <v>0.97</v>
      </c>
    </row>
    <row r="138" spans="1:3" ht="15" thickBot="1">
      <c r="A138" s="75" t="s">
        <v>218</v>
      </c>
      <c r="B138" s="131" t="s">
        <v>219</v>
      </c>
      <c r="C138" s="47">
        <f>[10]С2!F42</f>
        <v>0.35</v>
      </c>
    </row>
    <row r="139" spans="1:3" s="88" customFormat="1" ht="13.5" thickBot="1">
      <c r="A139" s="48"/>
      <c r="B139" s="49"/>
      <c r="C139" s="14"/>
    </row>
    <row r="140" spans="1:3" ht="30">
      <c r="A140" s="86" t="s">
        <v>220</v>
      </c>
      <c r="B140" s="96" t="s">
        <v>258</v>
      </c>
      <c r="C140" s="132">
        <f>[10]С2!F35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[10]С2.5!$E$11</f>
        <v>-2.9000000000000026E-2</v>
      </c>
    </row>
    <row r="144" spans="1:3">
      <c r="A144" s="99"/>
      <c r="B144" s="106">
        <f>B143+1</f>
        <v>2021</v>
      </c>
      <c r="C144" s="137">
        <f>[10]С2.5!$F$11</f>
        <v>0.245</v>
      </c>
    </row>
    <row r="145" spans="1:3">
      <c r="A145" s="99"/>
      <c r="B145" s="106">
        <f t="shared" ref="B145:B208" si="0">B144+1</f>
        <v>2022</v>
      </c>
      <c r="C145" s="137">
        <f>[10]С2.5!$G$11</f>
        <v>0.121</v>
      </c>
    </row>
    <row r="146" spans="1:3" ht="13.5" thickBot="1">
      <c r="A146" s="99"/>
      <c r="B146" s="108">
        <f t="shared" si="0"/>
        <v>2023</v>
      </c>
      <c r="C146" s="138">
        <f>[10]С2.5!$H$11</f>
        <v>0.02</v>
      </c>
    </row>
    <row r="147" spans="1:3" hidden="1">
      <c r="A147" s="99"/>
      <c r="B147" s="139">
        <f t="shared" si="0"/>
        <v>2024</v>
      </c>
      <c r="C147" s="140">
        <f>[10]С2.5!$I$11</f>
        <v>-2.93E-2</v>
      </c>
    </row>
    <row r="148" spans="1:3" hidden="1">
      <c r="A148" s="99"/>
      <c r="B148" s="106">
        <f t="shared" si="0"/>
        <v>2025</v>
      </c>
      <c r="C148" s="137">
        <f>[10]С2.5!$J$11</f>
        <v>0.21215960863291</v>
      </c>
    </row>
    <row r="149" spans="1:3" hidden="1">
      <c r="A149" s="99"/>
      <c r="B149" s="106">
        <f t="shared" si="0"/>
        <v>2026</v>
      </c>
      <c r="C149" s="137">
        <f>[10]С2.5!$K$11</f>
        <v>3.5813361771260002E-2</v>
      </c>
    </row>
    <row r="150" spans="1:3" hidden="1">
      <c r="A150" s="99"/>
      <c r="B150" s="106">
        <f t="shared" si="0"/>
        <v>2027</v>
      </c>
      <c r="C150" s="137">
        <f>[10]С2.5!$L$11</f>
        <v>3.2682303599220003E-2</v>
      </c>
    </row>
    <row r="151" spans="1:3" hidden="1">
      <c r="A151" s="99"/>
      <c r="B151" s="106">
        <f t="shared" si="0"/>
        <v>2028</v>
      </c>
      <c r="C151" s="137">
        <f>[10]С2.5!$M$11</f>
        <v>0</v>
      </c>
    </row>
    <row r="152" spans="1:3" hidden="1">
      <c r="A152" s="99"/>
      <c r="B152" s="106">
        <f t="shared" si="0"/>
        <v>2029</v>
      </c>
      <c r="C152" s="137">
        <f>[10]С2.5!$N$11</f>
        <v>0</v>
      </c>
    </row>
    <row r="153" spans="1:3" hidden="1">
      <c r="A153" s="99"/>
      <c r="B153" s="106">
        <f t="shared" si="0"/>
        <v>2030</v>
      </c>
      <c r="C153" s="137">
        <f>[10]С2.5!$O$11</f>
        <v>0</v>
      </c>
    </row>
    <row r="154" spans="1:3" hidden="1">
      <c r="A154" s="99"/>
      <c r="B154" s="106">
        <f t="shared" si="0"/>
        <v>2031</v>
      </c>
      <c r="C154" s="137">
        <f>[10]С2.5!$P$11</f>
        <v>0</v>
      </c>
    </row>
    <row r="155" spans="1:3" hidden="1">
      <c r="A155" s="88"/>
      <c r="B155" s="106">
        <f t="shared" si="0"/>
        <v>2032</v>
      </c>
      <c r="C155" s="137">
        <f>[10]С2.5!$Q$11</f>
        <v>0</v>
      </c>
    </row>
    <row r="156" spans="1:3" hidden="1">
      <c r="A156" s="88"/>
      <c r="B156" s="106">
        <f t="shared" si="0"/>
        <v>2033</v>
      </c>
      <c r="C156" s="137">
        <f>[10]С2.5!$R$11</f>
        <v>0</v>
      </c>
    </row>
    <row r="157" spans="1:3" hidden="1">
      <c r="B157" s="106">
        <f t="shared" si="0"/>
        <v>2034</v>
      </c>
      <c r="C157" s="137">
        <f>[10]С2.5!$S$11</f>
        <v>0</v>
      </c>
    </row>
    <row r="158" spans="1:3" hidden="1">
      <c r="B158" s="106">
        <f t="shared" si="0"/>
        <v>2035</v>
      </c>
      <c r="C158" s="137">
        <f>[10]С2.5!$T$11</f>
        <v>0</v>
      </c>
    </row>
    <row r="159" spans="1:3" hidden="1">
      <c r="B159" s="106">
        <f t="shared" si="0"/>
        <v>2036</v>
      </c>
      <c r="C159" s="137">
        <f>[10]С2.5!$U$11</f>
        <v>0</v>
      </c>
    </row>
    <row r="160" spans="1:3" hidden="1">
      <c r="B160" s="106">
        <f t="shared" si="0"/>
        <v>2037</v>
      </c>
      <c r="C160" s="137">
        <f>[10]С2.5!$V$11</f>
        <v>0</v>
      </c>
    </row>
    <row r="161" spans="2:3" hidden="1">
      <c r="B161" s="106">
        <f t="shared" si="0"/>
        <v>2038</v>
      </c>
      <c r="C161" s="137">
        <f>[10]С2.5!$W$11</f>
        <v>0</v>
      </c>
    </row>
    <row r="162" spans="2:3" hidden="1">
      <c r="B162" s="106">
        <f t="shared" si="0"/>
        <v>2039</v>
      </c>
      <c r="C162" s="137">
        <f>[10]С2.5!$X$11</f>
        <v>0</v>
      </c>
    </row>
    <row r="163" spans="2:3" hidden="1">
      <c r="B163" s="106">
        <f t="shared" si="0"/>
        <v>2040</v>
      </c>
      <c r="C163" s="137">
        <f>[10]С2.5!$Y$11</f>
        <v>0</v>
      </c>
    </row>
    <row r="164" spans="2:3" hidden="1">
      <c r="B164" s="106">
        <f t="shared" si="0"/>
        <v>2041</v>
      </c>
      <c r="C164" s="137">
        <f>[10]С2.5!$Z$11</f>
        <v>0</v>
      </c>
    </row>
    <row r="165" spans="2:3" hidden="1">
      <c r="B165" s="106">
        <f t="shared" si="0"/>
        <v>2042</v>
      </c>
      <c r="C165" s="137">
        <f>[10]С2.5!$AA$11</f>
        <v>0</v>
      </c>
    </row>
    <row r="166" spans="2:3" hidden="1">
      <c r="B166" s="106">
        <f t="shared" si="0"/>
        <v>2043</v>
      </c>
      <c r="C166" s="137">
        <f>[10]С2.5!$AB$11</f>
        <v>0</v>
      </c>
    </row>
    <row r="167" spans="2:3" hidden="1">
      <c r="B167" s="106">
        <f t="shared" si="0"/>
        <v>2044</v>
      </c>
      <c r="C167" s="137">
        <f>[10]С2.5!$AC$11</f>
        <v>0</v>
      </c>
    </row>
    <row r="168" spans="2:3" hidden="1">
      <c r="B168" s="106">
        <f t="shared" si="0"/>
        <v>2045</v>
      </c>
      <c r="C168" s="137">
        <f>[10]С2.5!$AD$11</f>
        <v>0</v>
      </c>
    </row>
    <row r="169" spans="2:3" hidden="1">
      <c r="B169" s="106">
        <f t="shared" si="0"/>
        <v>2046</v>
      </c>
      <c r="C169" s="137">
        <f>[10]С2.5!$AE$11</f>
        <v>0</v>
      </c>
    </row>
    <row r="170" spans="2:3" hidden="1">
      <c r="B170" s="106">
        <f t="shared" si="0"/>
        <v>2047</v>
      </c>
      <c r="C170" s="137">
        <f>[10]С2.5!$AF$11</f>
        <v>0</v>
      </c>
    </row>
    <row r="171" spans="2:3" hidden="1">
      <c r="B171" s="106">
        <f t="shared" si="0"/>
        <v>2048</v>
      </c>
      <c r="C171" s="137">
        <f>[10]С2.5!$AG$11</f>
        <v>0</v>
      </c>
    </row>
    <row r="172" spans="2:3" hidden="1">
      <c r="B172" s="106">
        <f t="shared" si="0"/>
        <v>2049</v>
      </c>
      <c r="C172" s="137">
        <f>[10]С2.5!$AH$11</f>
        <v>0</v>
      </c>
    </row>
    <row r="173" spans="2:3" hidden="1">
      <c r="B173" s="106">
        <f t="shared" si="0"/>
        <v>2050</v>
      </c>
      <c r="C173" s="137">
        <f>[10]С2.5!$AI$11</f>
        <v>0</v>
      </c>
    </row>
    <row r="174" spans="2:3" hidden="1">
      <c r="B174" s="106">
        <f t="shared" si="0"/>
        <v>2051</v>
      </c>
      <c r="C174" s="137">
        <f>[10]С2.5!$AJ$11</f>
        <v>0</v>
      </c>
    </row>
    <row r="175" spans="2:3" hidden="1">
      <c r="B175" s="106">
        <f t="shared" si="0"/>
        <v>2052</v>
      </c>
      <c r="C175" s="137">
        <f>[10]С2.5!$AK$11</f>
        <v>0</v>
      </c>
    </row>
    <row r="176" spans="2:3" hidden="1">
      <c r="B176" s="106">
        <f t="shared" si="0"/>
        <v>2053</v>
      </c>
      <c r="C176" s="137">
        <f>[10]С2.5!$AL$11</f>
        <v>0</v>
      </c>
    </row>
    <row r="177" spans="2:3" hidden="1">
      <c r="B177" s="106">
        <f t="shared" si="0"/>
        <v>2054</v>
      </c>
      <c r="C177" s="137">
        <f>[10]С2.5!$AM$11</f>
        <v>0</v>
      </c>
    </row>
    <row r="178" spans="2:3" hidden="1">
      <c r="B178" s="106">
        <f t="shared" si="0"/>
        <v>2055</v>
      </c>
      <c r="C178" s="137">
        <f>[10]С2.5!$AN$11</f>
        <v>0</v>
      </c>
    </row>
    <row r="179" spans="2:3" hidden="1">
      <c r="B179" s="106">
        <f t="shared" si="0"/>
        <v>2056</v>
      </c>
      <c r="C179" s="137">
        <f>[10]С2.5!$AO$11</f>
        <v>0</v>
      </c>
    </row>
    <row r="180" spans="2:3" hidden="1">
      <c r="B180" s="106">
        <f t="shared" si="0"/>
        <v>2057</v>
      </c>
      <c r="C180" s="137">
        <f>[10]С2.5!$AP$11</f>
        <v>0</v>
      </c>
    </row>
    <row r="181" spans="2:3" hidden="1">
      <c r="B181" s="106">
        <f t="shared" si="0"/>
        <v>2058</v>
      </c>
      <c r="C181" s="137">
        <f>[10]С2.5!$AQ$11</f>
        <v>0</v>
      </c>
    </row>
    <row r="182" spans="2:3" hidden="1">
      <c r="B182" s="106">
        <f t="shared" si="0"/>
        <v>2059</v>
      </c>
      <c r="C182" s="137">
        <f>[10]С2.5!$AR$11</f>
        <v>0</v>
      </c>
    </row>
    <row r="183" spans="2:3" hidden="1">
      <c r="B183" s="106">
        <f t="shared" si="0"/>
        <v>2060</v>
      </c>
      <c r="C183" s="137">
        <f>[10]С2.5!$AS$11</f>
        <v>0</v>
      </c>
    </row>
    <row r="184" spans="2:3" hidden="1">
      <c r="B184" s="106">
        <f t="shared" si="0"/>
        <v>2061</v>
      </c>
      <c r="C184" s="137">
        <f>[10]С2.5!$AT$11</f>
        <v>0</v>
      </c>
    </row>
    <row r="185" spans="2:3" hidden="1">
      <c r="B185" s="106">
        <f t="shared" si="0"/>
        <v>2062</v>
      </c>
      <c r="C185" s="137">
        <f>[10]С2.5!$AU$11</f>
        <v>0</v>
      </c>
    </row>
    <row r="186" spans="2:3" hidden="1">
      <c r="B186" s="106">
        <f t="shared" si="0"/>
        <v>2063</v>
      </c>
      <c r="C186" s="137">
        <f>[10]С2.5!$AV$11</f>
        <v>0</v>
      </c>
    </row>
    <row r="187" spans="2:3" hidden="1">
      <c r="B187" s="106">
        <f t="shared" si="0"/>
        <v>2064</v>
      </c>
      <c r="C187" s="137">
        <f>[10]С2.5!$AW$11</f>
        <v>0</v>
      </c>
    </row>
    <row r="188" spans="2:3" hidden="1">
      <c r="B188" s="106">
        <f t="shared" si="0"/>
        <v>2065</v>
      </c>
      <c r="C188" s="137">
        <f>[10]С2.5!$AX$11</f>
        <v>0</v>
      </c>
    </row>
    <row r="189" spans="2:3" hidden="1">
      <c r="B189" s="106">
        <f t="shared" si="0"/>
        <v>2066</v>
      </c>
      <c r="C189" s="137">
        <f>[10]С2.5!$AY$11</f>
        <v>0</v>
      </c>
    </row>
    <row r="190" spans="2:3" hidden="1">
      <c r="B190" s="106">
        <f t="shared" si="0"/>
        <v>2067</v>
      </c>
      <c r="C190" s="137">
        <f>[10]С2.5!$AZ$11</f>
        <v>0</v>
      </c>
    </row>
    <row r="191" spans="2:3" hidden="1">
      <c r="B191" s="106">
        <f t="shared" si="0"/>
        <v>2068</v>
      </c>
      <c r="C191" s="137">
        <f>[10]С2.5!$BA$11</f>
        <v>0</v>
      </c>
    </row>
    <row r="192" spans="2:3" hidden="1">
      <c r="B192" s="106">
        <f t="shared" si="0"/>
        <v>2069</v>
      </c>
      <c r="C192" s="137">
        <f>[10]С2.5!$BB$11</f>
        <v>0</v>
      </c>
    </row>
    <row r="193" spans="2:3" hidden="1">
      <c r="B193" s="106">
        <f t="shared" si="0"/>
        <v>2070</v>
      </c>
      <c r="C193" s="137">
        <f>[10]С2.5!$BC$11</f>
        <v>0</v>
      </c>
    </row>
    <row r="194" spans="2:3" hidden="1">
      <c r="B194" s="106">
        <f t="shared" si="0"/>
        <v>2071</v>
      </c>
      <c r="C194" s="137">
        <f>[10]С2.5!$BD$11</f>
        <v>0</v>
      </c>
    </row>
    <row r="195" spans="2:3" hidden="1">
      <c r="B195" s="106">
        <f t="shared" si="0"/>
        <v>2072</v>
      </c>
      <c r="C195" s="137">
        <f>[10]С2.5!$BE$11</f>
        <v>0</v>
      </c>
    </row>
    <row r="196" spans="2:3" hidden="1">
      <c r="B196" s="106">
        <f t="shared" si="0"/>
        <v>2073</v>
      </c>
      <c r="C196" s="137">
        <f>[10]С2.5!$BF$11</f>
        <v>0</v>
      </c>
    </row>
    <row r="197" spans="2:3" hidden="1">
      <c r="B197" s="106">
        <f t="shared" si="0"/>
        <v>2074</v>
      </c>
      <c r="C197" s="137">
        <f>[10]С2.5!$BG$11</f>
        <v>0</v>
      </c>
    </row>
    <row r="198" spans="2:3" hidden="1">
      <c r="B198" s="106">
        <f t="shared" si="0"/>
        <v>2075</v>
      </c>
      <c r="C198" s="137">
        <f>[10]С2.5!$BH$11</f>
        <v>0</v>
      </c>
    </row>
    <row r="199" spans="2:3" hidden="1">
      <c r="B199" s="106">
        <f t="shared" si="0"/>
        <v>2076</v>
      </c>
      <c r="C199" s="137">
        <f>[10]С2.5!$BI$11</f>
        <v>0</v>
      </c>
    </row>
    <row r="200" spans="2:3" hidden="1">
      <c r="B200" s="106">
        <f t="shared" si="0"/>
        <v>2077</v>
      </c>
      <c r="C200" s="137">
        <f>[10]С2.5!$BJ$11</f>
        <v>0</v>
      </c>
    </row>
    <row r="201" spans="2:3" hidden="1">
      <c r="B201" s="106">
        <f t="shared" si="0"/>
        <v>2078</v>
      </c>
      <c r="C201" s="137">
        <f>[10]С2.5!$BK$11</f>
        <v>0</v>
      </c>
    </row>
    <row r="202" spans="2:3" hidden="1">
      <c r="B202" s="106">
        <f t="shared" si="0"/>
        <v>2079</v>
      </c>
      <c r="C202" s="137">
        <f>[10]С2.5!$BL$11</f>
        <v>0</v>
      </c>
    </row>
    <row r="203" spans="2:3" hidden="1">
      <c r="B203" s="106">
        <f t="shared" si="0"/>
        <v>2080</v>
      </c>
      <c r="C203" s="137">
        <f>[10]С2.5!$BM$11</f>
        <v>0</v>
      </c>
    </row>
    <row r="204" spans="2:3" hidden="1">
      <c r="B204" s="106">
        <f t="shared" si="0"/>
        <v>2081</v>
      </c>
      <c r="C204" s="137">
        <f>[10]С2.5!$BN$11</f>
        <v>0</v>
      </c>
    </row>
    <row r="205" spans="2:3" hidden="1">
      <c r="B205" s="106">
        <f t="shared" si="0"/>
        <v>2082</v>
      </c>
      <c r="C205" s="137">
        <f>[10]С2.5!$BO$11</f>
        <v>0</v>
      </c>
    </row>
    <row r="206" spans="2:3" hidden="1">
      <c r="B206" s="106">
        <f t="shared" si="0"/>
        <v>2083</v>
      </c>
      <c r="C206" s="137">
        <f>[10]С2.5!$BP$11</f>
        <v>0</v>
      </c>
    </row>
    <row r="207" spans="2:3" hidden="1">
      <c r="B207" s="106">
        <f t="shared" si="0"/>
        <v>2084</v>
      </c>
      <c r="C207" s="137">
        <f>[10]С2.5!$BQ$11</f>
        <v>0</v>
      </c>
    </row>
    <row r="208" spans="2:3" hidden="1">
      <c r="B208" s="106">
        <f t="shared" si="0"/>
        <v>2085</v>
      </c>
      <c r="C208" s="137">
        <f>[10]С2.5!$BR$11</f>
        <v>0</v>
      </c>
    </row>
    <row r="209" spans="2:3" hidden="1">
      <c r="B209" s="106">
        <f t="shared" ref="B209:B223" si="1">B208+1</f>
        <v>2086</v>
      </c>
      <c r="C209" s="137">
        <f>[10]С2.5!$BS$11</f>
        <v>0</v>
      </c>
    </row>
    <row r="210" spans="2:3" hidden="1">
      <c r="B210" s="106">
        <f t="shared" si="1"/>
        <v>2087</v>
      </c>
      <c r="C210" s="137">
        <f>[10]С2.5!$BT$11</f>
        <v>0</v>
      </c>
    </row>
    <row r="211" spans="2:3" hidden="1">
      <c r="B211" s="106">
        <f t="shared" si="1"/>
        <v>2088</v>
      </c>
      <c r="C211" s="137">
        <f>[10]С2.5!$BU$11</f>
        <v>0</v>
      </c>
    </row>
    <row r="212" spans="2:3" hidden="1">
      <c r="B212" s="106">
        <f t="shared" si="1"/>
        <v>2089</v>
      </c>
      <c r="C212" s="137">
        <f>[10]С2.5!$BV$11</f>
        <v>0</v>
      </c>
    </row>
    <row r="213" spans="2:3" hidden="1">
      <c r="B213" s="106">
        <f t="shared" si="1"/>
        <v>2090</v>
      </c>
      <c r="C213" s="137">
        <f>[10]С2.5!$BW$11</f>
        <v>0</v>
      </c>
    </row>
    <row r="214" spans="2:3" hidden="1">
      <c r="B214" s="106">
        <f t="shared" si="1"/>
        <v>2091</v>
      </c>
      <c r="C214" s="137">
        <f>[10]С2.5!$BX$11</f>
        <v>0</v>
      </c>
    </row>
    <row r="215" spans="2:3" hidden="1">
      <c r="B215" s="106">
        <f t="shared" si="1"/>
        <v>2092</v>
      </c>
      <c r="C215" s="137">
        <f>[10]С2.5!$BY$11</f>
        <v>0</v>
      </c>
    </row>
    <row r="216" spans="2:3" hidden="1">
      <c r="B216" s="106">
        <f t="shared" si="1"/>
        <v>2093</v>
      </c>
      <c r="C216" s="137">
        <f>[10]С2.5!$BZ$11</f>
        <v>0</v>
      </c>
    </row>
    <row r="217" spans="2:3" hidden="1">
      <c r="B217" s="106">
        <f t="shared" si="1"/>
        <v>2094</v>
      </c>
      <c r="C217" s="137">
        <f>[10]С2.5!$CA$11</f>
        <v>0</v>
      </c>
    </row>
    <row r="218" spans="2:3" hidden="1">
      <c r="B218" s="106">
        <f t="shared" si="1"/>
        <v>2095</v>
      </c>
      <c r="C218" s="137">
        <f>[10]С2.5!$CB$11</f>
        <v>0</v>
      </c>
    </row>
    <row r="219" spans="2:3" hidden="1">
      <c r="B219" s="106">
        <f t="shared" si="1"/>
        <v>2096</v>
      </c>
      <c r="C219" s="137">
        <f>[10]С2.5!$CC$11</f>
        <v>0</v>
      </c>
    </row>
    <row r="220" spans="2:3" hidden="1">
      <c r="B220" s="106">
        <f t="shared" si="1"/>
        <v>2097</v>
      </c>
      <c r="C220" s="137">
        <f>[10]С2.5!$CD$11</f>
        <v>0</v>
      </c>
    </row>
    <row r="221" spans="2:3" hidden="1">
      <c r="B221" s="106">
        <f t="shared" si="1"/>
        <v>2098</v>
      </c>
      <c r="C221" s="137">
        <f>[10]С2.5!$CE$11</f>
        <v>0</v>
      </c>
    </row>
    <row r="222" spans="2:3" hidden="1">
      <c r="B222" s="106">
        <f t="shared" si="1"/>
        <v>2099</v>
      </c>
      <c r="C222" s="137">
        <f>[10]С2.5!$CF$11</f>
        <v>0</v>
      </c>
    </row>
    <row r="223" spans="2:3" ht="13.5" hidden="1" thickBot="1">
      <c r="B223" s="108">
        <f t="shared" si="1"/>
        <v>2100</v>
      </c>
      <c r="C223" s="138">
        <f>[10]С2.5!$CG$11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2" customWidth="1"/>
    <col min="2" max="2" width="100.5703125" style="2" customWidth="1"/>
    <col min="3" max="3" width="20.85546875" style="6"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[11]И1!D13</f>
        <v>Субъект Российской Федерации</v>
      </c>
      <c r="C4" s="9" t="str">
        <f>[11]И1!E13</f>
        <v>Новосибирская область</v>
      </c>
    </row>
    <row r="5" spans="1:3">
      <c r="A5" s="7"/>
      <c r="B5" s="8" t="str">
        <f>[11]И1!D14</f>
        <v>Тип муниципального образования (выберите из списка)</v>
      </c>
      <c r="C5" s="9" t="str">
        <f>[11]И1!E14</f>
        <v>Новотроицкое МО</v>
      </c>
    </row>
    <row r="6" spans="1:3">
      <c r="A6" s="7"/>
      <c r="B6" s="8" t="str">
        <f>IF([11]И1!E15="","",[11]И1!D15)</f>
        <v/>
      </c>
      <c r="C6" s="9" t="str">
        <f>IF([11]И1!E15="","",[11]И1!E15)</f>
        <v/>
      </c>
    </row>
    <row r="7" spans="1:3">
      <c r="A7" s="7"/>
      <c r="B7" s="8" t="str">
        <f>[11]И1!D16</f>
        <v>Код ОКТМО</v>
      </c>
      <c r="C7" s="10" t="str">
        <f>[11]И1!E16</f>
        <v>50621413101</v>
      </c>
    </row>
    <row r="8" spans="1:3">
      <c r="A8" s="7"/>
      <c r="B8" s="11" t="str">
        <f>[11]И1!D17</f>
        <v>Система теплоснабжения</v>
      </c>
      <c r="C8" s="12">
        <f>[11]И1!E17</f>
        <v>0</v>
      </c>
    </row>
    <row r="9" spans="1:3">
      <c r="A9" s="7"/>
      <c r="B9" s="8" t="str">
        <f>[11]И1!D8</f>
        <v>Период регулирования (i)-й</v>
      </c>
      <c r="C9" s="13">
        <f>[11]И1!E8</f>
        <v>2023</v>
      </c>
    </row>
    <row r="10" spans="1:3">
      <c r="A10" s="7"/>
      <c r="B10" s="8" t="str">
        <f>[11]И1!D9</f>
        <v>Период регулирования (i-1)-й</v>
      </c>
      <c r="C10" s="13">
        <f>[11]И1!E9</f>
        <v>2022</v>
      </c>
    </row>
    <row r="11" spans="1:3">
      <c r="A11" s="7"/>
      <c r="B11" s="8" t="str">
        <f>[11]И1!D10</f>
        <v>Период регулирования (i-2)-й</v>
      </c>
      <c r="C11" s="13">
        <f>[11]И1!E10</f>
        <v>2021</v>
      </c>
    </row>
    <row r="12" spans="1:3">
      <c r="A12" s="7"/>
      <c r="B12" s="8" t="str">
        <f>[11]И1!D11</f>
        <v>Базовый год (б)</v>
      </c>
      <c r="C12" s="13">
        <f>[11]И1!E11</f>
        <v>2019</v>
      </c>
    </row>
    <row r="13" spans="1:3" ht="38.25">
      <c r="A13" s="7"/>
      <c r="B13" s="8" t="str">
        <f>[11]И1!D18</f>
        <v>Вид топлива, использование которого преобладает в системе теплоснабжения</v>
      </c>
      <c r="C13" s="14" t="str">
        <f>[11]С1.1!E13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4025.8479778718988</v>
      </c>
    </row>
    <row r="18" spans="1:3" ht="42.75">
      <c r="A18" s="21" t="s">
        <v>8</v>
      </c>
      <c r="B18" s="24" t="s">
        <v>9</v>
      </c>
      <c r="C18" s="25">
        <f>[11]С1!F12</f>
        <v>891.90184297896326</v>
      </c>
    </row>
    <row r="19" spans="1:3" ht="42.75">
      <c r="A19" s="21" t="s">
        <v>10</v>
      </c>
      <c r="B19" s="24" t="s">
        <v>11</v>
      </c>
      <c r="C19" s="25">
        <f>[11]С2!F12</f>
        <v>2109.9946743617465</v>
      </c>
    </row>
    <row r="20" spans="1:3" ht="30">
      <c r="A20" s="21" t="s">
        <v>12</v>
      </c>
      <c r="B20" s="24" t="s">
        <v>13</v>
      </c>
      <c r="C20" s="25">
        <f>[11]С3!F12</f>
        <v>504.88326349025533</v>
      </c>
    </row>
    <row r="21" spans="1:3" ht="42.75">
      <c r="A21" s="21" t="s">
        <v>14</v>
      </c>
      <c r="B21" s="24" t="s">
        <v>226</v>
      </c>
      <c r="C21" s="25">
        <f>[11]С4!F12</f>
        <v>440.1300013963866</v>
      </c>
    </row>
    <row r="22" spans="1:3" ht="30">
      <c r="A22" s="21" t="s">
        <v>16</v>
      </c>
      <c r="B22" s="24" t="s">
        <v>227</v>
      </c>
      <c r="C22" s="25">
        <f>[11]С5!F12</f>
        <v>78.938195644547037</v>
      </c>
    </row>
    <row r="23" spans="1:3" ht="43.5" thickBot="1">
      <c r="A23" s="26" t="s">
        <v>18</v>
      </c>
      <c r="B23" s="27" t="s">
        <v>228</v>
      </c>
      <c r="C23" s="28" t="str">
        <f>[11]С6!F12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[11]С1.1!E16</f>
        <v>5100</v>
      </c>
    </row>
    <row r="29" spans="1:3" ht="42.75">
      <c r="A29" s="21" t="s">
        <v>10</v>
      </c>
      <c r="B29" s="32" t="s">
        <v>230</v>
      </c>
      <c r="C29" s="33">
        <f>[11]С1.1!E27</f>
        <v>2398.1750000000002</v>
      </c>
    </row>
    <row r="30" spans="1:3" ht="17.25">
      <c r="A30" s="21" t="s">
        <v>12</v>
      </c>
      <c r="B30" s="32" t="s">
        <v>29</v>
      </c>
      <c r="C30" s="35">
        <f>[11]С1.1!E19</f>
        <v>0.59499999999999997</v>
      </c>
    </row>
    <row r="31" spans="1:3" ht="17.25">
      <c r="A31" s="21" t="s">
        <v>14</v>
      </c>
      <c r="B31" s="32" t="s">
        <v>30</v>
      </c>
      <c r="C31" s="35">
        <f>[11]С1.1!E20</f>
        <v>-0.113</v>
      </c>
    </row>
    <row r="32" spans="1:3" ht="30">
      <c r="A32" s="21" t="s">
        <v>16</v>
      </c>
      <c r="B32" s="36" t="s">
        <v>231</v>
      </c>
      <c r="C32" s="119">
        <f>[11]С1!F13</f>
        <v>176.4</v>
      </c>
    </row>
    <row r="33" spans="1:3">
      <c r="A33" s="21" t="s">
        <v>18</v>
      </c>
      <c r="B33" s="36" t="s">
        <v>32</v>
      </c>
      <c r="C33" s="38">
        <f>[11]С1!F16</f>
        <v>7000</v>
      </c>
    </row>
    <row r="34" spans="1:3" ht="14.25">
      <c r="A34" s="21" t="s">
        <v>33</v>
      </c>
      <c r="B34" s="40" t="s">
        <v>232</v>
      </c>
      <c r="C34" s="41">
        <f>[11]С1!F17</f>
        <v>0.72857142857142854</v>
      </c>
    </row>
    <row r="35" spans="1:3" ht="15.75">
      <c r="A35" s="120" t="s">
        <v>35</v>
      </c>
      <c r="B35" s="43" t="s">
        <v>36</v>
      </c>
      <c r="C35" s="41">
        <f>[11]С1!F20</f>
        <v>21.588411179999994</v>
      </c>
    </row>
    <row r="36" spans="1:3" ht="15.75">
      <c r="A36" s="120" t="s">
        <v>37</v>
      </c>
      <c r="B36" s="44" t="s">
        <v>38</v>
      </c>
      <c r="C36" s="41">
        <f>[11]С1!F21</f>
        <v>20.818139999999996</v>
      </c>
    </row>
    <row r="37" spans="1:3" ht="14.25">
      <c r="A37" s="120" t="s">
        <v>39</v>
      </c>
      <c r="B37" s="45" t="s">
        <v>40</v>
      </c>
      <c r="C37" s="41">
        <f>[11]С1!F22</f>
        <v>1.0369999999999999</v>
      </c>
    </row>
    <row r="38" spans="1:3" ht="53.25" thickBot="1">
      <c r="A38" s="26" t="s">
        <v>41</v>
      </c>
      <c r="B38" s="46" t="s">
        <v>42</v>
      </c>
      <c r="C38" s="47">
        <f>[11]С1!F23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[11]С2.1!E12</f>
        <v>V</v>
      </c>
    </row>
    <row r="42" spans="1:3" ht="25.5">
      <c r="A42" s="21" t="s">
        <v>47</v>
      </c>
      <c r="B42" s="32" t="s">
        <v>48</v>
      </c>
      <c r="C42" s="51" t="str">
        <f>[11]С2.1!E13</f>
        <v>6 и менее баллов</v>
      </c>
    </row>
    <row r="43" spans="1:3" ht="25.5">
      <c r="A43" s="21" t="s">
        <v>49</v>
      </c>
      <c r="B43" s="32" t="s">
        <v>233</v>
      </c>
      <c r="C43" s="51" t="str">
        <f>[11]С2.1!E14</f>
        <v>от 200 до 500</v>
      </c>
    </row>
    <row r="44" spans="1:3" ht="25.5">
      <c r="A44" s="21" t="s">
        <v>51</v>
      </c>
      <c r="B44" s="32" t="s">
        <v>234</v>
      </c>
      <c r="C44" s="52" t="str">
        <f>[11]С2.1!E15</f>
        <v>нет</v>
      </c>
    </row>
    <row r="45" spans="1:3" ht="30">
      <c r="A45" s="21" t="s">
        <v>53</v>
      </c>
      <c r="B45" s="32" t="s">
        <v>54</v>
      </c>
      <c r="C45" s="33">
        <f>[11]С2!F18</f>
        <v>32402.627334033532</v>
      </c>
    </row>
    <row r="46" spans="1:3" ht="30">
      <c r="A46" s="21" t="s">
        <v>55</v>
      </c>
      <c r="B46" s="53" t="s">
        <v>56</v>
      </c>
      <c r="C46" s="33">
        <f>IF([11]С2!F19&gt;0,[11]С2!F19,[11]С2!F20)</f>
        <v>23441.524932855718</v>
      </c>
    </row>
    <row r="47" spans="1:3" ht="25.5">
      <c r="A47" s="21" t="s">
        <v>57</v>
      </c>
      <c r="B47" s="54" t="s">
        <v>58</v>
      </c>
      <c r="C47" s="33">
        <f>[11]С2.1!E19</f>
        <v>-37</v>
      </c>
    </row>
    <row r="48" spans="1:3" ht="25.5">
      <c r="A48" s="21" t="s">
        <v>59</v>
      </c>
      <c r="B48" s="54" t="s">
        <v>60</v>
      </c>
      <c r="C48" s="33" t="str">
        <f>[11]С2.1!E22</f>
        <v>нет</v>
      </c>
    </row>
    <row r="49" spans="1:3" ht="38.25">
      <c r="A49" s="21" t="s">
        <v>61</v>
      </c>
      <c r="B49" s="55" t="s">
        <v>62</v>
      </c>
      <c r="C49" s="33">
        <f>[11]С2.2!E10</f>
        <v>1287</v>
      </c>
    </row>
    <row r="50" spans="1:3" ht="25.5">
      <c r="A50" s="21" t="s">
        <v>63</v>
      </c>
      <c r="B50" s="56" t="s">
        <v>64</v>
      </c>
      <c r="C50" s="33">
        <f>[11]С2.2!E12</f>
        <v>5.97</v>
      </c>
    </row>
    <row r="51" spans="1:3" ht="52.5">
      <c r="A51" s="21" t="s">
        <v>65</v>
      </c>
      <c r="B51" s="57" t="s">
        <v>66</v>
      </c>
      <c r="C51" s="33">
        <f>[11]С2.2!E13</f>
        <v>1</v>
      </c>
    </row>
    <row r="52" spans="1:3" ht="27.75">
      <c r="A52" s="21" t="s">
        <v>67</v>
      </c>
      <c r="B52" s="56" t="s">
        <v>68</v>
      </c>
      <c r="C52" s="33">
        <f>[11]С2.2!E14</f>
        <v>12104</v>
      </c>
    </row>
    <row r="53" spans="1:3" ht="25.5">
      <c r="A53" s="21" t="s">
        <v>69</v>
      </c>
      <c r="B53" s="57" t="s">
        <v>70</v>
      </c>
      <c r="C53" s="35">
        <f>[11]С2.2!E15</f>
        <v>4.8000000000000001E-2</v>
      </c>
    </row>
    <row r="54" spans="1:3">
      <c r="A54" s="21" t="s">
        <v>71</v>
      </c>
      <c r="B54" s="57" t="s">
        <v>72</v>
      </c>
      <c r="C54" s="33">
        <f>[11]С2.2!E16</f>
        <v>1</v>
      </c>
    </row>
    <row r="55" spans="1:3" ht="15.75">
      <c r="A55" s="21" t="s">
        <v>73</v>
      </c>
      <c r="B55" s="59" t="s">
        <v>74</v>
      </c>
      <c r="C55" s="33">
        <f>[11]С2!F21</f>
        <v>1</v>
      </c>
    </row>
    <row r="56" spans="1:3" ht="30">
      <c r="A56" s="60" t="s">
        <v>75</v>
      </c>
      <c r="B56" s="32" t="s">
        <v>235</v>
      </c>
      <c r="C56" s="33">
        <f>[11]С2!F13</f>
        <v>169640.22915965237</v>
      </c>
    </row>
    <row r="57" spans="1:3" ht="30">
      <c r="A57" s="60" t="s">
        <v>77</v>
      </c>
      <c r="B57" s="59" t="s">
        <v>236</v>
      </c>
      <c r="C57" s="33">
        <f>[11]С2!F14</f>
        <v>113455</v>
      </c>
    </row>
    <row r="58" spans="1:3" ht="15.75">
      <c r="A58" s="60" t="s">
        <v>79</v>
      </c>
      <c r="B58" s="61" t="s">
        <v>80</v>
      </c>
      <c r="C58" s="41">
        <f>[11]С2!F15</f>
        <v>1.071</v>
      </c>
    </row>
    <row r="59" spans="1:3" ht="15.75">
      <c r="A59" s="60" t="s">
        <v>81</v>
      </c>
      <c r="B59" s="61" t="s">
        <v>82</v>
      </c>
      <c r="C59" s="41">
        <f>[11]С2!F16</f>
        <v>1</v>
      </c>
    </row>
    <row r="60" spans="1:3" ht="17.25">
      <c r="A60" s="60" t="s">
        <v>83</v>
      </c>
      <c r="B60" s="59" t="s">
        <v>84</v>
      </c>
      <c r="C60" s="33">
        <f>[11]С2!F17</f>
        <v>1.01</v>
      </c>
    </row>
    <row r="61" spans="1:3" s="66" customFormat="1" ht="14.25">
      <c r="A61" s="60" t="s">
        <v>85</v>
      </c>
      <c r="B61" s="64" t="s">
        <v>86</v>
      </c>
      <c r="C61" s="65">
        <f>[11]С2!F33</f>
        <v>10</v>
      </c>
    </row>
    <row r="62" spans="1:3" ht="30">
      <c r="A62" s="60" t="s">
        <v>87</v>
      </c>
      <c r="B62" s="67" t="s">
        <v>88</v>
      </c>
      <c r="C62" s="33">
        <f>[11]С2!F26</f>
        <v>1570.1802537861311</v>
      </c>
    </row>
    <row r="63" spans="1:3" ht="17.25">
      <c r="A63" s="60" t="s">
        <v>89</v>
      </c>
      <c r="B63" s="53" t="s">
        <v>237</v>
      </c>
      <c r="C63" s="33">
        <f>[11]С2!F27</f>
        <v>0.27046175099999997</v>
      </c>
    </row>
    <row r="64" spans="1:3" ht="17.25">
      <c r="A64" s="60" t="s">
        <v>91</v>
      </c>
      <c r="B64" s="59" t="s">
        <v>238</v>
      </c>
      <c r="C64" s="65">
        <f>[11]С2!F28</f>
        <v>4200</v>
      </c>
    </row>
    <row r="65" spans="1:3" ht="42.75">
      <c r="A65" s="60" t="s">
        <v>93</v>
      </c>
      <c r="B65" s="32" t="s">
        <v>239</v>
      </c>
      <c r="C65" s="33">
        <f>[11]С2!F22</f>
        <v>35717.748653137714</v>
      </c>
    </row>
    <row r="66" spans="1:3" ht="30">
      <c r="A66" s="60" t="s">
        <v>95</v>
      </c>
      <c r="B66" s="61" t="s">
        <v>240</v>
      </c>
      <c r="C66" s="33">
        <f>[11]С2!F23</f>
        <v>1990</v>
      </c>
    </row>
    <row r="67" spans="1:3" ht="30">
      <c r="A67" s="60" t="s">
        <v>97</v>
      </c>
      <c r="B67" s="53" t="s">
        <v>98</v>
      </c>
      <c r="C67" s="33">
        <f>[11]С2.1!E27</f>
        <v>14307.876789999998</v>
      </c>
    </row>
    <row r="68" spans="1:3" ht="38.25">
      <c r="A68" s="60" t="s">
        <v>99</v>
      </c>
      <c r="B68" s="68" t="s">
        <v>100</v>
      </c>
      <c r="C68" s="52">
        <f>[11]С2.3!E21</f>
        <v>0</v>
      </c>
    </row>
    <row r="69" spans="1:3" ht="25.5">
      <c r="A69" s="60" t="s">
        <v>101</v>
      </c>
      <c r="B69" s="69" t="s">
        <v>102</v>
      </c>
      <c r="C69" s="70">
        <f>[11]С2.3!E11</f>
        <v>9.89</v>
      </c>
    </row>
    <row r="70" spans="1:3" ht="25.5">
      <c r="A70" s="60" t="s">
        <v>103</v>
      </c>
      <c r="B70" s="69" t="s">
        <v>104</v>
      </c>
      <c r="C70" s="65">
        <f>[11]С2.3!E13</f>
        <v>300</v>
      </c>
    </row>
    <row r="71" spans="1:3" ht="25.5">
      <c r="A71" s="60" t="s">
        <v>105</v>
      </c>
      <c r="B71" s="68" t="s">
        <v>106</v>
      </c>
      <c r="C71" s="71">
        <f>IF([11]С2.3!E22&gt;0,[11]С2.3!E22,[11]С2.3!E14)</f>
        <v>61211</v>
      </c>
    </row>
    <row r="72" spans="1:3" ht="38.25">
      <c r="A72" s="60" t="s">
        <v>107</v>
      </c>
      <c r="B72" s="68" t="s">
        <v>108</v>
      </c>
      <c r="C72" s="71">
        <f>IF([11]С2.3!E23&gt;0,[11]С2.3!E23,[11]С2.3!E15)</f>
        <v>45675</v>
      </c>
    </row>
    <row r="73" spans="1:3" ht="30">
      <c r="A73" s="60" t="s">
        <v>109</v>
      </c>
      <c r="B73" s="53" t="s">
        <v>110</v>
      </c>
      <c r="C73" s="33">
        <f>[11]С2.1!E28</f>
        <v>9541.9567200000001</v>
      </c>
    </row>
    <row r="74" spans="1:3" ht="38.25">
      <c r="A74" s="60" t="s">
        <v>111</v>
      </c>
      <c r="B74" s="68" t="s">
        <v>112</v>
      </c>
      <c r="C74" s="52">
        <f>[11]С2.3!E25</f>
        <v>0</v>
      </c>
    </row>
    <row r="75" spans="1:3" ht="25.5">
      <c r="A75" s="60" t="s">
        <v>113</v>
      </c>
      <c r="B75" s="69" t="s">
        <v>114</v>
      </c>
      <c r="C75" s="70">
        <f>[11]С2.3!E12</f>
        <v>0.56000000000000005</v>
      </c>
    </row>
    <row r="76" spans="1:3" ht="25.5">
      <c r="A76" s="60" t="s">
        <v>115</v>
      </c>
      <c r="B76" s="69" t="s">
        <v>104</v>
      </c>
      <c r="C76" s="65">
        <f>[11]С2.3!E13</f>
        <v>300</v>
      </c>
    </row>
    <row r="77" spans="1:3" ht="25.5">
      <c r="A77" s="60" t="s">
        <v>116</v>
      </c>
      <c r="B77" s="72" t="s">
        <v>117</v>
      </c>
      <c r="C77" s="71">
        <f>IF([11]С2.3!E26&gt;0,[11]С2.3!E26,[11]С2.3!E16)</f>
        <v>65637</v>
      </c>
    </row>
    <row r="78" spans="1:3" ht="38.25">
      <c r="A78" s="60" t="s">
        <v>118</v>
      </c>
      <c r="B78" s="72" t="s">
        <v>119</v>
      </c>
      <c r="C78" s="71">
        <f>IF([11]С2.3!E27&gt;0,[11]С2.3!E27,[11]С2.3!E17)</f>
        <v>31684</v>
      </c>
    </row>
    <row r="79" spans="1:3" ht="17.25">
      <c r="A79" s="60" t="s">
        <v>122</v>
      </c>
      <c r="B79" s="32" t="s">
        <v>123</v>
      </c>
      <c r="C79" s="35">
        <f>[11]С2!F29</f>
        <v>0.128978033685065</v>
      </c>
    </row>
    <row r="80" spans="1:3" ht="30">
      <c r="A80" s="60" t="s">
        <v>124</v>
      </c>
      <c r="B80" s="53" t="s">
        <v>125</v>
      </c>
      <c r="C80" s="73">
        <f>[11]С2!F30</f>
        <v>0.11668498168498169</v>
      </c>
    </row>
    <row r="81" spans="1:3" ht="17.25">
      <c r="A81" s="60" t="s">
        <v>126</v>
      </c>
      <c r="B81" s="74" t="s">
        <v>127</v>
      </c>
      <c r="C81" s="35">
        <f>[11]С2!F31</f>
        <v>0.13880000000000001</v>
      </c>
    </row>
    <row r="82" spans="1:3" s="66" customFormat="1" ht="18" thickBot="1">
      <c r="A82" s="75" t="s">
        <v>128</v>
      </c>
      <c r="B82" s="76" t="s">
        <v>129</v>
      </c>
      <c r="C82" s="77">
        <f>[11]С2!F32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[11]С3!F14</f>
        <v>7018.8643800822501</v>
      </c>
    </row>
    <row r="86" spans="1:3" s="66" customFormat="1" ht="42.75">
      <c r="A86" s="79" t="s">
        <v>134</v>
      </c>
      <c r="B86" s="53" t="s">
        <v>135</v>
      </c>
      <c r="C86" s="80">
        <f>[11]С3!F15</f>
        <v>0.2</v>
      </c>
    </row>
    <row r="87" spans="1:3" s="66" customFormat="1" ht="14.25">
      <c r="A87" s="79" t="s">
        <v>136</v>
      </c>
      <c r="B87" s="81" t="s">
        <v>137</v>
      </c>
      <c r="C87" s="65">
        <f>[11]С3!F18</f>
        <v>15</v>
      </c>
    </row>
    <row r="88" spans="1:3" s="66" customFormat="1" ht="17.25">
      <c r="A88" s="79" t="s">
        <v>138</v>
      </c>
      <c r="B88" s="32" t="s">
        <v>139</v>
      </c>
      <c r="C88" s="33">
        <f>[11]С3!F19</f>
        <v>3487.1555421534131</v>
      </c>
    </row>
    <row r="89" spans="1:3" s="66" customFormat="1" ht="55.5">
      <c r="A89" s="79" t="s">
        <v>140</v>
      </c>
      <c r="B89" s="53" t="s">
        <v>141</v>
      </c>
      <c r="C89" s="82">
        <f>[11]С3!F20</f>
        <v>2.1999999999999999E-2</v>
      </c>
    </row>
    <row r="90" spans="1:3" s="66" customFormat="1" ht="14.25">
      <c r="A90" s="79" t="s">
        <v>142</v>
      </c>
      <c r="B90" s="59" t="s">
        <v>86</v>
      </c>
      <c r="C90" s="65">
        <f>[11]С3!F21</f>
        <v>10</v>
      </c>
    </row>
    <row r="91" spans="1:3" s="66" customFormat="1" ht="17.25">
      <c r="A91" s="79" t="s">
        <v>143</v>
      </c>
      <c r="B91" s="32" t="s">
        <v>144</v>
      </c>
      <c r="C91" s="33">
        <f>[11]С3!F22</f>
        <v>4.7105407613583932</v>
      </c>
    </row>
    <row r="92" spans="1:3" s="66" customFormat="1" ht="55.5">
      <c r="A92" s="79" t="s">
        <v>145</v>
      </c>
      <c r="B92" s="53" t="s">
        <v>146</v>
      </c>
      <c r="C92" s="82">
        <f>[11]С3!F23</f>
        <v>3.0000000000000001E-3</v>
      </c>
    </row>
    <row r="93" spans="1:3" s="66" customFormat="1" ht="27.75" thickBot="1">
      <c r="A93" s="83" t="s">
        <v>147</v>
      </c>
      <c r="B93" s="84" t="s">
        <v>241</v>
      </c>
      <c r="C93" s="85">
        <f>[11]С3!F24</f>
        <v>1570.1802537861311</v>
      </c>
    </row>
    <row r="94" spans="1:3" ht="13.5" thickBot="1">
      <c r="A94" s="48"/>
      <c r="B94" s="49"/>
      <c r="C94" s="14"/>
    </row>
    <row r="95" spans="1:3" ht="30" customHeight="1">
      <c r="A95" s="86" t="s">
        <v>148</v>
      </c>
      <c r="B95" s="142" t="s">
        <v>149</v>
      </c>
      <c r="C95" s="142"/>
    </row>
    <row r="96" spans="1:3" ht="30">
      <c r="A96" s="60" t="s">
        <v>150</v>
      </c>
      <c r="B96" s="32" t="s">
        <v>242</v>
      </c>
      <c r="C96" s="33">
        <f>[11]С4!F16</f>
        <v>1652.5</v>
      </c>
    </row>
    <row r="97" spans="1:3" ht="30">
      <c r="A97" s="60" t="s">
        <v>152</v>
      </c>
      <c r="B97" s="59" t="s">
        <v>243</v>
      </c>
      <c r="C97" s="33">
        <f>[11]С4!F17</f>
        <v>73547</v>
      </c>
    </row>
    <row r="98" spans="1:3" ht="17.25">
      <c r="A98" s="60" t="s">
        <v>154</v>
      </c>
      <c r="B98" s="59" t="s">
        <v>155</v>
      </c>
      <c r="C98" s="41">
        <f>[11]С4!F18</f>
        <v>0.02</v>
      </c>
    </row>
    <row r="99" spans="1:3" ht="30">
      <c r="A99" s="60" t="s">
        <v>156</v>
      </c>
      <c r="B99" s="59" t="s">
        <v>157</v>
      </c>
      <c r="C99" s="33">
        <f>[11]С4!F19</f>
        <v>12104</v>
      </c>
    </row>
    <row r="100" spans="1:3" ht="31.5">
      <c r="A100" s="60" t="s">
        <v>158</v>
      </c>
      <c r="B100" s="59" t="s">
        <v>159</v>
      </c>
      <c r="C100" s="41">
        <f>[11]С4!F20</f>
        <v>1.4999999999999999E-2</v>
      </c>
    </row>
    <row r="101" spans="1:3" ht="30">
      <c r="A101" s="60" t="s">
        <v>160</v>
      </c>
      <c r="B101" s="32" t="s">
        <v>244</v>
      </c>
      <c r="C101" s="33">
        <f>[11]С4!F21</f>
        <v>1933.1949342509995</v>
      </c>
    </row>
    <row r="102" spans="1:3" ht="24" customHeight="1">
      <c r="A102" s="60" t="s">
        <v>162</v>
      </c>
      <c r="B102" s="53" t="s">
        <v>163</v>
      </c>
      <c r="C102" s="34">
        <f>IF([11]С4.2!F8="да",[11]С4.2!D21,[11]С4.2!D15)</f>
        <v>0</v>
      </c>
    </row>
    <row r="103" spans="1:3" ht="68.25">
      <c r="A103" s="60" t="s">
        <v>164</v>
      </c>
      <c r="B103" s="53" t="s">
        <v>165</v>
      </c>
      <c r="C103" s="33">
        <f>[11]С4!F22</f>
        <v>3.6112641666666665</v>
      </c>
    </row>
    <row r="104" spans="1:3" ht="30">
      <c r="A104" s="60" t="s">
        <v>166</v>
      </c>
      <c r="B104" s="59" t="s">
        <v>245</v>
      </c>
      <c r="C104" s="33">
        <f>[11]С4!F23</f>
        <v>180</v>
      </c>
    </row>
    <row r="105" spans="1:3" ht="14.25">
      <c r="A105" s="60" t="s">
        <v>168</v>
      </c>
      <c r="B105" s="53" t="s">
        <v>169</v>
      </c>
      <c r="C105" s="33">
        <f>[11]С4!F24</f>
        <v>8497.1999999999989</v>
      </c>
    </row>
    <row r="106" spans="1:3" ht="14.25">
      <c r="A106" s="60" t="s">
        <v>170</v>
      </c>
      <c r="B106" s="59" t="s">
        <v>171</v>
      </c>
      <c r="C106" s="41">
        <f>[11]С4!F25</f>
        <v>0.35</v>
      </c>
    </row>
    <row r="107" spans="1:3" ht="17.25">
      <c r="A107" s="60" t="s">
        <v>172</v>
      </c>
      <c r="B107" s="32" t="s">
        <v>173</v>
      </c>
      <c r="C107" s="33">
        <f>[11]С4!F26</f>
        <v>82.799850000000006</v>
      </c>
    </row>
    <row r="108" spans="1:3" ht="25.5">
      <c r="A108" s="60" t="s">
        <v>174</v>
      </c>
      <c r="B108" s="53" t="s">
        <v>100</v>
      </c>
      <c r="C108" s="34">
        <f>[11]С4.3!E16</f>
        <v>0</v>
      </c>
    </row>
    <row r="109" spans="1:3" ht="25.5">
      <c r="A109" s="60" t="s">
        <v>175</v>
      </c>
      <c r="B109" s="53" t="s">
        <v>176</v>
      </c>
      <c r="C109" s="33">
        <f>[11]С4.3!E17</f>
        <v>22.71</v>
      </c>
    </row>
    <row r="110" spans="1:3" ht="38.25">
      <c r="A110" s="60" t="s">
        <v>177</v>
      </c>
      <c r="B110" s="53" t="s">
        <v>112</v>
      </c>
      <c r="C110" s="34">
        <f>[11]С4.3!E18</f>
        <v>0</v>
      </c>
    </row>
    <row r="111" spans="1:3">
      <c r="A111" s="60" t="s">
        <v>178</v>
      </c>
      <c r="B111" s="53" t="s">
        <v>179</v>
      </c>
      <c r="C111" s="33">
        <f>[11]С4.3!E19</f>
        <v>15.47</v>
      </c>
    </row>
    <row r="112" spans="1:3">
      <c r="A112" s="60" t="s">
        <v>180</v>
      </c>
      <c r="B112" s="59" t="s">
        <v>181</v>
      </c>
      <c r="C112" s="33">
        <f>[11]С4.3!E11</f>
        <v>1871</v>
      </c>
    </row>
    <row r="113" spans="1:3">
      <c r="A113" s="60" t="s">
        <v>182</v>
      </c>
      <c r="B113" s="59" t="s">
        <v>183</v>
      </c>
      <c r="C113" s="52">
        <f>[11]С4.3!E12</f>
        <v>1636</v>
      </c>
    </row>
    <row r="114" spans="1:3">
      <c r="A114" s="60" t="s">
        <v>184</v>
      </c>
      <c r="B114" s="59" t="s">
        <v>185</v>
      </c>
      <c r="C114" s="52">
        <f>[11]С4.3!E13</f>
        <v>204</v>
      </c>
    </row>
    <row r="115" spans="1:3" ht="30">
      <c r="A115" s="60" t="s">
        <v>186</v>
      </c>
      <c r="B115" s="32" t="s">
        <v>246</v>
      </c>
      <c r="C115" s="33">
        <f>[11]С4!F27</f>
        <v>1467.2629458895778</v>
      </c>
    </row>
    <row r="116" spans="1:3" ht="25.5">
      <c r="A116" s="60" t="s">
        <v>188</v>
      </c>
      <c r="B116" s="53" t="s">
        <v>247</v>
      </c>
      <c r="C116" s="33">
        <f>[11]С4!F28</f>
        <v>1126.9300659674177</v>
      </c>
    </row>
    <row r="117" spans="1:3" ht="42.75">
      <c r="A117" s="60" t="s">
        <v>190</v>
      </c>
      <c r="B117" s="53" t="s">
        <v>191</v>
      </c>
      <c r="C117" s="33">
        <f>[11]С4!F29</f>
        <v>340.33287992216015</v>
      </c>
    </row>
    <row r="118" spans="1:3" ht="30">
      <c r="A118" s="60" t="s">
        <v>192</v>
      </c>
      <c r="B118" s="40" t="s">
        <v>193</v>
      </c>
      <c r="C118" s="33">
        <f>[11]С4!F30</f>
        <v>2063.6599042300859</v>
      </c>
    </row>
    <row r="119" spans="1:3" ht="42.75">
      <c r="A119" s="60" t="s">
        <v>248</v>
      </c>
      <c r="B119" s="90" t="s">
        <v>249</v>
      </c>
      <c r="C119" s="33">
        <f>[11]С4!F33</f>
        <v>1316.7823013375851</v>
      </c>
    </row>
    <row r="120" spans="1:3" ht="30">
      <c r="A120" s="60" t="s">
        <v>250</v>
      </c>
      <c r="B120" s="123" t="s">
        <v>251</v>
      </c>
      <c r="C120" s="33">
        <f>[11]С4!F35</f>
        <v>17.040680999999999</v>
      </c>
    </row>
    <row r="121" spans="1:3" ht="14.25">
      <c r="A121" s="60" t="s">
        <v>252</v>
      </c>
      <c r="B121" s="56" t="s">
        <v>253</v>
      </c>
      <c r="C121" s="33">
        <f>[11]С4!F36</f>
        <v>14319.9</v>
      </c>
    </row>
    <row r="122" spans="1:3" ht="28.5" thickBot="1">
      <c r="A122" s="75" t="s">
        <v>254</v>
      </c>
      <c r="B122" s="124" t="s">
        <v>255</v>
      </c>
      <c r="C122" s="85">
        <f>[11]С4!F37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[11]С5!F17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[11]С2!F37</f>
        <v>20.818139999999996</v>
      </c>
    </row>
    <row r="136" spans="1:3" ht="14.25">
      <c r="A136" s="60" t="s">
        <v>214</v>
      </c>
      <c r="B136" s="130" t="s">
        <v>215</v>
      </c>
      <c r="C136" s="33">
        <f>[11]С2!F38</f>
        <v>7</v>
      </c>
    </row>
    <row r="137" spans="1:3" ht="17.25">
      <c r="A137" s="60" t="s">
        <v>216</v>
      </c>
      <c r="B137" s="130" t="s">
        <v>217</v>
      </c>
      <c r="C137" s="33">
        <f>[11]С2!F40</f>
        <v>0.97</v>
      </c>
    </row>
    <row r="138" spans="1:3" ht="15" thickBot="1">
      <c r="A138" s="75" t="s">
        <v>218</v>
      </c>
      <c r="B138" s="131" t="s">
        <v>219</v>
      </c>
      <c r="C138" s="47">
        <f>[11]С2!F42</f>
        <v>0.35</v>
      </c>
    </row>
    <row r="139" spans="1:3" s="88" customFormat="1" ht="13.5" thickBot="1">
      <c r="A139" s="48"/>
      <c r="B139" s="49"/>
      <c r="C139" s="14"/>
    </row>
    <row r="140" spans="1:3" ht="30">
      <c r="A140" s="86" t="s">
        <v>220</v>
      </c>
      <c r="B140" s="96" t="s">
        <v>258</v>
      </c>
      <c r="C140" s="132">
        <f>[11]С2!F35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[11]С2.5!$E$11</f>
        <v>-2.9000000000000026E-2</v>
      </c>
    </row>
    <row r="144" spans="1:3">
      <c r="A144" s="99"/>
      <c r="B144" s="106">
        <f>B143+1</f>
        <v>2021</v>
      </c>
      <c r="C144" s="137">
        <f>[11]С2.5!$F$11</f>
        <v>0.245</v>
      </c>
    </row>
    <row r="145" spans="1:3">
      <c r="A145" s="99"/>
      <c r="B145" s="106">
        <f t="shared" ref="B145:B208" si="0">B144+1</f>
        <v>2022</v>
      </c>
      <c r="C145" s="137">
        <f>[11]С2.5!$G$11</f>
        <v>0.121</v>
      </c>
    </row>
    <row r="146" spans="1:3" ht="13.5" thickBot="1">
      <c r="A146" s="99"/>
      <c r="B146" s="108">
        <f t="shared" si="0"/>
        <v>2023</v>
      </c>
      <c r="C146" s="138">
        <f>[11]С2.5!$H$11</f>
        <v>0.02</v>
      </c>
    </row>
    <row r="147" spans="1:3" hidden="1">
      <c r="A147" s="99"/>
      <c r="B147" s="139">
        <f t="shared" si="0"/>
        <v>2024</v>
      </c>
      <c r="C147" s="140">
        <f>[11]С2.5!$I$11</f>
        <v>-2.93E-2</v>
      </c>
    </row>
    <row r="148" spans="1:3" hidden="1">
      <c r="A148" s="99"/>
      <c r="B148" s="106">
        <f t="shared" si="0"/>
        <v>2025</v>
      </c>
      <c r="C148" s="137">
        <f>[11]С2.5!$J$11</f>
        <v>0.21215960863291</v>
      </c>
    </row>
    <row r="149" spans="1:3" hidden="1">
      <c r="A149" s="99"/>
      <c r="B149" s="106">
        <f t="shared" si="0"/>
        <v>2026</v>
      </c>
      <c r="C149" s="137">
        <f>[11]С2.5!$K$11</f>
        <v>3.5813361771260002E-2</v>
      </c>
    </row>
    <row r="150" spans="1:3" hidden="1">
      <c r="A150" s="99"/>
      <c r="B150" s="106">
        <f t="shared" si="0"/>
        <v>2027</v>
      </c>
      <c r="C150" s="137">
        <f>[11]С2.5!$L$11</f>
        <v>3.2682303599220003E-2</v>
      </c>
    </row>
    <row r="151" spans="1:3" hidden="1">
      <c r="A151" s="99"/>
      <c r="B151" s="106">
        <f t="shared" si="0"/>
        <v>2028</v>
      </c>
      <c r="C151" s="137">
        <f>[11]С2.5!$M$11</f>
        <v>0</v>
      </c>
    </row>
    <row r="152" spans="1:3" hidden="1">
      <c r="A152" s="99"/>
      <c r="B152" s="106">
        <f t="shared" si="0"/>
        <v>2029</v>
      </c>
      <c r="C152" s="137">
        <f>[11]С2.5!$N$11</f>
        <v>0</v>
      </c>
    </row>
    <row r="153" spans="1:3" hidden="1">
      <c r="A153" s="99"/>
      <c r="B153" s="106">
        <f t="shared" si="0"/>
        <v>2030</v>
      </c>
      <c r="C153" s="137">
        <f>[11]С2.5!$O$11</f>
        <v>0</v>
      </c>
    </row>
    <row r="154" spans="1:3" hidden="1">
      <c r="A154" s="99"/>
      <c r="B154" s="106">
        <f t="shared" si="0"/>
        <v>2031</v>
      </c>
      <c r="C154" s="137">
        <f>[11]С2.5!$P$11</f>
        <v>0</v>
      </c>
    </row>
    <row r="155" spans="1:3" hidden="1">
      <c r="A155" s="88"/>
      <c r="B155" s="106">
        <f t="shared" si="0"/>
        <v>2032</v>
      </c>
      <c r="C155" s="137">
        <f>[11]С2.5!$Q$11</f>
        <v>0</v>
      </c>
    </row>
    <row r="156" spans="1:3" hidden="1">
      <c r="A156" s="88"/>
      <c r="B156" s="106">
        <f t="shared" si="0"/>
        <v>2033</v>
      </c>
      <c r="C156" s="137">
        <f>[11]С2.5!$R$11</f>
        <v>0</v>
      </c>
    </row>
    <row r="157" spans="1:3" hidden="1">
      <c r="B157" s="106">
        <f t="shared" si="0"/>
        <v>2034</v>
      </c>
      <c r="C157" s="137">
        <f>[11]С2.5!$S$11</f>
        <v>0</v>
      </c>
    </row>
    <row r="158" spans="1:3" hidden="1">
      <c r="B158" s="106">
        <f t="shared" si="0"/>
        <v>2035</v>
      </c>
      <c r="C158" s="137">
        <f>[11]С2.5!$T$11</f>
        <v>0</v>
      </c>
    </row>
    <row r="159" spans="1:3" hidden="1">
      <c r="B159" s="106">
        <f t="shared" si="0"/>
        <v>2036</v>
      </c>
      <c r="C159" s="137">
        <f>[11]С2.5!$U$11</f>
        <v>0</v>
      </c>
    </row>
    <row r="160" spans="1:3" hidden="1">
      <c r="B160" s="106">
        <f t="shared" si="0"/>
        <v>2037</v>
      </c>
      <c r="C160" s="137">
        <f>[11]С2.5!$V$11</f>
        <v>0</v>
      </c>
    </row>
    <row r="161" spans="2:3" hidden="1">
      <c r="B161" s="106">
        <f t="shared" si="0"/>
        <v>2038</v>
      </c>
      <c r="C161" s="137">
        <f>[11]С2.5!$W$11</f>
        <v>0</v>
      </c>
    </row>
    <row r="162" spans="2:3" hidden="1">
      <c r="B162" s="106">
        <f t="shared" si="0"/>
        <v>2039</v>
      </c>
      <c r="C162" s="137">
        <f>[11]С2.5!$X$11</f>
        <v>0</v>
      </c>
    </row>
    <row r="163" spans="2:3" hidden="1">
      <c r="B163" s="106">
        <f t="shared" si="0"/>
        <v>2040</v>
      </c>
      <c r="C163" s="137">
        <f>[11]С2.5!$Y$11</f>
        <v>0</v>
      </c>
    </row>
    <row r="164" spans="2:3" hidden="1">
      <c r="B164" s="106">
        <f t="shared" si="0"/>
        <v>2041</v>
      </c>
      <c r="C164" s="137">
        <f>[11]С2.5!$Z$11</f>
        <v>0</v>
      </c>
    </row>
    <row r="165" spans="2:3" hidden="1">
      <c r="B165" s="106">
        <f t="shared" si="0"/>
        <v>2042</v>
      </c>
      <c r="C165" s="137">
        <f>[11]С2.5!$AA$11</f>
        <v>0</v>
      </c>
    </row>
    <row r="166" spans="2:3" hidden="1">
      <c r="B166" s="106">
        <f t="shared" si="0"/>
        <v>2043</v>
      </c>
      <c r="C166" s="137">
        <f>[11]С2.5!$AB$11</f>
        <v>0</v>
      </c>
    </row>
    <row r="167" spans="2:3" hidden="1">
      <c r="B167" s="106">
        <f t="shared" si="0"/>
        <v>2044</v>
      </c>
      <c r="C167" s="137">
        <f>[11]С2.5!$AC$11</f>
        <v>0</v>
      </c>
    </row>
    <row r="168" spans="2:3" hidden="1">
      <c r="B168" s="106">
        <f t="shared" si="0"/>
        <v>2045</v>
      </c>
      <c r="C168" s="137">
        <f>[11]С2.5!$AD$11</f>
        <v>0</v>
      </c>
    </row>
    <row r="169" spans="2:3" hidden="1">
      <c r="B169" s="106">
        <f t="shared" si="0"/>
        <v>2046</v>
      </c>
      <c r="C169" s="137">
        <f>[11]С2.5!$AE$11</f>
        <v>0</v>
      </c>
    </row>
    <row r="170" spans="2:3" hidden="1">
      <c r="B170" s="106">
        <f t="shared" si="0"/>
        <v>2047</v>
      </c>
      <c r="C170" s="137">
        <f>[11]С2.5!$AF$11</f>
        <v>0</v>
      </c>
    </row>
    <row r="171" spans="2:3" hidden="1">
      <c r="B171" s="106">
        <f t="shared" si="0"/>
        <v>2048</v>
      </c>
      <c r="C171" s="137">
        <f>[11]С2.5!$AG$11</f>
        <v>0</v>
      </c>
    </row>
    <row r="172" spans="2:3" hidden="1">
      <c r="B172" s="106">
        <f t="shared" si="0"/>
        <v>2049</v>
      </c>
      <c r="C172" s="137">
        <f>[11]С2.5!$AH$11</f>
        <v>0</v>
      </c>
    </row>
    <row r="173" spans="2:3" hidden="1">
      <c r="B173" s="106">
        <f t="shared" si="0"/>
        <v>2050</v>
      </c>
      <c r="C173" s="137">
        <f>[11]С2.5!$AI$11</f>
        <v>0</v>
      </c>
    </row>
    <row r="174" spans="2:3" hidden="1">
      <c r="B174" s="106">
        <f t="shared" si="0"/>
        <v>2051</v>
      </c>
      <c r="C174" s="137">
        <f>[11]С2.5!$AJ$11</f>
        <v>0</v>
      </c>
    </row>
    <row r="175" spans="2:3" hidden="1">
      <c r="B175" s="106">
        <f t="shared" si="0"/>
        <v>2052</v>
      </c>
      <c r="C175" s="137">
        <f>[11]С2.5!$AK$11</f>
        <v>0</v>
      </c>
    </row>
    <row r="176" spans="2:3" hidden="1">
      <c r="B176" s="106">
        <f t="shared" si="0"/>
        <v>2053</v>
      </c>
      <c r="C176" s="137">
        <f>[11]С2.5!$AL$11</f>
        <v>0</v>
      </c>
    </row>
    <row r="177" spans="2:3" hidden="1">
      <c r="B177" s="106">
        <f t="shared" si="0"/>
        <v>2054</v>
      </c>
      <c r="C177" s="137">
        <f>[11]С2.5!$AM$11</f>
        <v>0</v>
      </c>
    </row>
    <row r="178" spans="2:3" hidden="1">
      <c r="B178" s="106">
        <f t="shared" si="0"/>
        <v>2055</v>
      </c>
      <c r="C178" s="137">
        <f>[11]С2.5!$AN$11</f>
        <v>0</v>
      </c>
    </row>
    <row r="179" spans="2:3" hidden="1">
      <c r="B179" s="106">
        <f t="shared" si="0"/>
        <v>2056</v>
      </c>
      <c r="C179" s="137">
        <f>[11]С2.5!$AO$11</f>
        <v>0</v>
      </c>
    </row>
    <row r="180" spans="2:3" hidden="1">
      <c r="B180" s="106">
        <f t="shared" si="0"/>
        <v>2057</v>
      </c>
      <c r="C180" s="137">
        <f>[11]С2.5!$AP$11</f>
        <v>0</v>
      </c>
    </row>
    <row r="181" spans="2:3" hidden="1">
      <c r="B181" s="106">
        <f t="shared" si="0"/>
        <v>2058</v>
      </c>
      <c r="C181" s="137">
        <f>[11]С2.5!$AQ$11</f>
        <v>0</v>
      </c>
    </row>
    <row r="182" spans="2:3" hidden="1">
      <c r="B182" s="106">
        <f t="shared" si="0"/>
        <v>2059</v>
      </c>
      <c r="C182" s="137">
        <f>[11]С2.5!$AR$11</f>
        <v>0</v>
      </c>
    </row>
    <row r="183" spans="2:3" hidden="1">
      <c r="B183" s="106">
        <f t="shared" si="0"/>
        <v>2060</v>
      </c>
      <c r="C183" s="137">
        <f>[11]С2.5!$AS$11</f>
        <v>0</v>
      </c>
    </row>
    <row r="184" spans="2:3" hidden="1">
      <c r="B184" s="106">
        <f t="shared" si="0"/>
        <v>2061</v>
      </c>
      <c r="C184" s="137">
        <f>[11]С2.5!$AT$11</f>
        <v>0</v>
      </c>
    </row>
    <row r="185" spans="2:3" hidden="1">
      <c r="B185" s="106">
        <f t="shared" si="0"/>
        <v>2062</v>
      </c>
      <c r="C185" s="137">
        <f>[11]С2.5!$AU$11</f>
        <v>0</v>
      </c>
    </row>
    <row r="186" spans="2:3" hidden="1">
      <c r="B186" s="106">
        <f t="shared" si="0"/>
        <v>2063</v>
      </c>
      <c r="C186" s="137">
        <f>[11]С2.5!$AV$11</f>
        <v>0</v>
      </c>
    </row>
    <row r="187" spans="2:3" hidden="1">
      <c r="B187" s="106">
        <f t="shared" si="0"/>
        <v>2064</v>
      </c>
      <c r="C187" s="137">
        <f>[11]С2.5!$AW$11</f>
        <v>0</v>
      </c>
    </row>
    <row r="188" spans="2:3" hidden="1">
      <c r="B188" s="106">
        <f t="shared" si="0"/>
        <v>2065</v>
      </c>
      <c r="C188" s="137">
        <f>[11]С2.5!$AX$11</f>
        <v>0</v>
      </c>
    </row>
    <row r="189" spans="2:3" hidden="1">
      <c r="B189" s="106">
        <f t="shared" si="0"/>
        <v>2066</v>
      </c>
      <c r="C189" s="137">
        <f>[11]С2.5!$AY$11</f>
        <v>0</v>
      </c>
    </row>
    <row r="190" spans="2:3" hidden="1">
      <c r="B190" s="106">
        <f t="shared" si="0"/>
        <v>2067</v>
      </c>
      <c r="C190" s="137">
        <f>[11]С2.5!$AZ$11</f>
        <v>0</v>
      </c>
    </row>
    <row r="191" spans="2:3" hidden="1">
      <c r="B191" s="106">
        <f t="shared" si="0"/>
        <v>2068</v>
      </c>
      <c r="C191" s="137">
        <f>[11]С2.5!$BA$11</f>
        <v>0</v>
      </c>
    </row>
    <row r="192" spans="2:3" hidden="1">
      <c r="B192" s="106">
        <f t="shared" si="0"/>
        <v>2069</v>
      </c>
      <c r="C192" s="137">
        <f>[11]С2.5!$BB$11</f>
        <v>0</v>
      </c>
    </row>
    <row r="193" spans="2:3" hidden="1">
      <c r="B193" s="106">
        <f t="shared" si="0"/>
        <v>2070</v>
      </c>
      <c r="C193" s="137">
        <f>[11]С2.5!$BC$11</f>
        <v>0</v>
      </c>
    </row>
    <row r="194" spans="2:3" hidden="1">
      <c r="B194" s="106">
        <f t="shared" si="0"/>
        <v>2071</v>
      </c>
      <c r="C194" s="137">
        <f>[11]С2.5!$BD$11</f>
        <v>0</v>
      </c>
    </row>
    <row r="195" spans="2:3" hidden="1">
      <c r="B195" s="106">
        <f t="shared" si="0"/>
        <v>2072</v>
      </c>
      <c r="C195" s="137">
        <f>[11]С2.5!$BE$11</f>
        <v>0</v>
      </c>
    </row>
    <row r="196" spans="2:3" hidden="1">
      <c r="B196" s="106">
        <f t="shared" si="0"/>
        <v>2073</v>
      </c>
      <c r="C196" s="137">
        <f>[11]С2.5!$BF$11</f>
        <v>0</v>
      </c>
    </row>
    <row r="197" spans="2:3" hidden="1">
      <c r="B197" s="106">
        <f t="shared" si="0"/>
        <v>2074</v>
      </c>
      <c r="C197" s="137">
        <f>[11]С2.5!$BG$11</f>
        <v>0</v>
      </c>
    </row>
    <row r="198" spans="2:3" hidden="1">
      <c r="B198" s="106">
        <f t="shared" si="0"/>
        <v>2075</v>
      </c>
      <c r="C198" s="137">
        <f>[11]С2.5!$BH$11</f>
        <v>0</v>
      </c>
    </row>
    <row r="199" spans="2:3" hidden="1">
      <c r="B199" s="106">
        <f t="shared" si="0"/>
        <v>2076</v>
      </c>
      <c r="C199" s="137">
        <f>[11]С2.5!$BI$11</f>
        <v>0</v>
      </c>
    </row>
    <row r="200" spans="2:3" hidden="1">
      <c r="B200" s="106">
        <f t="shared" si="0"/>
        <v>2077</v>
      </c>
      <c r="C200" s="137">
        <f>[11]С2.5!$BJ$11</f>
        <v>0</v>
      </c>
    </row>
    <row r="201" spans="2:3" hidden="1">
      <c r="B201" s="106">
        <f t="shared" si="0"/>
        <v>2078</v>
      </c>
      <c r="C201" s="137">
        <f>[11]С2.5!$BK$11</f>
        <v>0</v>
      </c>
    </row>
    <row r="202" spans="2:3" hidden="1">
      <c r="B202" s="106">
        <f t="shared" si="0"/>
        <v>2079</v>
      </c>
      <c r="C202" s="137">
        <f>[11]С2.5!$BL$11</f>
        <v>0</v>
      </c>
    </row>
    <row r="203" spans="2:3" hidden="1">
      <c r="B203" s="106">
        <f t="shared" si="0"/>
        <v>2080</v>
      </c>
      <c r="C203" s="137">
        <f>[11]С2.5!$BM$11</f>
        <v>0</v>
      </c>
    </row>
    <row r="204" spans="2:3" hidden="1">
      <c r="B204" s="106">
        <f t="shared" si="0"/>
        <v>2081</v>
      </c>
      <c r="C204" s="137">
        <f>[11]С2.5!$BN$11</f>
        <v>0</v>
      </c>
    </row>
    <row r="205" spans="2:3" hidden="1">
      <c r="B205" s="106">
        <f t="shared" si="0"/>
        <v>2082</v>
      </c>
      <c r="C205" s="137">
        <f>[11]С2.5!$BO$11</f>
        <v>0</v>
      </c>
    </row>
    <row r="206" spans="2:3" hidden="1">
      <c r="B206" s="106">
        <f t="shared" si="0"/>
        <v>2083</v>
      </c>
      <c r="C206" s="137">
        <f>[11]С2.5!$BP$11</f>
        <v>0</v>
      </c>
    </row>
    <row r="207" spans="2:3" hidden="1">
      <c r="B207" s="106">
        <f t="shared" si="0"/>
        <v>2084</v>
      </c>
      <c r="C207" s="137">
        <f>[11]С2.5!$BQ$11</f>
        <v>0</v>
      </c>
    </row>
    <row r="208" spans="2:3" hidden="1">
      <c r="B208" s="106">
        <f t="shared" si="0"/>
        <v>2085</v>
      </c>
      <c r="C208" s="137">
        <f>[11]С2.5!$BR$11</f>
        <v>0</v>
      </c>
    </row>
    <row r="209" spans="2:3" hidden="1">
      <c r="B209" s="106">
        <f t="shared" ref="B209:B223" si="1">B208+1</f>
        <v>2086</v>
      </c>
      <c r="C209" s="137">
        <f>[11]С2.5!$BS$11</f>
        <v>0</v>
      </c>
    </row>
    <row r="210" spans="2:3" hidden="1">
      <c r="B210" s="106">
        <f t="shared" si="1"/>
        <v>2087</v>
      </c>
      <c r="C210" s="137">
        <f>[11]С2.5!$BT$11</f>
        <v>0</v>
      </c>
    </row>
    <row r="211" spans="2:3" hidden="1">
      <c r="B211" s="106">
        <f t="shared" si="1"/>
        <v>2088</v>
      </c>
      <c r="C211" s="137">
        <f>[11]С2.5!$BU$11</f>
        <v>0</v>
      </c>
    </row>
    <row r="212" spans="2:3" hidden="1">
      <c r="B212" s="106">
        <f t="shared" si="1"/>
        <v>2089</v>
      </c>
      <c r="C212" s="137">
        <f>[11]С2.5!$BV$11</f>
        <v>0</v>
      </c>
    </row>
    <row r="213" spans="2:3" hidden="1">
      <c r="B213" s="106">
        <f t="shared" si="1"/>
        <v>2090</v>
      </c>
      <c r="C213" s="137">
        <f>[11]С2.5!$BW$11</f>
        <v>0</v>
      </c>
    </row>
    <row r="214" spans="2:3" hidden="1">
      <c r="B214" s="106">
        <f t="shared" si="1"/>
        <v>2091</v>
      </c>
      <c r="C214" s="137">
        <f>[11]С2.5!$BX$11</f>
        <v>0</v>
      </c>
    </row>
    <row r="215" spans="2:3" hidden="1">
      <c r="B215" s="106">
        <f t="shared" si="1"/>
        <v>2092</v>
      </c>
      <c r="C215" s="137">
        <f>[11]С2.5!$BY$11</f>
        <v>0</v>
      </c>
    </row>
    <row r="216" spans="2:3" hidden="1">
      <c r="B216" s="106">
        <f t="shared" si="1"/>
        <v>2093</v>
      </c>
      <c r="C216" s="137">
        <f>[11]С2.5!$BZ$11</f>
        <v>0</v>
      </c>
    </row>
    <row r="217" spans="2:3" hidden="1">
      <c r="B217" s="106">
        <f t="shared" si="1"/>
        <v>2094</v>
      </c>
      <c r="C217" s="137">
        <f>[11]С2.5!$CA$11</f>
        <v>0</v>
      </c>
    </row>
    <row r="218" spans="2:3" hidden="1">
      <c r="B218" s="106">
        <f t="shared" si="1"/>
        <v>2095</v>
      </c>
      <c r="C218" s="137">
        <f>[11]С2.5!$CB$11</f>
        <v>0</v>
      </c>
    </row>
    <row r="219" spans="2:3" hidden="1">
      <c r="B219" s="106">
        <f t="shared" si="1"/>
        <v>2096</v>
      </c>
      <c r="C219" s="137">
        <f>[11]С2.5!$CC$11</f>
        <v>0</v>
      </c>
    </row>
    <row r="220" spans="2:3" hidden="1">
      <c r="B220" s="106">
        <f t="shared" si="1"/>
        <v>2097</v>
      </c>
      <c r="C220" s="137">
        <f>[11]С2.5!$CD$11</f>
        <v>0</v>
      </c>
    </row>
    <row r="221" spans="2:3" hidden="1">
      <c r="B221" s="106">
        <f t="shared" si="1"/>
        <v>2098</v>
      </c>
      <c r="C221" s="137">
        <f>[11]С2.5!$CE$11</f>
        <v>0</v>
      </c>
    </row>
    <row r="222" spans="2:3" hidden="1">
      <c r="B222" s="106">
        <f t="shared" si="1"/>
        <v>2099</v>
      </c>
      <c r="C222" s="137">
        <f>[11]С2.5!$CF$11</f>
        <v>0</v>
      </c>
    </row>
    <row r="223" spans="2:3" ht="13.5" hidden="1" thickBot="1">
      <c r="B223" s="108">
        <f t="shared" si="1"/>
        <v>2100</v>
      </c>
      <c r="C223" s="138">
        <f>[11]С2.5!$CG$11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I1048576"/>
    </sheetView>
  </sheetViews>
  <sheetFormatPr defaultRowHeight="12.75"/>
  <cols>
    <col min="1" max="1" width="9.140625" style="2" customWidth="1"/>
    <col min="2" max="2" width="100.5703125" style="2" customWidth="1"/>
    <col min="3" max="3" width="20.85546875" style="6"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[12]И1!D13</f>
        <v>Субъект Российской Федерации</v>
      </c>
      <c r="C4" s="9" t="str">
        <f>[12]И1!E13</f>
        <v>Новосибирская область</v>
      </c>
    </row>
    <row r="5" spans="1:3" ht="25.5">
      <c r="A5" s="7"/>
      <c r="B5" s="8" t="str">
        <f>[12]И1!D14</f>
        <v>Тип муниципального образования (выберите из списка)</v>
      </c>
      <c r="C5" s="9" t="str">
        <f>[12]И1!E14</f>
        <v>Новотырышкинское МО</v>
      </c>
    </row>
    <row r="6" spans="1:3">
      <c r="A6" s="7"/>
      <c r="B6" s="8" t="str">
        <f>IF([12]И1!E15="","",[12]И1!D15)</f>
        <v/>
      </c>
      <c r="C6" s="9" t="str">
        <f>IF([12]И1!E15="","",[12]И1!E15)</f>
        <v/>
      </c>
    </row>
    <row r="7" spans="1:3">
      <c r="A7" s="7"/>
      <c r="B7" s="8" t="str">
        <f>[12]И1!D16</f>
        <v>Код ОКТМО</v>
      </c>
      <c r="C7" s="10" t="str">
        <f>[12]И1!E16</f>
        <v>50621416101</v>
      </c>
    </row>
    <row r="8" spans="1:3">
      <c r="A8" s="7"/>
      <c r="B8" s="11" t="str">
        <f>[12]И1!D17</f>
        <v>Система теплоснабжения</v>
      </c>
      <c r="C8" s="12">
        <f>[12]И1!E17</f>
        <v>0</v>
      </c>
    </row>
    <row r="9" spans="1:3">
      <c r="A9" s="7"/>
      <c r="B9" s="8" t="str">
        <f>[12]И1!D8</f>
        <v>Период регулирования (i)-й</v>
      </c>
      <c r="C9" s="13">
        <f>[12]И1!E8</f>
        <v>2023</v>
      </c>
    </row>
    <row r="10" spans="1:3">
      <c r="A10" s="7"/>
      <c r="B10" s="8" t="str">
        <f>[12]И1!D9</f>
        <v>Период регулирования (i-1)-й</v>
      </c>
      <c r="C10" s="13">
        <f>[12]И1!E9</f>
        <v>2022</v>
      </c>
    </row>
    <row r="11" spans="1:3">
      <c r="A11" s="7"/>
      <c r="B11" s="8" t="str">
        <f>[12]И1!D10</f>
        <v>Период регулирования (i-2)-й</v>
      </c>
      <c r="C11" s="13">
        <f>[12]И1!E10</f>
        <v>2021</v>
      </c>
    </row>
    <row r="12" spans="1:3">
      <c r="A12" s="7"/>
      <c r="B12" s="8" t="str">
        <f>[12]И1!D11</f>
        <v>Базовый год (б)</v>
      </c>
      <c r="C12" s="13">
        <f>[12]И1!E11</f>
        <v>2019</v>
      </c>
    </row>
    <row r="13" spans="1:3" ht="38.25">
      <c r="A13" s="7"/>
      <c r="B13" s="8" t="str">
        <f>[12]И1!D18</f>
        <v>Вид топлива, использование которого преобладает в системе теплоснабжения</v>
      </c>
      <c r="C13" s="14" t="str">
        <f>[12]С1.1!E13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4031.938067483984</v>
      </c>
    </row>
    <row r="18" spans="1:3" ht="42.75">
      <c r="A18" s="21" t="s">
        <v>8</v>
      </c>
      <c r="B18" s="24" t="s">
        <v>9</v>
      </c>
      <c r="C18" s="25">
        <f>[12]С1!F12</f>
        <v>898.06002910660607</v>
      </c>
    </row>
    <row r="19" spans="1:3" ht="42.75">
      <c r="A19" s="21" t="s">
        <v>10</v>
      </c>
      <c r="B19" s="24" t="s">
        <v>11</v>
      </c>
      <c r="C19" s="25">
        <f>[12]С2!F12</f>
        <v>2109.9946743617465</v>
      </c>
    </row>
    <row r="20" spans="1:3" ht="30">
      <c r="A20" s="21" t="s">
        <v>12</v>
      </c>
      <c r="B20" s="24" t="s">
        <v>13</v>
      </c>
      <c r="C20" s="25">
        <f>[12]С3!F12</f>
        <v>504.88326349025533</v>
      </c>
    </row>
    <row r="21" spans="1:3" ht="42.75">
      <c r="A21" s="21" t="s">
        <v>14</v>
      </c>
      <c r="B21" s="24" t="s">
        <v>226</v>
      </c>
      <c r="C21" s="25">
        <f>[12]С4!F12</f>
        <v>439.94249135902368</v>
      </c>
    </row>
    <row r="22" spans="1:3" ht="30">
      <c r="A22" s="21" t="s">
        <v>16</v>
      </c>
      <c r="B22" s="24" t="s">
        <v>227</v>
      </c>
      <c r="C22" s="25">
        <f>[12]С5!F12</f>
        <v>79.057609166352634</v>
      </c>
    </row>
    <row r="23" spans="1:3" ht="43.5" thickBot="1">
      <c r="A23" s="26" t="s">
        <v>18</v>
      </c>
      <c r="B23" s="27" t="s">
        <v>228</v>
      </c>
      <c r="C23" s="28" t="str">
        <f>[12]С6!F12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[12]С1.1!E16</f>
        <v>5100</v>
      </c>
    </row>
    <row r="29" spans="1:3" ht="42.75">
      <c r="A29" s="21" t="s">
        <v>10</v>
      </c>
      <c r="B29" s="32" t="s">
        <v>230</v>
      </c>
      <c r="C29" s="33">
        <f>[12]С1.1!E27</f>
        <v>2414.7333333333331</v>
      </c>
    </row>
    <row r="30" spans="1:3" ht="17.25">
      <c r="A30" s="21" t="s">
        <v>12</v>
      </c>
      <c r="B30" s="32" t="s">
        <v>29</v>
      </c>
      <c r="C30" s="35">
        <f>[12]С1.1!E19</f>
        <v>0.59499999999999997</v>
      </c>
    </row>
    <row r="31" spans="1:3" ht="17.25">
      <c r="A31" s="21" t="s">
        <v>14</v>
      </c>
      <c r="B31" s="32" t="s">
        <v>30</v>
      </c>
      <c r="C31" s="35">
        <f>[12]С1.1!E20</f>
        <v>-0.113</v>
      </c>
    </row>
    <row r="32" spans="1:3" ht="30">
      <c r="A32" s="21" t="s">
        <v>16</v>
      </c>
      <c r="B32" s="36" t="s">
        <v>231</v>
      </c>
      <c r="C32" s="119">
        <f>[12]С1!F13</f>
        <v>176.4</v>
      </c>
    </row>
    <row r="33" spans="1:3">
      <c r="A33" s="21" t="s">
        <v>18</v>
      </c>
      <c r="B33" s="36" t="s">
        <v>32</v>
      </c>
      <c r="C33" s="38">
        <f>[12]С1!F16</f>
        <v>7000</v>
      </c>
    </row>
    <row r="34" spans="1:3" ht="14.25">
      <c r="A34" s="21" t="s">
        <v>33</v>
      </c>
      <c r="B34" s="40" t="s">
        <v>232</v>
      </c>
      <c r="C34" s="41">
        <f>[12]С1!F17</f>
        <v>0.72857142857142854</v>
      </c>
    </row>
    <row r="35" spans="1:3" ht="15.75">
      <c r="A35" s="120" t="s">
        <v>35</v>
      </c>
      <c r="B35" s="43" t="s">
        <v>36</v>
      </c>
      <c r="C35" s="41">
        <f>[12]С1!F20</f>
        <v>21.588411179999994</v>
      </c>
    </row>
    <row r="36" spans="1:3" ht="15.75">
      <c r="A36" s="120" t="s">
        <v>37</v>
      </c>
      <c r="B36" s="44" t="s">
        <v>38</v>
      </c>
      <c r="C36" s="41">
        <f>[12]С1!F21</f>
        <v>20.818139999999996</v>
      </c>
    </row>
    <row r="37" spans="1:3" ht="14.25">
      <c r="A37" s="120" t="s">
        <v>39</v>
      </c>
      <c r="B37" s="45" t="s">
        <v>40</v>
      </c>
      <c r="C37" s="41">
        <f>[12]С1!F22</f>
        <v>1.0369999999999999</v>
      </c>
    </row>
    <row r="38" spans="1:3" ht="53.25" thickBot="1">
      <c r="A38" s="26" t="s">
        <v>41</v>
      </c>
      <c r="B38" s="46" t="s">
        <v>42</v>
      </c>
      <c r="C38" s="47">
        <f>[12]С1!F23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[12]С2.1!E12</f>
        <v>V</v>
      </c>
    </row>
    <row r="42" spans="1:3" ht="25.5">
      <c r="A42" s="21" t="s">
        <v>47</v>
      </c>
      <c r="B42" s="32" t="s">
        <v>48</v>
      </c>
      <c r="C42" s="51" t="str">
        <f>[12]С2.1!E13</f>
        <v>6 и менее баллов</v>
      </c>
    </row>
    <row r="43" spans="1:3" ht="25.5">
      <c r="A43" s="21" t="s">
        <v>49</v>
      </c>
      <c r="B43" s="32" t="s">
        <v>233</v>
      </c>
      <c r="C43" s="51" t="str">
        <f>[12]С2.1!E14</f>
        <v>от 200 до 500</v>
      </c>
    </row>
    <row r="44" spans="1:3" ht="25.5">
      <c r="A44" s="21" t="s">
        <v>51</v>
      </c>
      <c r="B44" s="32" t="s">
        <v>234</v>
      </c>
      <c r="C44" s="52" t="str">
        <f>[12]С2.1!E15</f>
        <v>нет</v>
      </c>
    </row>
    <row r="45" spans="1:3" ht="30">
      <c r="A45" s="21" t="s">
        <v>53</v>
      </c>
      <c r="B45" s="32" t="s">
        <v>54</v>
      </c>
      <c r="C45" s="33">
        <f>[12]С2!F18</f>
        <v>32402.627334033532</v>
      </c>
    </row>
    <row r="46" spans="1:3" ht="30">
      <c r="A46" s="21" t="s">
        <v>55</v>
      </c>
      <c r="B46" s="53" t="s">
        <v>56</v>
      </c>
      <c r="C46" s="33">
        <f>IF([12]С2!F19&gt;0,[12]С2!F19,[12]С2!F20)</f>
        <v>23441.524932855718</v>
      </c>
    </row>
    <row r="47" spans="1:3" ht="25.5">
      <c r="A47" s="21" t="s">
        <v>57</v>
      </c>
      <c r="B47" s="54" t="s">
        <v>58</v>
      </c>
      <c r="C47" s="33">
        <f>[12]С2.1!E19</f>
        <v>-37</v>
      </c>
    </row>
    <row r="48" spans="1:3" ht="25.5">
      <c r="A48" s="21" t="s">
        <v>59</v>
      </c>
      <c r="B48" s="54" t="s">
        <v>60</v>
      </c>
      <c r="C48" s="33" t="str">
        <f>[12]С2.1!E22</f>
        <v>нет</v>
      </c>
    </row>
    <row r="49" spans="1:3" ht="38.25">
      <c r="A49" s="21" t="s">
        <v>61</v>
      </c>
      <c r="B49" s="55" t="s">
        <v>62</v>
      </c>
      <c r="C49" s="33">
        <f>[12]С2.2!E10</f>
        <v>1287</v>
      </c>
    </row>
    <row r="50" spans="1:3" ht="25.5">
      <c r="A50" s="21" t="s">
        <v>63</v>
      </c>
      <c r="B50" s="56" t="s">
        <v>64</v>
      </c>
      <c r="C50" s="33">
        <f>[12]С2.2!E12</f>
        <v>5.97</v>
      </c>
    </row>
    <row r="51" spans="1:3" ht="52.5">
      <c r="A51" s="21" t="s">
        <v>65</v>
      </c>
      <c r="B51" s="57" t="s">
        <v>66</v>
      </c>
      <c r="C51" s="33">
        <f>[12]С2.2!E13</f>
        <v>1</v>
      </c>
    </row>
    <row r="52" spans="1:3" ht="27.75">
      <c r="A52" s="21" t="s">
        <v>67</v>
      </c>
      <c r="B52" s="56" t="s">
        <v>68</v>
      </c>
      <c r="C52" s="33">
        <f>[12]С2.2!E14</f>
        <v>12104</v>
      </c>
    </row>
    <row r="53" spans="1:3" ht="25.5">
      <c r="A53" s="21" t="s">
        <v>69</v>
      </c>
      <c r="B53" s="57" t="s">
        <v>70</v>
      </c>
      <c r="C53" s="35">
        <f>[12]С2.2!E15</f>
        <v>4.8000000000000001E-2</v>
      </c>
    </row>
    <row r="54" spans="1:3">
      <c r="A54" s="21" t="s">
        <v>71</v>
      </c>
      <c r="B54" s="57" t="s">
        <v>72</v>
      </c>
      <c r="C54" s="33">
        <f>[12]С2.2!E16</f>
        <v>1</v>
      </c>
    </row>
    <row r="55" spans="1:3" ht="15.75">
      <c r="A55" s="21" t="s">
        <v>73</v>
      </c>
      <c r="B55" s="59" t="s">
        <v>74</v>
      </c>
      <c r="C55" s="33">
        <f>[12]С2!F21</f>
        <v>1</v>
      </c>
    </row>
    <row r="56" spans="1:3" ht="30">
      <c r="A56" s="60" t="s">
        <v>75</v>
      </c>
      <c r="B56" s="32" t="s">
        <v>235</v>
      </c>
      <c r="C56" s="33">
        <f>[12]С2!F13</f>
        <v>169640.22915965237</v>
      </c>
    </row>
    <row r="57" spans="1:3" ht="30">
      <c r="A57" s="60" t="s">
        <v>77</v>
      </c>
      <c r="B57" s="59" t="s">
        <v>236</v>
      </c>
      <c r="C57" s="33">
        <f>[12]С2!F14</f>
        <v>113455</v>
      </c>
    </row>
    <row r="58" spans="1:3" ht="15.75">
      <c r="A58" s="60" t="s">
        <v>79</v>
      </c>
      <c r="B58" s="61" t="s">
        <v>80</v>
      </c>
      <c r="C58" s="41">
        <f>[12]С2!F15</f>
        <v>1.071</v>
      </c>
    </row>
    <row r="59" spans="1:3" ht="15.75">
      <c r="A59" s="60" t="s">
        <v>81</v>
      </c>
      <c r="B59" s="61" t="s">
        <v>82</v>
      </c>
      <c r="C59" s="41">
        <f>[12]С2!F16</f>
        <v>1</v>
      </c>
    </row>
    <row r="60" spans="1:3" ht="17.25">
      <c r="A60" s="60" t="s">
        <v>83</v>
      </c>
      <c r="B60" s="59" t="s">
        <v>84</v>
      </c>
      <c r="C60" s="33">
        <f>[12]С2!F17</f>
        <v>1.01</v>
      </c>
    </row>
    <row r="61" spans="1:3" s="66" customFormat="1" ht="14.25">
      <c r="A61" s="60" t="s">
        <v>85</v>
      </c>
      <c r="B61" s="64" t="s">
        <v>86</v>
      </c>
      <c r="C61" s="65">
        <f>[12]С2!F33</f>
        <v>10</v>
      </c>
    </row>
    <row r="62" spans="1:3" ht="30">
      <c r="A62" s="60" t="s">
        <v>87</v>
      </c>
      <c r="B62" s="67" t="s">
        <v>88</v>
      </c>
      <c r="C62" s="33">
        <f>[12]С2!F26</f>
        <v>1570.1802537861311</v>
      </c>
    </row>
    <row r="63" spans="1:3" ht="17.25">
      <c r="A63" s="60" t="s">
        <v>89</v>
      </c>
      <c r="B63" s="53" t="s">
        <v>237</v>
      </c>
      <c r="C63" s="33">
        <f>[12]С2!F27</f>
        <v>0.27046175099999997</v>
      </c>
    </row>
    <row r="64" spans="1:3" ht="17.25">
      <c r="A64" s="60" t="s">
        <v>91</v>
      </c>
      <c r="B64" s="59" t="s">
        <v>238</v>
      </c>
      <c r="C64" s="65">
        <f>[12]С2!F28</f>
        <v>4200</v>
      </c>
    </row>
    <row r="65" spans="1:3" ht="42.75">
      <c r="A65" s="60" t="s">
        <v>93</v>
      </c>
      <c r="B65" s="32" t="s">
        <v>239</v>
      </c>
      <c r="C65" s="33">
        <f>[12]С2!F22</f>
        <v>35717.748653137714</v>
      </c>
    </row>
    <row r="66" spans="1:3" ht="30">
      <c r="A66" s="60" t="s">
        <v>95</v>
      </c>
      <c r="B66" s="61" t="s">
        <v>240</v>
      </c>
      <c r="C66" s="33">
        <f>[12]С2!F23</f>
        <v>1990</v>
      </c>
    </row>
    <row r="67" spans="1:3" ht="30">
      <c r="A67" s="60" t="s">
        <v>97</v>
      </c>
      <c r="B67" s="53" t="s">
        <v>98</v>
      </c>
      <c r="C67" s="33">
        <f>[12]С2.1!E27</f>
        <v>14307.876789999998</v>
      </c>
    </row>
    <row r="68" spans="1:3" ht="38.25">
      <c r="A68" s="60" t="s">
        <v>99</v>
      </c>
      <c r="B68" s="68" t="s">
        <v>100</v>
      </c>
      <c r="C68" s="52">
        <f>[12]С2.3!E21</f>
        <v>0</v>
      </c>
    </row>
    <row r="69" spans="1:3" ht="25.5">
      <c r="A69" s="60" t="s">
        <v>101</v>
      </c>
      <c r="B69" s="69" t="s">
        <v>102</v>
      </c>
      <c r="C69" s="70">
        <f>[12]С2.3!E11</f>
        <v>9.89</v>
      </c>
    </row>
    <row r="70" spans="1:3" ht="25.5">
      <c r="A70" s="60" t="s">
        <v>103</v>
      </c>
      <c r="B70" s="69" t="s">
        <v>104</v>
      </c>
      <c r="C70" s="65">
        <f>[12]С2.3!E13</f>
        <v>300</v>
      </c>
    </row>
    <row r="71" spans="1:3" ht="25.5">
      <c r="A71" s="60" t="s">
        <v>105</v>
      </c>
      <c r="B71" s="68" t="s">
        <v>106</v>
      </c>
      <c r="C71" s="71">
        <f>IF([12]С2.3!E22&gt;0,[12]С2.3!E22,[12]С2.3!E14)</f>
        <v>61211</v>
      </c>
    </row>
    <row r="72" spans="1:3" ht="38.25">
      <c r="A72" s="60" t="s">
        <v>107</v>
      </c>
      <c r="B72" s="68" t="s">
        <v>108</v>
      </c>
      <c r="C72" s="71">
        <f>IF([12]С2.3!E23&gt;0,[12]С2.3!E23,[12]С2.3!E15)</f>
        <v>45675</v>
      </c>
    </row>
    <row r="73" spans="1:3" ht="30">
      <c r="A73" s="60" t="s">
        <v>109</v>
      </c>
      <c r="B73" s="53" t="s">
        <v>110</v>
      </c>
      <c r="C73" s="33">
        <f>[12]С2.1!E28</f>
        <v>9541.9567200000001</v>
      </c>
    </row>
    <row r="74" spans="1:3" ht="38.25">
      <c r="A74" s="60" t="s">
        <v>111</v>
      </c>
      <c r="B74" s="68" t="s">
        <v>112</v>
      </c>
      <c r="C74" s="52">
        <f>[12]С2.3!E25</f>
        <v>0</v>
      </c>
    </row>
    <row r="75" spans="1:3" ht="25.5">
      <c r="A75" s="60" t="s">
        <v>113</v>
      </c>
      <c r="B75" s="69" t="s">
        <v>114</v>
      </c>
      <c r="C75" s="70">
        <f>[12]С2.3!E12</f>
        <v>0.56000000000000005</v>
      </c>
    </row>
    <row r="76" spans="1:3" ht="25.5">
      <c r="A76" s="60" t="s">
        <v>115</v>
      </c>
      <c r="B76" s="69" t="s">
        <v>104</v>
      </c>
      <c r="C76" s="65">
        <f>[12]С2.3!E13</f>
        <v>300</v>
      </c>
    </row>
    <row r="77" spans="1:3" ht="25.5">
      <c r="A77" s="60" t="s">
        <v>116</v>
      </c>
      <c r="B77" s="72" t="s">
        <v>117</v>
      </c>
      <c r="C77" s="71">
        <f>IF([12]С2.3!E26&gt;0,[12]С2.3!E26,[12]С2.3!E16)</f>
        <v>65637</v>
      </c>
    </row>
    <row r="78" spans="1:3" ht="38.25">
      <c r="A78" s="60" t="s">
        <v>118</v>
      </c>
      <c r="B78" s="72" t="s">
        <v>119</v>
      </c>
      <c r="C78" s="71">
        <f>IF([12]С2.3!E27&gt;0,[12]С2.3!E27,[12]С2.3!E17)</f>
        <v>31684</v>
      </c>
    </row>
    <row r="79" spans="1:3" ht="17.25">
      <c r="A79" s="60" t="s">
        <v>122</v>
      </c>
      <c r="B79" s="32" t="s">
        <v>123</v>
      </c>
      <c r="C79" s="35">
        <f>[12]С2!F29</f>
        <v>0.128978033685065</v>
      </c>
    </row>
    <row r="80" spans="1:3" ht="30">
      <c r="A80" s="60" t="s">
        <v>124</v>
      </c>
      <c r="B80" s="53" t="s">
        <v>125</v>
      </c>
      <c r="C80" s="73">
        <f>[12]С2!F30</f>
        <v>0.11668498168498169</v>
      </c>
    </row>
    <row r="81" spans="1:3" ht="17.25">
      <c r="A81" s="60" t="s">
        <v>126</v>
      </c>
      <c r="B81" s="74" t="s">
        <v>127</v>
      </c>
      <c r="C81" s="35">
        <f>[12]С2!F31</f>
        <v>0.13880000000000001</v>
      </c>
    </row>
    <row r="82" spans="1:3" s="66" customFormat="1" ht="18" thickBot="1">
      <c r="A82" s="75" t="s">
        <v>128</v>
      </c>
      <c r="B82" s="76" t="s">
        <v>129</v>
      </c>
      <c r="C82" s="77">
        <f>[12]С2!F32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[12]С3!F14</f>
        <v>7018.8643800822501</v>
      </c>
    </row>
    <row r="86" spans="1:3" s="66" customFormat="1" ht="42.75">
      <c r="A86" s="79" t="s">
        <v>134</v>
      </c>
      <c r="B86" s="53" t="s">
        <v>135</v>
      </c>
      <c r="C86" s="80">
        <f>[12]С3!F15</f>
        <v>0.2</v>
      </c>
    </row>
    <row r="87" spans="1:3" s="66" customFormat="1" ht="14.25">
      <c r="A87" s="79" t="s">
        <v>136</v>
      </c>
      <c r="B87" s="81" t="s">
        <v>137</v>
      </c>
      <c r="C87" s="65">
        <f>[12]С3!F18</f>
        <v>15</v>
      </c>
    </row>
    <row r="88" spans="1:3" s="66" customFormat="1" ht="17.25">
      <c r="A88" s="79" t="s">
        <v>138</v>
      </c>
      <c r="B88" s="32" t="s">
        <v>139</v>
      </c>
      <c r="C88" s="33">
        <f>[12]С3!F19</f>
        <v>3487.1555421534131</v>
      </c>
    </row>
    <row r="89" spans="1:3" s="66" customFormat="1" ht="55.5">
      <c r="A89" s="79" t="s">
        <v>140</v>
      </c>
      <c r="B89" s="53" t="s">
        <v>141</v>
      </c>
      <c r="C89" s="82">
        <f>[12]С3!F20</f>
        <v>2.1999999999999999E-2</v>
      </c>
    </row>
    <row r="90" spans="1:3" s="66" customFormat="1" ht="14.25">
      <c r="A90" s="79" t="s">
        <v>142</v>
      </c>
      <c r="B90" s="59" t="s">
        <v>86</v>
      </c>
      <c r="C90" s="65">
        <f>[12]С3!F21</f>
        <v>10</v>
      </c>
    </row>
    <row r="91" spans="1:3" s="66" customFormat="1" ht="17.25">
      <c r="A91" s="79" t="s">
        <v>143</v>
      </c>
      <c r="B91" s="32" t="s">
        <v>144</v>
      </c>
      <c r="C91" s="33">
        <f>[12]С3!F22</f>
        <v>4.7105407613583932</v>
      </c>
    </row>
    <row r="92" spans="1:3" s="66" customFormat="1" ht="55.5">
      <c r="A92" s="79" t="s">
        <v>145</v>
      </c>
      <c r="B92" s="53" t="s">
        <v>146</v>
      </c>
      <c r="C92" s="82">
        <f>[12]С3!F23</f>
        <v>3.0000000000000001E-3</v>
      </c>
    </row>
    <row r="93" spans="1:3" s="66" customFormat="1" ht="27.75" thickBot="1">
      <c r="A93" s="83" t="s">
        <v>147</v>
      </c>
      <c r="B93" s="84" t="s">
        <v>241</v>
      </c>
      <c r="C93" s="85">
        <f>[12]С3!F24</f>
        <v>1570.1802537861311</v>
      </c>
    </row>
    <row r="94" spans="1:3" ht="13.5" thickBot="1">
      <c r="A94" s="48"/>
      <c r="B94" s="49"/>
      <c r="C94" s="14"/>
    </row>
    <row r="95" spans="1:3" ht="30" customHeight="1">
      <c r="A95" s="86" t="s">
        <v>148</v>
      </c>
      <c r="B95" s="142" t="s">
        <v>149</v>
      </c>
      <c r="C95" s="142"/>
    </row>
    <row r="96" spans="1:3" ht="30">
      <c r="A96" s="60" t="s">
        <v>150</v>
      </c>
      <c r="B96" s="32" t="s">
        <v>242</v>
      </c>
      <c r="C96" s="33">
        <f>[12]С4!F16</f>
        <v>1652.5</v>
      </c>
    </row>
    <row r="97" spans="1:3" ht="30">
      <c r="A97" s="60" t="s">
        <v>152</v>
      </c>
      <c r="B97" s="59" t="s">
        <v>243</v>
      </c>
      <c r="C97" s="33">
        <f>[12]С4!F17</f>
        <v>73547</v>
      </c>
    </row>
    <row r="98" spans="1:3" ht="17.25">
      <c r="A98" s="60" t="s">
        <v>154</v>
      </c>
      <c r="B98" s="59" t="s">
        <v>155</v>
      </c>
      <c r="C98" s="41">
        <f>[12]С4!F18</f>
        <v>0.02</v>
      </c>
    </row>
    <row r="99" spans="1:3" ht="30">
      <c r="A99" s="60" t="s">
        <v>156</v>
      </c>
      <c r="B99" s="59" t="s">
        <v>157</v>
      </c>
      <c r="C99" s="33">
        <f>[12]С4!F19</f>
        <v>12104</v>
      </c>
    </row>
    <row r="100" spans="1:3" ht="31.5">
      <c r="A100" s="60" t="s">
        <v>158</v>
      </c>
      <c r="B100" s="59" t="s">
        <v>159</v>
      </c>
      <c r="C100" s="41">
        <f>[12]С4!F20</f>
        <v>1.4999999999999999E-2</v>
      </c>
    </row>
    <row r="101" spans="1:3" ht="30">
      <c r="A101" s="60" t="s">
        <v>160</v>
      </c>
      <c r="B101" s="32" t="s">
        <v>244</v>
      </c>
      <c r="C101" s="33">
        <f>[12]С4!F21</f>
        <v>1933.1949342509995</v>
      </c>
    </row>
    <row r="102" spans="1:3" ht="24" customHeight="1">
      <c r="A102" s="60" t="s">
        <v>162</v>
      </c>
      <c r="B102" s="53" t="s">
        <v>163</v>
      </c>
      <c r="C102" s="34">
        <f>IF([12]С4.2!F8="да",[12]С4.2!D21,[12]С4.2!D15)</f>
        <v>0</v>
      </c>
    </row>
    <row r="103" spans="1:3" ht="68.25">
      <c r="A103" s="60" t="s">
        <v>164</v>
      </c>
      <c r="B103" s="53" t="s">
        <v>165</v>
      </c>
      <c r="C103" s="33">
        <f>[12]С4!F22</f>
        <v>3.6112641666666665</v>
      </c>
    </row>
    <row r="104" spans="1:3" ht="30">
      <c r="A104" s="60" t="s">
        <v>166</v>
      </c>
      <c r="B104" s="59" t="s">
        <v>245</v>
      </c>
      <c r="C104" s="33">
        <f>[12]С4!F23</f>
        <v>180</v>
      </c>
    </row>
    <row r="105" spans="1:3" ht="14.25">
      <c r="A105" s="60" t="s">
        <v>168</v>
      </c>
      <c r="B105" s="53" t="s">
        <v>169</v>
      </c>
      <c r="C105" s="33">
        <f>[12]С4!F24</f>
        <v>8497.1999999999989</v>
      </c>
    </row>
    <row r="106" spans="1:3" ht="14.25">
      <c r="A106" s="60" t="s">
        <v>170</v>
      </c>
      <c r="B106" s="59" t="s">
        <v>171</v>
      </c>
      <c r="C106" s="41">
        <f>[12]С4!F25</f>
        <v>0.35</v>
      </c>
    </row>
    <row r="107" spans="1:3" ht="17.25">
      <c r="A107" s="60" t="s">
        <v>172</v>
      </c>
      <c r="B107" s="32" t="s">
        <v>173</v>
      </c>
      <c r="C107" s="33">
        <f>[12]С4!F26</f>
        <v>73.927139999999994</v>
      </c>
    </row>
    <row r="108" spans="1:3" ht="25.5">
      <c r="A108" s="60" t="s">
        <v>174</v>
      </c>
      <c r="B108" s="53" t="s">
        <v>100</v>
      </c>
      <c r="C108" s="34">
        <f>[12]С4.3!E16</f>
        <v>0</v>
      </c>
    </row>
    <row r="109" spans="1:3" ht="25.5">
      <c r="A109" s="60" t="s">
        <v>175</v>
      </c>
      <c r="B109" s="53" t="s">
        <v>176</v>
      </c>
      <c r="C109" s="33">
        <f>[12]С4.3!E17</f>
        <v>20.18</v>
      </c>
    </row>
    <row r="110" spans="1:3" ht="38.25">
      <c r="A110" s="60" t="s">
        <v>177</v>
      </c>
      <c r="B110" s="53" t="s">
        <v>112</v>
      </c>
      <c r="C110" s="34">
        <f>[12]С4.3!E18</f>
        <v>0</v>
      </c>
    </row>
    <row r="111" spans="1:3">
      <c r="A111" s="60" t="s">
        <v>178</v>
      </c>
      <c r="B111" s="53" t="s">
        <v>179</v>
      </c>
      <c r="C111" s="33">
        <f>[12]С4.3!E19</f>
        <v>15.47</v>
      </c>
    </row>
    <row r="112" spans="1:3">
      <c r="A112" s="60" t="s">
        <v>180</v>
      </c>
      <c r="B112" s="59" t="s">
        <v>181</v>
      </c>
      <c r="C112" s="33">
        <f>[12]С4.3!E11</f>
        <v>1871</v>
      </c>
    </row>
    <row r="113" spans="1:3">
      <c r="A113" s="60" t="s">
        <v>182</v>
      </c>
      <c r="B113" s="59" t="s">
        <v>183</v>
      </c>
      <c r="C113" s="52">
        <f>[12]С4.3!E12</f>
        <v>1636</v>
      </c>
    </row>
    <row r="114" spans="1:3">
      <c r="A114" s="60" t="s">
        <v>184</v>
      </c>
      <c r="B114" s="59" t="s">
        <v>185</v>
      </c>
      <c r="C114" s="52">
        <f>[12]С4.3!E13</f>
        <v>204</v>
      </c>
    </row>
    <row r="115" spans="1:3" ht="30">
      <c r="A115" s="60" t="s">
        <v>186</v>
      </c>
      <c r="B115" s="32" t="s">
        <v>246</v>
      </c>
      <c r="C115" s="33">
        <f>[12]С4!F27</f>
        <v>1467.2629458895778</v>
      </c>
    </row>
    <row r="116" spans="1:3" ht="25.5">
      <c r="A116" s="60" t="s">
        <v>188</v>
      </c>
      <c r="B116" s="53" t="s">
        <v>247</v>
      </c>
      <c r="C116" s="33">
        <f>[12]С4!F28</f>
        <v>1126.9300659674177</v>
      </c>
    </row>
    <row r="117" spans="1:3" ht="42.75">
      <c r="A117" s="60" t="s">
        <v>190</v>
      </c>
      <c r="B117" s="53" t="s">
        <v>191</v>
      </c>
      <c r="C117" s="33">
        <f>[12]С4!F29</f>
        <v>340.33287992216015</v>
      </c>
    </row>
    <row r="118" spans="1:3" ht="30">
      <c r="A118" s="60" t="s">
        <v>192</v>
      </c>
      <c r="B118" s="40" t="s">
        <v>193</v>
      </c>
      <c r="C118" s="33">
        <f>[12]С4!F30</f>
        <v>2072.0208167597348</v>
      </c>
    </row>
    <row r="119" spans="1:3" ht="42.75">
      <c r="A119" s="60" t="s">
        <v>248</v>
      </c>
      <c r="B119" s="90" t="s">
        <v>249</v>
      </c>
      <c r="C119" s="33">
        <f>[12]С4!F33</f>
        <v>1325.7564400041779</v>
      </c>
    </row>
    <row r="120" spans="1:3" ht="30">
      <c r="A120" s="60" t="s">
        <v>250</v>
      </c>
      <c r="B120" s="123" t="s">
        <v>251</v>
      </c>
      <c r="C120" s="33">
        <f>[12]С4!F35</f>
        <v>17.040680999999999</v>
      </c>
    </row>
    <row r="121" spans="1:3" ht="14.25">
      <c r="A121" s="60" t="s">
        <v>252</v>
      </c>
      <c r="B121" s="56" t="s">
        <v>253</v>
      </c>
      <c r="C121" s="33">
        <f>[12]С4!F36</f>
        <v>14319.9</v>
      </c>
    </row>
    <row r="122" spans="1:3" ht="28.5" thickBot="1">
      <c r="A122" s="75" t="s">
        <v>254</v>
      </c>
      <c r="B122" s="124" t="s">
        <v>255</v>
      </c>
      <c r="C122" s="85">
        <f>[12]С4!F37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[12]С5!F17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[12]С2!F37</f>
        <v>20.818139999999996</v>
      </c>
    </row>
    <row r="136" spans="1:3" ht="14.25">
      <c r="A136" s="60" t="s">
        <v>214</v>
      </c>
      <c r="B136" s="130" t="s">
        <v>215</v>
      </c>
      <c r="C136" s="33">
        <f>[12]С2!F38</f>
        <v>7</v>
      </c>
    </row>
    <row r="137" spans="1:3" ht="17.25">
      <c r="A137" s="60" t="s">
        <v>216</v>
      </c>
      <c r="B137" s="130" t="s">
        <v>217</v>
      </c>
      <c r="C137" s="33">
        <f>[12]С2!F40</f>
        <v>0.97</v>
      </c>
    </row>
    <row r="138" spans="1:3" ht="15" thickBot="1">
      <c r="A138" s="75" t="s">
        <v>218</v>
      </c>
      <c r="B138" s="131" t="s">
        <v>219</v>
      </c>
      <c r="C138" s="47">
        <f>[12]С2!F42</f>
        <v>0.35</v>
      </c>
    </row>
    <row r="139" spans="1:3" s="88" customFormat="1" ht="13.5" thickBot="1">
      <c r="A139" s="48"/>
      <c r="B139" s="49"/>
      <c r="C139" s="14"/>
    </row>
    <row r="140" spans="1:3" ht="30">
      <c r="A140" s="86" t="s">
        <v>220</v>
      </c>
      <c r="B140" s="96" t="s">
        <v>258</v>
      </c>
      <c r="C140" s="132">
        <f>[12]С2!F35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[12]С2.5!$E$11</f>
        <v>-2.9000000000000026E-2</v>
      </c>
    </row>
    <row r="144" spans="1:3">
      <c r="A144" s="99"/>
      <c r="B144" s="106">
        <f>B143+1</f>
        <v>2021</v>
      </c>
      <c r="C144" s="137">
        <f>[12]С2.5!$F$11</f>
        <v>0.245</v>
      </c>
    </row>
    <row r="145" spans="1:3">
      <c r="A145" s="99"/>
      <c r="B145" s="106">
        <f t="shared" ref="B145:B208" si="0">B144+1</f>
        <v>2022</v>
      </c>
      <c r="C145" s="137">
        <f>[12]С2.5!$G$11</f>
        <v>0.121</v>
      </c>
    </row>
    <row r="146" spans="1:3" ht="13.5" thickBot="1">
      <c r="A146" s="99"/>
      <c r="B146" s="108">
        <f t="shared" si="0"/>
        <v>2023</v>
      </c>
      <c r="C146" s="138">
        <f>[12]С2.5!$H$11</f>
        <v>0.02</v>
      </c>
    </row>
    <row r="147" spans="1:3" hidden="1">
      <c r="A147" s="99"/>
      <c r="B147" s="139">
        <f t="shared" si="0"/>
        <v>2024</v>
      </c>
      <c r="C147" s="140">
        <f>[12]С2.5!$I$11</f>
        <v>-2.93E-2</v>
      </c>
    </row>
    <row r="148" spans="1:3" hidden="1">
      <c r="A148" s="99"/>
      <c r="B148" s="106">
        <f t="shared" si="0"/>
        <v>2025</v>
      </c>
      <c r="C148" s="137">
        <f>[12]С2.5!$J$11</f>
        <v>0.21215960863291</v>
      </c>
    </row>
    <row r="149" spans="1:3" hidden="1">
      <c r="A149" s="99"/>
      <c r="B149" s="106">
        <f t="shared" si="0"/>
        <v>2026</v>
      </c>
      <c r="C149" s="137">
        <f>[12]С2.5!$K$11</f>
        <v>3.5813361771260002E-2</v>
      </c>
    </row>
    <row r="150" spans="1:3" hidden="1">
      <c r="A150" s="99"/>
      <c r="B150" s="106">
        <f t="shared" si="0"/>
        <v>2027</v>
      </c>
      <c r="C150" s="137">
        <f>[12]С2.5!$L$11</f>
        <v>3.2682303599220003E-2</v>
      </c>
    </row>
    <row r="151" spans="1:3" hidden="1">
      <c r="A151" s="99"/>
      <c r="B151" s="106">
        <f t="shared" si="0"/>
        <v>2028</v>
      </c>
      <c r="C151" s="137">
        <f>[12]С2.5!$M$11</f>
        <v>0</v>
      </c>
    </row>
    <row r="152" spans="1:3" hidden="1">
      <c r="A152" s="99"/>
      <c r="B152" s="106">
        <f t="shared" si="0"/>
        <v>2029</v>
      </c>
      <c r="C152" s="137">
        <f>[12]С2.5!$N$11</f>
        <v>0</v>
      </c>
    </row>
    <row r="153" spans="1:3" hidden="1">
      <c r="A153" s="99"/>
      <c r="B153" s="106">
        <f t="shared" si="0"/>
        <v>2030</v>
      </c>
      <c r="C153" s="137">
        <f>[12]С2.5!$O$11</f>
        <v>0</v>
      </c>
    </row>
    <row r="154" spans="1:3" hidden="1">
      <c r="A154" s="99"/>
      <c r="B154" s="106">
        <f t="shared" si="0"/>
        <v>2031</v>
      </c>
      <c r="C154" s="137">
        <f>[12]С2.5!$P$11</f>
        <v>0</v>
      </c>
    </row>
    <row r="155" spans="1:3" hidden="1">
      <c r="A155" s="88"/>
      <c r="B155" s="106">
        <f t="shared" si="0"/>
        <v>2032</v>
      </c>
      <c r="C155" s="137">
        <f>[12]С2.5!$Q$11</f>
        <v>0</v>
      </c>
    </row>
    <row r="156" spans="1:3" hidden="1">
      <c r="A156" s="88"/>
      <c r="B156" s="106">
        <f t="shared" si="0"/>
        <v>2033</v>
      </c>
      <c r="C156" s="137">
        <f>[12]С2.5!$R$11</f>
        <v>0</v>
      </c>
    </row>
    <row r="157" spans="1:3" hidden="1">
      <c r="B157" s="106">
        <f t="shared" si="0"/>
        <v>2034</v>
      </c>
      <c r="C157" s="137">
        <f>[12]С2.5!$S$11</f>
        <v>0</v>
      </c>
    </row>
    <row r="158" spans="1:3" hidden="1">
      <c r="B158" s="106">
        <f t="shared" si="0"/>
        <v>2035</v>
      </c>
      <c r="C158" s="137">
        <f>[12]С2.5!$T$11</f>
        <v>0</v>
      </c>
    </row>
    <row r="159" spans="1:3" hidden="1">
      <c r="B159" s="106">
        <f t="shared" si="0"/>
        <v>2036</v>
      </c>
      <c r="C159" s="137">
        <f>[12]С2.5!$U$11</f>
        <v>0</v>
      </c>
    </row>
    <row r="160" spans="1:3" hidden="1">
      <c r="B160" s="106">
        <f t="shared" si="0"/>
        <v>2037</v>
      </c>
      <c r="C160" s="137">
        <f>[12]С2.5!$V$11</f>
        <v>0</v>
      </c>
    </row>
    <row r="161" spans="2:3" hidden="1">
      <c r="B161" s="106">
        <f t="shared" si="0"/>
        <v>2038</v>
      </c>
      <c r="C161" s="137">
        <f>[12]С2.5!$W$11</f>
        <v>0</v>
      </c>
    </row>
    <row r="162" spans="2:3" hidden="1">
      <c r="B162" s="106">
        <f t="shared" si="0"/>
        <v>2039</v>
      </c>
      <c r="C162" s="137">
        <f>[12]С2.5!$X$11</f>
        <v>0</v>
      </c>
    </row>
    <row r="163" spans="2:3" hidden="1">
      <c r="B163" s="106">
        <f t="shared" si="0"/>
        <v>2040</v>
      </c>
      <c r="C163" s="137">
        <f>[12]С2.5!$Y$11</f>
        <v>0</v>
      </c>
    </row>
    <row r="164" spans="2:3" hidden="1">
      <c r="B164" s="106">
        <f t="shared" si="0"/>
        <v>2041</v>
      </c>
      <c r="C164" s="137">
        <f>[12]С2.5!$Z$11</f>
        <v>0</v>
      </c>
    </row>
    <row r="165" spans="2:3" hidden="1">
      <c r="B165" s="106">
        <f t="shared" si="0"/>
        <v>2042</v>
      </c>
      <c r="C165" s="137">
        <f>[12]С2.5!$AA$11</f>
        <v>0</v>
      </c>
    </row>
    <row r="166" spans="2:3" hidden="1">
      <c r="B166" s="106">
        <f t="shared" si="0"/>
        <v>2043</v>
      </c>
      <c r="C166" s="137">
        <f>[12]С2.5!$AB$11</f>
        <v>0</v>
      </c>
    </row>
    <row r="167" spans="2:3" hidden="1">
      <c r="B167" s="106">
        <f t="shared" si="0"/>
        <v>2044</v>
      </c>
      <c r="C167" s="137">
        <f>[12]С2.5!$AC$11</f>
        <v>0</v>
      </c>
    </row>
    <row r="168" spans="2:3" hidden="1">
      <c r="B168" s="106">
        <f t="shared" si="0"/>
        <v>2045</v>
      </c>
      <c r="C168" s="137">
        <f>[12]С2.5!$AD$11</f>
        <v>0</v>
      </c>
    </row>
    <row r="169" spans="2:3" hidden="1">
      <c r="B169" s="106">
        <f t="shared" si="0"/>
        <v>2046</v>
      </c>
      <c r="C169" s="137">
        <f>[12]С2.5!$AE$11</f>
        <v>0</v>
      </c>
    </row>
    <row r="170" spans="2:3" hidden="1">
      <c r="B170" s="106">
        <f t="shared" si="0"/>
        <v>2047</v>
      </c>
      <c r="C170" s="137">
        <f>[12]С2.5!$AF$11</f>
        <v>0</v>
      </c>
    </row>
    <row r="171" spans="2:3" hidden="1">
      <c r="B171" s="106">
        <f t="shared" si="0"/>
        <v>2048</v>
      </c>
      <c r="C171" s="137">
        <f>[12]С2.5!$AG$11</f>
        <v>0</v>
      </c>
    </row>
    <row r="172" spans="2:3" hidden="1">
      <c r="B172" s="106">
        <f t="shared" si="0"/>
        <v>2049</v>
      </c>
      <c r="C172" s="137">
        <f>[12]С2.5!$AH$11</f>
        <v>0</v>
      </c>
    </row>
    <row r="173" spans="2:3" hidden="1">
      <c r="B173" s="106">
        <f t="shared" si="0"/>
        <v>2050</v>
      </c>
      <c r="C173" s="137">
        <f>[12]С2.5!$AI$11</f>
        <v>0</v>
      </c>
    </row>
    <row r="174" spans="2:3" hidden="1">
      <c r="B174" s="106">
        <f t="shared" si="0"/>
        <v>2051</v>
      </c>
      <c r="C174" s="137">
        <f>[12]С2.5!$AJ$11</f>
        <v>0</v>
      </c>
    </row>
    <row r="175" spans="2:3" hidden="1">
      <c r="B175" s="106">
        <f t="shared" si="0"/>
        <v>2052</v>
      </c>
      <c r="C175" s="137">
        <f>[12]С2.5!$AK$11</f>
        <v>0</v>
      </c>
    </row>
    <row r="176" spans="2:3" hidden="1">
      <c r="B176" s="106">
        <f t="shared" si="0"/>
        <v>2053</v>
      </c>
      <c r="C176" s="137">
        <f>[12]С2.5!$AL$11</f>
        <v>0</v>
      </c>
    </row>
    <row r="177" spans="2:3" hidden="1">
      <c r="B177" s="106">
        <f t="shared" si="0"/>
        <v>2054</v>
      </c>
      <c r="C177" s="137">
        <f>[12]С2.5!$AM$11</f>
        <v>0</v>
      </c>
    </row>
    <row r="178" spans="2:3" hidden="1">
      <c r="B178" s="106">
        <f t="shared" si="0"/>
        <v>2055</v>
      </c>
      <c r="C178" s="137">
        <f>[12]С2.5!$AN$11</f>
        <v>0</v>
      </c>
    </row>
    <row r="179" spans="2:3" hidden="1">
      <c r="B179" s="106">
        <f t="shared" si="0"/>
        <v>2056</v>
      </c>
      <c r="C179" s="137">
        <f>[12]С2.5!$AO$11</f>
        <v>0</v>
      </c>
    </row>
    <row r="180" spans="2:3" hidden="1">
      <c r="B180" s="106">
        <f t="shared" si="0"/>
        <v>2057</v>
      </c>
      <c r="C180" s="137">
        <f>[12]С2.5!$AP$11</f>
        <v>0</v>
      </c>
    </row>
    <row r="181" spans="2:3" hidden="1">
      <c r="B181" s="106">
        <f t="shared" si="0"/>
        <v>2058</v>
      </c>
      <c r="C181" s="137">
        <f>[12]С2.5!$AQ$11</f>
        <v>0</v>
      </c>
    </row>
    <row r="182" spans="2:3" hidden="1">
      <c r="B182" s="106">
        <f t="shared" si="0"/>
        <v>2059</v>
      </c>
      <c r="C182" s="137">
        <f>[12]С2.5!$AR$11</f>
        <v>0</v>
      </c>
    </row>
    <row r="183" spans="2:3" hidden="1">
      <c r="B183" s="106">
        <f t="shared" si="0"/>
        <v>2060</v>
      </c>
      <c r="C183" s="137">
        <f>[12]С2.5!$AS$11</f>
        <v>0</v>
      </c>
    </row>
    <row r="184" spans="2:3" hidden="1">
      <c r="B184" s="106">
        <f t="shared" si="0"/>
        <v>2061</v>
      </c>
      <c r="C184" s="137">
        <f>[12]С2.5!$AT$11</f>
        <v>0</v>
      </c>
    </row>
    <row r="185" spans="2:3" hidden="1">
      <c r="B185" s="106">
        <f t="shared" si="0"/>
        <v>2062</v>
      </c>
      <c r="C185" s="137">
        <f>[12]С2.5!$AU$11</f>
        <v>0</v>
      </c>
    </row>
    <row r="186" spans="2:3" hidden="1">
      <c r="B186" s="106">
        <f t="shared" si="0"/>
        <v>2063</v>
      </c>
      <c r="C186" s="137">
        <f>[12]С2.5!$AV$11</f>
        <v>0</v>
      </c>
    </row>
    <row r="187" spans="2:3" hidden="1">
      <c r="B187" s="106">
        <f t="shared" si="0"/>
        <v>2064</v>
      </c>
      <c r="C187" s="137">
        <f>[12]С2.5!$AW$11</f>
        <v>0</v>
      </c>
    </row>
    <row r="188" spans="2:3" hidden="1">
      <c r="B188" s="106">
        <f t="shared" si="0"/>
        <v>2065</v>
      </c>
      <c r="C188" s="137">
        <f>[12]С2.5!$AX$11</f>
        <v>0</v>
      </c>
    </row>
    <row r="189" spans="2:3" hidden="1">
      <c r="B189" s="106">
        <f t="shared" si="0"/>
        <v>2066</v>
      </c>
      <c r="C189" s="137">
        <f>[12]С2.5!$AY$11</f>
        <v>0</v>
      </c>
    </row>
    <row r="190" spans="2:3" hidden="1">
      <c r="B190" s="106">
        <f t="shared" si="0"/>
        <v>2067</v>
      </c>
      <c r="C190" s="137">
        <f>[12]С2.5!$AZ$11</f>
        <v>0</v>
      </c>
    </row>
    <row r="191" spans="2:3" hidden="1">
      <c r="B191" s="106">
        <f t="shared" si="0"/>
        <v>2068</v>
      </c>
      <c r="C191" s="137">
        <f>[12]С2.5!$BA$11</f>
        <v>0</v>
      </c>
    </row>
    <row r="192" spans="2:3" hidden="1">
      <c r="B192" s="106">
        <f t="shared" si="0"/>
        <v>2069</v>
      </c>
      <c r="C192" s="137">
        <f>[12]С2.5!$BB$11</f>
        <v>0</v>
      </c>
    </row>
    <row r="193" spans="2:3" hidden="1">
      <c r="B193" s="106">
        <f t="shared" si="0"/>
        <v>2070</v>
      </c>
      <c r="C193" s="137">
        <f>[12]С2.5!$BC$11</f>
        <v>0</v>
      </c>
    </row>
    <row r="194" spans="2:3" hidden="1">
      <c r="B194" s="106">
        <f t="shared" si="0"/>
        <v>2071</v>
      </c>
      <c r="C194" s="137">
        <f>[12]С2.5!$BD$11</f>
        <v>0</v>
      </c>
    </row>
    <row r="195" spans="2:3" hidden="1">
      <c r="B195" s="106">
        <f t="shared" si="0"/>
        <v>2072</v>
      </c>
      <c r="C195" s="137">
        <f>[12]С2.5!$BE$11</f>
        <v>0</v>
      </c>
    </row>
    <row r="196" spans="2:3" hidden="1">
      <c r="B196" s="106">
        <f t="shared" si="0"/>
        <v>2073</v>
      </c>
      <c r="C196" s="137">
        <f>[12]С2.5!$BF$11</f>
        <v>0</v>
      </c>
    </row>
    <row r="197" spans="2:3" hidden="1">
      <c r="B197" s="106">
        <f t="shared" si="0"/>
        <v>2074</v>
      </c>
      <c r="C197" s="137">
        <f>[12]С2.5!$BG$11</f>
        <v>0</v>
      </c>
    </row>
    <row r="198" spans="2:3" hidden="1">
      <c r="B198" s="106">
        <f t="shared" si="0"/>
        <v>2075</v>
      </c>
      <c r="C198" s="137">
        <f>[12]С2.5!$BH$11</f>
        <v>0</v>
      </c>
    </row>
    <row r="199" spans="2:3" hidden="1">
      <c r="B199" s="106">
        <f t="shared" si="0"/>
        <v>2076</v>
      </c>
      <c r="C199" s="137">
        <f>[12]С2.5!$BI$11</f>
        <v>0</v>
      </c>
    </row>
    <row r="200" spans="2:3" hidden="1">
      <c r="B200" s="106">
        <f t="shared" si="0"/>
        <v>2077</v>
      </c>
      <c r="C200" s="137">
        <f>[12]С2.5!$BJ$11</f>
        <v>0</v>
      </c>
    </row>
    <row r="201" spans="2:3" hidden="1">
      <c r="B201" s="106">
        <f t="shared" si="0"/>
        <v>2078</v>
      </c>
      <c r="C201" s="137">
        <f>[12]С2.5!$BK$11</f>
        <v>0</v>
      </c>
    </row>
    <row r="202" spans="2:3" hidden="1">
      <c r="B202" s="106">
        <f t="shared" si="0"/>
        <v>2079</v>
      </c>
      <c r="C202" s="137">
        <f>[12]С2.5!$BL$11</f>
        <v>0</v>
      </c>
    </row>
    <row r="203" spans="2:3" hidden="1">
      <c r="B203" s="106">
        <f t="shared" si="0"/>
        <v>2080</v>
      </c>
      <c r="C203" s="137">
        <f>[12]С2.5!$BM$11</f>
        <v>0</v>
      </c>
    </row>
    <row r="204" spans="2:3" hidden="1">
      <c r="B204" s="106">
        <f t="shared" si="0"/>
        <v>2081</v>
      </c>
      <c r="C204" s="137">
        <f>[12]С2.5!$BN$11</f>
        <v>0</v>
      </c>
    </row>
    <row r="205" spans="2:3" hidden="1">
      <c r="B205" s="106">
        <f t="shared" si="0"/>
        <v>2082</v>
      </c>
      <c r="C205" s="137">
        <f>[12]С2.5!$BO$11</f>
        <v>0</v>
      </c>
    </row>
    <row r="206" spans="2:3" hidden="1">
      <c r="B206" s="106">
        <f t="shared" si="0"/>
        <v>2083</v>
      </c>
      <c r="C206" s="137">
        <f>[12]С2.5!$BP$11</f>
        <v>0</v>
      </c>
    </row>
    <row r="207" spans="2:3" hidden="1">
      <c r="B207" s="106">
        <f t="shared" si="0"/>
        <v>2084</v>
      </c>
      <c r="C207" s="137">
        <f>[12]С2.5!$BQ$11</f>
        <v>0</v>
      </c>
    </row>
    <row r="208" spans="2:3" hidden="1">
      <c r="B208" s="106">
        <f t="shared" si="0"/>
        <v>2085</v>
      </c>
      <c r="C208" s="137">
        <f>[12]С2.5!$BR$11</f>
        <v>0</v>
      </c>
    </row>
    <row r="209" spans="2:3" hidden="1">
      <c r="B209" s="106">
        <f t="shared" ref="B209:B223" si="1">B208+1</f>
        <v>2086</v>
      </c>
      <c r="C209" s="137">
        <f>[12]С2.5!$BS$11</f>
        <v>0</v>
      </c>
    </row>
    <row r="210" spans="2:3" hidden="1">
      <c r="B210" s="106">
        <f t="shared" si="1"/>
        <v>2087</v>
      </c>
      <c r="C210" s="137">
        <f>[12]С2.5!$BT$11</f>
        <v>0</v>
      </c>
    </row>
    <row r="211" spans="2:3" hidden="1">
      <c r="B211" s="106">
        <f t="shared" si="1"/>
        <v>2088</v>
      </c>
      <c r="C211" s="137">
        <f>[12]С2.5!$BU$11</f>
        <v>0</v>
      </c>
    </row>
    <row r="212" spans="2:3" hidden="1">
      <c r="B212" s="106">
        <f t="shared" si="1"/>
        <v>2089</v>
      </c>
      <c r="C212" s="137">
        <f>[12]С2.5!$BV$11</f>
        <v>0</v>
      </c>
    </row>
    <row r="213" spans="2:3" hidden="1">
      <c r="B213" s="106">
        <f t="shared" si="1"/>
        <v>2090</v>
      </c>
      <c r="C213" s="137">
        <f>[12]С2.5!$BW$11</f>
        <v>0</v>
      </c>
    </row>
    <row r="214" spans="2:3" hidden="1">
      <c r="B214" s="106">
        <f t="shared" si="1"/>
        <v>2091</v>
      </c>
      <c r="C214" s="137">
        <f>[12]С2.5!$BX$11</f>
        <v>0</v>
      </c>
    </row>
    <row r="215" spans="2:3" hidden="1">
      <c r="B215" s="106">
        <f t="shared" si="1"/>
        <v>2092</v>
      </c>
      <c r="C215" s="137">
        <f>[12]С2.5!$BY$11</f>
        <v>0</v>
      </c>
    </row>
    <row r="216" spans="2:3" hidden="1">
      <c r="B216" s="106">
        <f t="shared" si="1"/>
        <v>2093</v>
      </c>
      <c r="C216" s="137">
        <f>[12]С2.5!$BZ$11</f>
        <v>0</v>
      </c>
    </row>
    <row r="217" spans="2:3" hidden="1">
      <c r="B217" s="106">
        <f t="shared" si="1"/>
        <v>2094</v>
      </c>
      <c r="C217" s="137">
        <f>[12]С2.5!$CA$11</f>
        <v>0</v>
      </c>
    </row>
    <row r="218" spans="2:3" hidden="1">
      <c r="B218" s="106">
        <f t="shared" si="1"/>
        <v>2095</v>
      </c>
      <c r="C218" s="137">
        <f>[12]С2.5!$CB$11</f>
        <v>0</v>
      </c>
    </row>
    <row r="219" spans="2:3" hidden="1">
      <c r="B219" s="106">
        <f t="shared" si="1"/>
        <v>2096</v>
      </c>
      <c r="C219" s="137">
        <f>[12]С2.5!$CC$11</f>
        <v>0</v>
      </c>
    </row>
    <row r="220" spans="2:3" hidden="1">
      <c r="B220" s="106">
        <f t="shared" si="1"/>
        <v>2097</v>
      </c>
      <c r="C220" s="137">
        <f>[12]С2.5!$CD$11</f>
        <v>0</v>
      </c>
    </row>
    <row r="221" spans="2:3" hidden="1">
      <c r="B221" s="106">
        <f t="shared" si="1"/>
        <v>2098</v>
      </c>
      <c r="C221" s="137">
        <f>[12]С2.5!$CE$11</f>
        <v>0</v>
      </c>
    </row>
    <row r="222" spans="2:3" hidden="1">
      <c r="B222" s="106">
        <f t="shared" si="1"/>
        <v>2099</v>
      </c>
      <c r="C222" s="137">
        <f>[12]С2.5!$CF$11</f>
        <v>0</v>
      </c>
    </row>
    <row r="223" spans="2:3" ht="13.5" hidden="1" thickBot="1">
      <c r="B223" s="108">
        <f t="shared" si="1"/>
        <v>2100</v>
      </c>
      <c r="C223" s="138">
        <f>[12]С2.5!$CG$11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G1048576"/>
    </sheetView>
  </sheetViews>
  <sheetFormatPr defaultRowHeight="12.75"/>
  <cols>
    <col min="1" max="1" width="9.140625" style="2" customWidth="1"/>
    <col min="2" max="2" width="100.5703125" style="2" customWidth="1"/>
    <col min="3" max="3" width="20.85546875" style="6"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[13]И1!D13</f>
        <v>Субъект Российской Федерации</v>
      </c>
      <c r="C4" s="9" t="str">
        <f>[13]И1!E13</f>
        <v>Новосибирская область</v>
      </c>
    </row>
    <row r="5" spans="1:3">
      <c r="A5" s="7"/>
      <c r="B5" s="8" t="str">
        <f>[13]И1!D14</f>
        <v>Тип муниципального образования (выберите из списка)</v>
      </c>
      <c r="C5" s="9" t="str">
        <f>[13]И1!E14</f>
        <v>Пихтовское МО</v>
      </c>
    </row>
    <row r="6" spans="1:3">
      <c r="A6" s="7"/>
      <c r="B6" s="8" t="str">
        <f>IF([13]И1!E15="","",[13]И1!D15)</f>
        <v/>
      </c>
      <c r="C6" s="9" t="str">
        <f>IF([13]И1!E15="","",[13]И1!E15)</f>
        <v/>
      </c>
    </row>
    <row r="7" spans="1:3">
      <c r="A7" s="7"/>
      <c r="B7" s="8" t="str">
        <f>[13]И1!D16</f>
        <v>Код ОКТМО</v>
      </c>
      <c r="C7" s="10" t="str">
        <f>[13]И1!E16</f>
        <v>50621419101</v>
      </c>
    </row>
    <row r="8" spans="1:3">
      <c r="A8" s="7"/>
      <c r="B8" s="11" t="str">
        <f>[13]И1!D17</f>
        <v>Система теплоснабжения</v>
      </c>
      <c r="C8" s="12">
        <f>[13]И1!E17</f>
        <v>0</v>
      </c>
    </row>
    <row r="9" spans="1:3">
      <c r="A9" s="7"/>
      <c r="B9" s="8" t="str">
        <f>[13]И1!D8</f>
        <v>Период регулирования (i)-й</v>
      </c>
      <c r="C9" s="13">
        <f>[13]И1!E8</f>
        <v>2023</v>
      </c>
    </row>
    <row r="10" spans="1:3">
      <c r="A10" s="7"/>
      <c r="B10" s="8" t="str">
        <f>[13]И1!D9</f>
        <v>Период регулирования (i-1)-й</v>
      </c>
      <c r="C10" s="13">
        <f>[13]И1!E9</f>
        <v>2022</v>
      </c>
    </row>
    <row r="11" spans="1:3">
      <c r="A11" s="7"/>
      <c r="B11" s="8" t="str">
        <f>[13]И1!D10</f>
        <v>Период регулирования (i-2)-й</v>
      </c>
      <c r="C11" s="13">
        <f>[13]И1!E10</f>
        <v>2021</v>
      </c>
    </row>
    <row r="12" spans="1:3">
      <c r="A12" s="7"/>
      <c r="B12" s="8" t="str">
        <f>[13]И1!D11</f>
        <v>Базовый год (б)</v>
      </c>
      <c r="C12" s="13">
        <f>[13]И1!E11</f>
        <v>2019</v>
      </c>
    </row>
    <row r="13" spans="1:3" ht="38.25">
      <c r="A13" s="7"/>
      <c r="B13" s="8" t="str">
        <f>[13]И1!D18</f>
        <v>Вид топлива, использование которого преобладает в системе теплоснабжения</v>
      </c>
      <c r="C13" s="14" t="str">
        <f>[13]С1.1!E13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4031.938067483984</v>
      </c>
    </row>
    <row r="18" spans="1:3" ht="42.75">
      <c r="A18" s="21" t="s">
        <v>8</v>
      </c>
      <c r="B18" s="24" t="s">
        <v>9</v>
      </c>
      <c r="C18" s="25">
        <f>[13]С1!F12</f>
        <v>898.06002910660607</v>
      </c>
    </row>
    <row r="19" spans="1:3" ht="42.75">
      <c r="A19" s="21" t="s">
        <v>10</v>
      </c>
      <c r="B19" s="24" t="s">
        <v>11</v>
      </c>
      <c r="C19" s="25">
        <f>[13]С2!F12</f>
        <v>2109.9946743617465</v>
      </c>
    </row>
    <row r="20" spans="1:3" ht="30">
      <c r="A20" s="21" t="s">
        <v>12</v>
      </c>
      <c r="B20" s="24" t="s">
        <v>13</v>
      </c>
      <c r="C20" s="25">
        <f>[13]С3!F12</f>
        <v>504.88326349025533</v>
      </c>
    </row>
    <row r="21" spans="1:3" ht="42.75">
      <c r="A21" s="21" t="s">
        <v>14</v>
      </c>
      <c r="B21" s="24" t="s">
        <v>226</v>
      </c>
      <c r="C21" s="25">
        <f>[13]С4!F12</f>
        <v>439.94249135902368</v>
      </c>
    </row>
    <row r="22" spans="1:3" ht="30">
      <c r="A22" s="21" t="s">
        <v>16</v>
      </c>
      <c r="B22" s="24" t="s">
        <v>227</v>
      </c>
      <c r="C22" s="25">
        <f>[13]С5!F12</f>
        <v>79.057609166352634</v>
      </c>
    </row>
    <row r="23" spans="1:3" ht="43.5" thickBot="1">
      <c r="A23" s="26" t="s">
        <v>18</v>
      </c>
      <c r="B23" s="27" t="s">
        <v>228</v>
      </c>
      <c r="C23" s="28" t="str">
        <f>[13]С6!F12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[13]С1.1!E16</f>
        <v>5100</v>
      </c>
    </row>
    <row r="29" spans="1:3" ht="42.75">
      <c r="A29" s="21" t="s">
        <v>10</v>
      </c>
      <c r="B29" s="32" t="s">
        <v>230</v>
      </c>
      <c r="C29" s="33">
        <f>[13]С1.1!E27</f>
        <v>2414.7333333333331</v>
      </c>
    </row>
    <row r="30" spans="1:3" ht="17.25">
      <c r="A30" s="21" t="s">
        <v>12</v>
      </c>
      <c r="B30" s="32" t="s">
        <v>29</v>
      </c>
      <c r="C30" s="35">
        <f>[13]С1.1!E19</f>
        <v>0.59499999999999997</v>
      </c>
    </row>
    <row r="31" spans="1:3" ht="17.25">
      <c r="A31" s="21" t="s">
        <v>14</v>
      </c>
      <c r="B31" s="32" t="s">
        <v>30</v>
      </c>
      <c r="C31" s="35">
        <f>[13]С1.1!E20</f>
        <v>-0.113</v>
      </c>
    </row>
    <row r="32" spans="1:3" ht="30">
      <c r="A32" s="21" t="s">
        <v>16</v>
      </c>
      <c r="B32" s="36" t="s">
        <v>231</v>
      </c>
      <c r="C32" s="119">
        <f>[13]С1!F13</f>
        <v>176.4</v>
      </c>
    </row>
    <row r="33" spans="1:3">
      <c r="A33" s="21" t="s">
        <v>18</v>
      </c>
      <c r="B33" s="36" t="s">
        <v>32</v>
      </c>
      <c r="C33" s="38">
        <f>[13]С1!F16</f>
        <v>7000</v>
      </c>
    </row>
    <row r="34" spans="1:3" ht="14.25">
      <c r="A34" s="21" t="s">
        <v>33</v>
      </c>
      <c r="B34" s="40" t="s">
        <v>232</v>
      </c>
      <c r="C34" s="41">
        <f>[13]С1!F17</f>
        <v>0.72857142857142854</v>
      </c>
    </row>
    <row r="35" spans="1:3" ht="15.75">
      <c r="A35" s="120" t="s">
        <v>35</v>
      </c>
      <c r="B35" s="43" t="s">
        <v>36</v>
      </c>
      <c r="C35" s="41">
        <f>[13]С1!F20</f>
        <v>21.588411179999994</v>
      </c>
    </row>
    <row r="36" spans="1:3" ht="15.75">
      <c r="A36" s="120" t="s">
        <v>37</v>
      </c>
      <c r="B36" s="44" t="s">
        <v>38</v>
      </c>
      <c r="C36" s="41">
        <f>[13]С1!F21</f>
        <v>20.818139999999996</v>
      </c>
    </row>
    <row r="37" spans="1:3" ht="14.25">
      <c r="A37" s="120" t="s">
        <v>39</v>
      </c>
      <c r="B37" s="45" t="s">
        <v>40</v>
      </c>
      <c r="C37" s="41">
        <f>[13]С1!F22</f>
        <v>1.0369999999999999</v>
      </c>
    </row>
    <row r="38" spans="1:3" ht="53.25" thickBot="1">
      <c r="A38" s="26" t="s">
        <v>41</v>
      </c>
      <c r="B38" s="46" t="s">
        <v>42</v>
      </c>
      <c r="C38" s="47">
        <f>[13]С1!F23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[13]С2.1!E12</f>
        <v>V</v>
      </c>
    </row>
    <row r="42" spans="1:3" ht="25.5">
      <c r="A42" s="21" t="s">
        <v>47</v>
      </c>
      <c r="B42" s="32" t="s">
        <v>48</v>
      </c>
      <c r="C42" s="51" t="str">
        <f>[13]С2.1!E13</f>
        <v>6 и менее баллов</v>
      </c>
    </row>
    <row r="43" spans="1:3" ht="25.5">
      <c r="A43" s="21" t="s">
        <v>49</v>
      </c>
      <c r="B43" s="32" t="s">
        <v>233</v>
      </c>
      <c r="C43" s="51" t="str">
        <f>[13]С2.1!E14</f>
        <v>от 200 до 500</v>
      </c>
    </row>
    <row r="44" spans="1:3" ht="25.5">
      <c r="A44" s="21" t="s">
        <v>51</v>
      </c>
      <c r="B44" s="32" t="s">
        <v>234</v>
      </c>
      <c r="C44" s="52" t="str">
        <f>[13]С2.1!E15</f>
        <v>нет</v>
      </c>
    </row>
    <row r="45" spans="1:3" ht="30">
      <c r="A45" s="21" t="s">
        <v>53</v>
      </c>
      <c r="B45" s="32" t="s">
        <v>54</v>
      </c>
      <c r="C45" s="33">
        <f>[13]С2!F18</f>
        <v>32402.627334033532</v>
      </c>
    </row>
    <row r="46" spans="1:3" ht="30">
      <c r="A46" s="21" t="s">
        <v>55</v>
      </c>
      <c r="B46" s="53" t="s">
        <v>56</v>
      </c>
      <c r="C46" s="33">
        <f>IF([13]С2!F19&gt;0,[13]С2!F19,[13]С2!F20)</f>
        <v>23441.524932855718</v>
      </c>
    </row>
    <row r="47" spans="1:3" ht="25.5">
      <c r="A47" s="21" t="s">
        <v>57</v>
      </c>
      <c r="B47" s="54" t="s">
        <v>58</v>
      </c>
      <c r="C47" s="33">
        <f>[13]С2.1!E19</f>
        <v>-37</v>
      </c>
    </row>
    <row r="48" spans="1:3" ht="25.5">
      <c r="A48" s="21" t="s">
        <v>59</v>
      </c>
      <c r="B48" s="54" t="s">
        <v>60</v>
      </c>
      <c r="C48" s="33" t="str">
        <f>[13]С2.1!E22</f>
        <v>нет</v>
      </c>
    </row>
    <row r="49" spans="1:3" ht="38.25">
      <c r="A49" s="21" t="s">
        <v>61</v>
      </c>
      <c r="B49" s="55" t="s">
        <v>62</v>
      </c>
      <c r="C49" s="33">
        <f>[13]С2.2!E10</f>
        <v>1287</v>
      </c>
    </row>
    <row r="50" spans="1:3" ht="25.5">
      <c r="A50" s="21" t="s">
        <v>63</v>
      </c>
      <c r="B50" s="56" t="s">
        <v>64</v>
      </c>
      <c r="C50" s="33">
        <f>[13]С2.2!E12</f>
        <v>5.97</v>
      </c>
    </row>
    <row r="51" spans="1:3" ht="52.5">
      <c r="A51" s="21" t="s">
        <v>65</v>
      </c>
      <c r="B51" s="57" t="s">
        <v>66</v>
      </c>
      <c r="C51" s="33">
        <f>[13]С2.2!E13</f>
        <v>1</v>
      </c>
    </row>
    <row r="52" spans="1:3" ht="27.75">
      <c r="A52" s="21" t="s">
        <v>67</v>
      </c>
      <c r="B52" s="56" t="s">
        <v>68</v>
      </c>
      <c r="C52" s="33">
        <f>[13]С2.2!E14</f>
        <v>12104</v>
      </c>
    </row>
    <row r="53" spans="1:3" ht="25.5">
      <c r="A53" s="21" t="s">
        <v>69</v>
      </c>
      <c r="B53" s="57" t="s">
        <v>70</v>
      </c>
      <c r="C53" s="35">
        <f>[13]С2.2!E15</f>
        <v>4.8000000000000001E-2</v>
      </c>
    </row>
    <row r="54" spans="1:3">
      <c r="A54" s="21" t="s">
        <v>71</v>
      </c>
      <c r="B54" s="57" t="s">
        <v>72</v>
      </c>
      <c r="C54" s="33">
        <f>[13]С2.2!E16</f>
        <v>1</v>
      </c>
    </row>
    <row r="55" spans="1:3" ht="15.75">
      <c r="A55" s="21" t="s">
        <v>73</v>
      </c>
      <c r="B55" s="59" t="s">
        <v>74</v>
      </c>
      <c r="C55" s="33">
        <f>[13]С2!F21</f>
        <v>1</v>
      </c>
    </row>
    <row r="56" spans="1:3" ht="30">
      <c r="A56" s="60" t="s">
        <v>75</v>
      </c>
      <c r="B56" s="32" t="s">
        <v>235</v>
      </c>
      <c r="C56" s="33">
        <f>[13]С2!F13</f>
        <v>169640.22915965237</v>
      </c>
    </row>
    <row r="57" spans="1:3" ht="30">
      <c r="A57" s="60" t="s">
        <v>77</v>
      </c>
      <c r="B57" s="59" t="s">
        <v>236</v>
      </c>
      <c r="C57" s="33">
        <f>[13]С2!F14</f>
        <v>113455</v>
      </c>
    </row>
    <row r="58" spans="1:3" ht="15.75">
      <c r="A58" s="60" t="s">
        <v>79</v>
      </c>
      <c r="B58" s="61" t="s">
        <v>80</v>
      </c>
      <c r="C58" s="41">
        <f>[13]С2!F15</f>
        <v>1.071</v>
      </c>
    </row>
    <row r="59" spans="1:3" ht="15.75">
      <c r="A59" s="60" t="s">
        <v>81</v>
      </c>
      <c r="B59" s="61" t="s">
        <v>82</v>
      </c>
      <c r="C59" s="41">
        <f>[13]С2!F16</f>
        <v>1</v>
      </c>
    </row>
    <row r="60" spans="1:3" ht="17.25">
      <c r="A60" s="60" t="s">
        <v>83</v>
      </c>
      <c r="B60" s="59" t="s">
        <v>84</v>
      </c>
      <c r="C60" s="33">
        <f>[13]С2!F17</f>
        <v>1.01</v>
      </c>
    </row>
    <row r="61" spans="1:3" s="66" customFormat="1" ht="14.25">
      <c r="A61" s="60" t="s">
        <v>85</v>
      </c>
      <c r="B61" s="64" t="s">
        <v>86</v>
      </c>
      <c r="C61" s="65">
        <f>[13]С2!F33</f>
        <v>10</v>
      </c>
    </row>
    <row r="62" spans="1:3" ht="30">
      <c r="A62" s="60" t="s">
        <v>87</v>
      </c>
      <c r="B62" s="67" t="s">
        <v>88</v>
      </c>
      <c r="C62" s="33">
        <f>[13]С2!F26</f>
        <v>1570.1802537861311</v>
      </c>
    </row>
    <row r="63" spans="1:3" ht="17.25">
      <c r="A63" s="60" t="s">
        <v>89</v>
      </c>
      <c r="B63" s="53" t="s">
        <v>237</v>
      </c>
      <c r="C63" s="33">
        <f>[13]С2!F27</f>
        <v>0.27046175099999997</v>
      </c>
    </row>
    <row r="64" spans="1:3" ht="17.25">
      <c r="A64" s="60" t="s">
        <v>91</v>
      </c>
      <c r="B64" s="59" t="s">
        <v>238</v>
      </c>
      <c r="C64" s="65">
        <f>[13]С2!F28</f>
        <v>4200</v>
      </c>
    </row>
    <row r="65" spans="1:3" ht="42.75">
      <c r="A65" s="60" t="s">
        <v>93</v>
      </c>
      <c r="B65" s="32" t="s">
        <v>239</v>
      </c>
      <c r="C65" s="33">
        <f>[13]С2!F22</f>
        <v>35717.748653137714</v>
      </c>
    </row>
    <row r="66" spans="1:3" ht="30">
      <c r="A66" s="60" t="s">
        <v>95</v>
      </c>
      <c r="B66" s="61" t="s">
        <v>240</v>
      </c>
      <c r="C66" s="33">
        <f>[13]С2!F23</f>
        <v>1990</v>
      </c>
    </row>
    <row r="67" spans="1:3" ht="30">
      <c r="A67" s="60" t="s">
        <v>97</v>
      </c>
      <c r="B67" s="53" t="s">
        <v>98</v>
      </c>
      <c r="C67" s="33">
        <f>[13]С2.1!E27</f>
        <v>14307.876789999998</v>
      </c>
    </row>
    <row r="68" spans="1:3" ht="38.25">
      <c r="A68" s="60" t="s">
        <v>99</v>
      </c>
      <c r="B68" s="68" t="s">
        <v>100</v>
      </c>
      <c r="C68" s="52">
        <f>[13]С2.3!E21</f>
        <v>0</v>
      </c>
    </row>
    <row r="69" spans="1:3" ht="25.5">
      <c r="A69" s="60" t="s">
        <v>101</v>
      </c>
      <c r="B69" s="69" t="s">
        <v>102</v>
      </c>
      <c r="C69" s="70">
        <f>[13]С2.3!E11</f>
        <v>9.89</v>
      </c>
    </row>
    <row r="70" spans="1:3" ht="25.5">
      <c r="A70" s="60" t="s">
        <v>103</v>
      </c>
      <c r="B70" s="69" t="s">
        <v>104</v>
      </c>
      <c r="C70" s="65">
        <f>[13]С2.3!E13</f>
        <v>300</v>
      </c>
    </row>
    <row r="71" spans="1:3" ht="25.5">
      <c r="A71" s="60" t="s">
        <v>105</v>
      </c>
      <c r="B71" s="68" t="s">
        <v>106</v>
      </c>
      <c r="C71" s="71">
        <f>IF([13]С2.3!E22&gt;0,[13]С2.3!E22,[13]С2.3!E14)</f>
        <v>61211</v>
      </c>
    </row>
    <row r="72" spans="1:3" ht="38.25">
      <c r="A72" s="60" t="s">
        <v>107</v>
      </c>
      <c r="B72" s="68" t="s">
        <v>108</v>
      </c>
      <c r="C72" s="71">
        <f>IF([13]С2.3!E23&gt;0,[13]С2.3!E23,[13]С2.3!E15)</f>
        <v>45675</v>
      </c>
    </row>
    <row r="73" spans="1:3" ht="30">
      <c r="A73" s="60" t="s">
        <v>109</v>
      </c>
      <c r="B73" s="53" t="s">
        <v>110</v>
      </c>
      <c r="C73" s="33">
        <f>[13]С2.1!E28</f>
        <v>9541.9567200000001</v>
      </c>
    </row>
    <row r="74" spans="1:3" ht="38.25">
      <c r="A74" s="60" t="s">
        <v>111</v>
      </c>
      <c r="B74" s="68" t="s">
        <v>112</v>
      </c>
      <c r="C74" s="52">
        <f>[13]С2.3!E25</f>
        <v>0</v>
      </c>
    </row>
    <row r="75" spans="1:3" ht="25.5">
      <c r="A75" s="60" t="s">
        <v>113</v>
      </c>
      <c r="B75" s="69" t="s">
        <v>114</v>
      </c>
      <c r="C75" s="70">
        <f>[13]С2.3!E12</f>
        <v>0.56000000000000005</v>
      </c>
    </row>
    <row r="76" spans="1:3" ht="25.5">
      <c r="A76" s="60" t="s">
        <v>115</v>
      </c>
      <c r="B76" s="69" t="s">
        <v>104</v>
      </c>
      <c r="C76" s="65">
        <f>[13]С2.3!E13</f>
        <v>300</v>
      </c>
    </row>
    <row r="77" spans="1:3" ht="25.5">
      <c r="A77" s="60" t="s">
        <v>116</v>
      </c>
      <c r="B77" s="72" t="s">
        <v>117</v>
      </c>
      <c r="C77" s="71">
        <f>IF([13]С2.3!E26&gt;0,[13]С2.3!E26,[13]С2.3!E16)</f>
        <v>65637</v>
      </c>
    </row>
    <row r="78" spans="1:3" ht="38.25">
      <c r="A78" s="60" t="s">
        <v>118</v>
      </c>
      <c r="B78" s="72" t="s">
        <v>119</v>
      </c>
      <c r="C78" s="71">
        <f>IF([13]С2.3!E27&gt;0,[13]С2.3!E27,[13]С2.3!E17)</f>
        <v>31684</v>
      </c>
    </row>
    <row r="79" spans="1:3" ht="17.25">
      <c r="A79" s="60" t="s">
        <v>122</v>
      </c>
      <c r="B79" s="32" t="s">
        <v>123</v>
      </c>
      <c r="C79" s="35">
        <f>[13]С2!F29</f>
        <v>0.128978033685065</v>
      </c>
    </row>
    <row r="80" spans="1:3" ht="30">
      <c r="A80" s="60" t="s">
        <v>124</v>
      </c>
      <c r="B80" s="53" t="s">
        <v>125</v>
      </c>
      <c r="C80" s="73">
        <f>[13]С2!F30</f>
        <v>0.11668498168498169</v>
      </c>
    </row>
    <row r="81" spans="1:3" ht="17.25">
      <c r="A81" s="60" t="s">
        <v>126</v>
      </c>
      <c r="B81" s="74" t="s">
        <v>127</v>
      </c>
      <c r="C81" s="35">
        <f>[13]С2!F31</f>
        <v>0.13880000000000001</v>
      </c>
    </row>
    <row r="82" spans="1:3" s="66" customFormat="1" ht="18" thickBot="1">
      <c r="A82" s="75" t="s">
        <v>128</v>
      </c>
      <c r="B82" s="76" t="s">
        <v>129</v>
      </c>
      <c r="C82" s="77">
        <f>[13]С2!F32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[13]С3!F14</f>
        <v>7018.8643800822501</v>
      </c>
    </row>
    <row r="86" spans="1:3" s="66" customFormat="1" ht="42.75">
      <c r="A86" s="79" t="s">
        <v>134</v>
      </c>
      <c r="B86" s="53" t="s">
        <v>135</v>
      </c>
      <c r="C86" s="80">
        <f>[13]С3!F15</f>
        <v>0.2</v>
      </c>
    </row>
    <row r="87" spans="1:3" s="66" customFormat="1" ht="14.25">
      <c r="A87" s="79" t="s">
        <v>136</v>
      </c>
      <c r="B87" s="81" t="s">
        <v>137</v>
      </c>
      <c r="C87" s="65">
        <f>[13]С3!F18</f>
        <v>15</v>
      </c>
    </row>
    <row r="88" spans="1:3" s="66" customFormat="1" ht="17.25">
      <c r="A88" s="79" t="s">
        <v>138</v>
      </c>
      <c r="B88" s="32" t="s">
        <v>139</v>
      </c>
      <c r="C88" s="33">
        <f>[13]С3!F19</f>
        <v>3487.1555421534131</v>
      </c>
    </row>
    <row r="89" spans="1:3" s="66" customFormat="1" ht="55.5">
      <c r="A89" s="79" t="s">
        <v>140</v>
      </c>
      <c r="B89" s="53" t="s">
        <v>141</v>
      </c>
      <c r="C89" s="82">
        <f>[13]С3!F20</f>
        <v>2.1999999999999999E-2</v>
      </c>
    </row>
    <row r="90" spans="1:3" s="66" customFormat="1" ht="14.25">
      <c r="A90" s="79" t="s">
        <v>142</v>
      </c>
      <c r="B90" s="59" t="s">
        <v>86</v>
      </c>
      <c r="C90" s="65">
        <f>[13]С3!F21</f>
        <v>10</v>
      </c>
    </row>
    <row r="91" spans="1:3" s="66" customFormat="1" ht="17.25">
      <c r="A91" s="79" t="s">
        <v>143</v>
      </c>
      <c r="B91" s="32" t="s">
        <v>144</v>
      </c>
      <c r="C91" s="33">
        <f>[13]С3!F22</f>
        <v>4.7105407613583932</v>
      </c>
    </row>
    <row r="92" spans="1:3" s="66" customFormat="1" ht="55.5">
      <c r="A92" s="79" t="s">
        <v>145</v>
      </c>
      <c r="B92" s="53" t="s">
        <v>146</v>
      </c>
      <c r="C92" s="82">
        <f>[13]С3!F23</f>
        <v>3.0000000000000001E-3</v>
      </c>
    </row>
    <row r="93" spans="1:3" s="66" customFormat="1" ht="27.75" thickBot="1">
      <c r="A93" s="83" t="s">
        <v>147</v>
      </c>
      <c r="B93" s="84" t="s">
        <v>241</v>
      </c>
      <c r="C93" s="85">
        <f>[13]С3!F24</f>
        <v>1570.1802537861311</v>
      </c>
    </row>
    <row r="94" spans="1:3" ht="13.5" thickBot="1">
      <c r="A94" s="48"/>
      <c r="B94" s="49"/>
      <c r="C94" s="14"/>
    </row>
    <row r="95" spans="1:3" ht="30" customHeight="1">
      <c r="A95" s="86" t="s">
        <v>148</v>
      </c>
      <c r="B95" s="142" t="s">
        <v>149</v>
      </c>
      <c r="C95" s="142"/>
    </row>
    <row r="96" spans="1:3" ht="30">
      <c r="A96" s="60" t="s">
        <v>150</v>
      </c>
      <c r="B96" s="32" t="s">
        <v>242</v>
      </c>
      <c r="C96" s="33">
        <f>[13]С4!F16</f>
        <v>1652.5</v>
      </c>
    </row>
    <row r="97" spans="1:3" ht="30">
      <c r="A97" s="60" t="s">
        <v>152</v>
      </c>
      <c r="B97" s="59" t="s">
        <v>243</v>
      </c>
      <c r="C97" s="33">
        <f>[13]С4!F17</f>
        <v>73547</v>
      </c>
    </row>
    <row r="98" spans="1:3" ht="17.25">
      <c r="A98" s="60" t="s">
        <v>154</v>
      </c>
      <c r="B98" s="59" t="s">
        <v>155</v>
      </c>
      <c r="C98" s="41">
        <f>[13]С4!F18</f>
        <v>0.02</v>
      </c>
    </row>
    <row r="99" spans="1:3" ht="30">
      <c r="A99" s="60" t="s">
        <v>156</v>
      </c>
      <c r="B99" s="59" t="s">
        <v>157</v>
      </c>
      <c r="C99" s="33">
        <f>[13]С4!F19</f>
        <v>12104</v>
      </c>
    </row>
    <row r="100" spans="1:3" ht="31.5">
      <c r="A100" s="60" t="s">
        <v>158</v>
      </c>
      <c r="B100" s="59" t="s">
        <v>159</v>
      </c>
      <c r="C100" s="41">
        <f>[13]С4!F20</f>
        <v>1.4999999999999999E-2</v>
      </c>
    </row>
    <row r="101" spans="1:3" ht="30">
      <c r="A101" s="60" t="s">
        <v>160</v>
      </c>
      <c r="B101" s="32" t="s">
        <v>244</v>
      </c>
      <c r="C101" s="33">
        <f>[13]С4!F21</f>
        <v>1933.1949342509995</v>
      </c>
    </row>
    <row r="102" spans="1:3" ht="24" customHeight="1">
      <c r="A102" s="60" t="s">
        <v>162</v>
      </c>
      <c r="B102" s="53" t="s">
        <v>163</v>
      </c>
      <c r="C102" s="34">
        <f>IF([13]С4.2!F8="да",[13]С4.2!D21,[13]С4.2!D15)</f>
        <v>0</v>
      </c>
    </row>
    <row r="103" spans="1:3" ht="68.25">
      <c r="A103" s="60" t="s">
        <v>164</v>
      </c>
      <c r="B103" s="53" t="s">
        <v>165</v>
      </c>
      <c r="C103" s="33">
        <f>[13]С4!F22</f>
        <v>3.6112641666666665</v>
      </c>
    </row>
    <row r="104" spans="1:3" ht="30">
      <c r="A104" s="60" t="s">
        <v>166</v>
      </c>
      <c r="B104" s="59" t="s">
        <v>245</v>
      </c>
      <c r="C104" s="33">
        <f>[13]С4!F23</f>
        <v>180</v>
      </c>
    </row>
    <row r="105" spans="1:3" ht="14.25">
      <c r="A105" s="60" t="s">
        <v>168</v>
      </c>
      <c r="B105" s="53" t="s">
        <v>169</v>
      </c>
      <c r="C105" s="33">
        <f>[13]С4!F24</f>
        <v>8497.1999999999989</v>
      </c>
    </row>
    <row r="106" spans="1:3" ht="14.25">
      <c r="A106" s="60" t="s">
        <v>170</v>
      </c>
      <c r="B106" s="59" t="s">
        <v>171</v>
      </c>
      <c r="C106" s="41">
        <f>[13]С4!F25</f>
        <v>0.35</v>
      </c>
    </row>
    <row r="107" spans="1:3" ht="17.25">
      <c r="A107" s="60" t="s">
        <v>172</v>
      </c>
      <c r="B107" s="32" t="s">
        <v>173</v>
      </c>
      <c r="C107" s="33">
        <f>[13]С4!F26</f>
        <v>73.927139999999994</v>
      </c>
    </row>
    <row r="108" spans="1:3" ht="25.5">
      <c r="A108" s="60" t="s">
        <v>174</v>
      </c>
      <c r="B108" s="53" t="s">
        <v>100</v>
      </c>
      <c r="C108" s="34">
        <f>[13]С4.3!E16</f>
        <v>0</v>
      </c>
    </row>
    <row r="109" spans="1:3" ht="25.5">
      <c r="A109" s="60" t="s">
        <v>175</v>
      </c>
      <c r="B109" s="53" t="s">
        <v>176</v>
      </c>
      <c r="C109" s="33">
        <f>[13]С4.3!E17</f>
        <v>20.18</v>
      </c>
    </row>
    <row r="110" spans="1:3" ht="38.25">
      <c r="A110" s="60" t="s">
        <v>177</v>
      </c>
      <c r="B110" s="53" t="s">
        <v>112</v>
      </c>
      <c r="C110" s="34">
        <f>[13]С4.3!E18</f>
        <v>0</v>
      </c>
    </row>
    <row r="111" spans="1:3">
      <c r="A111" s="60" t="s">
        <v>178</v>
      </c>
      <c r="B111" s="53" t="s">
        <v>179</v>
      </c>
      <c r="C111" s="33">
        <f>[13]С4.3!E19</f>
        <v>15.47</v>
      </c>
    </row>
    <row r="112" spans="1:3">
      <c r="A112" s="60" t="s">
        <v>180</v>
      </c>
      <c r="B112" s="59" t="s">
        <v>181</v>
      </c>
      <c r="C112" s="33">
        <f>[13]С4.3!E11</f>
        <v>1871</v>
      </c>
    </row>
    <row r="113" spans="1:3">
      <c r="A113" s="60" t="s">
        <v>182</v>
      </c>
      <c r="B113" s="59" t="s">
        <v>183</v>
      </c>
      <c r="C113" s="52">
        <f>[13]С4.3!E12</f>
        <v>1636</v>
      </c>
    </row>
    <row r="114" spans="1:3">
      <c r="A114" s="60" t="s">
        <v>184</v>
      </c>
      <c r="B114" s="59" t="s">
        <v>185</v>
      </c>
      <c r="C114" s="52">
        <f>[13]С4.3!E13</f>
        <v>204</v>
      </c>
    </row>
    <row r="115" spans="1:3" ht="30">
      <c r="A115" s="60" t="s">
        <v>186</v>
      </c>
      <c r="B115" s="32" t="s">
        <v>246</v>
      </c>
      <c r="C115" s="33">
        <f>[13]С4!F27</f>
        <v>1467.2629458895778</v>
      </c>
    </row>
    <row r="116" spans="1:3" ht="25.5">
      <c r="A116" s="60" t="s">
        <v>188</v>
      </c>
      <c r="B116" s="53" t="s">
        <v>247</v>
      </c>
      <c r="C116" s="33">
        <f>[13]С4!F28</f>
        <v>1126.9300659674177</v>
      </c>
    </row>
    <row r="117" spans="1:3" ht="42.75">
      <c r="A117" s="60" t="s">
        <v>190</v>
      </c>
      <c r="B117" s="53" t="s">
        <v>191</v>
      </c>
      <c r="C117" s="33">
        <f>[13]С4!F29</f>
        <v>340.33287992216015</v>
      </c>
    </row>
    <row r="118" spans="1:3" ht="30">
      <c r="A118" s="60" t="s">
        <v>192</v>
      </c>
      <c r="B118" s="40" t="s">
        <v>193</v>
      </c>
      <c r="C118" s="33">
        <f>[13]С4!F30</f>
        <v>2072.0208167597348</v>
      </c>
    </row>
    <row r="119" spans="1:3" ht="42.75">
      <c r="A119" s="60" t="s">
        <v>248</v>
      </c>
      <c r="B119" s="90" t="s">
        <v>249</v>
      </c>
      <c r="C119" s="33">
        <f>[13]С4!F33</f>
        <v>1325.7564400041779</v>
      </c>
    </row>
    <row r="120" spans="1:3" ht="30">
      <c r="A120" s="60" t="s">
        <v>250</v>
      </c>
      <c r="B120" s="123" t="s">
        <v>251</v>
      </c>
      <c r="C120" s="33">
        <f>[13]С4!F35</f>
        <v>17.040680999999999</v>
      </c>
    </row>
    <row r="121" spans="1:3" ht="14.25">
      <c r="A121" s="60" t="s">
        <v>252</v>
      </c>
      <c r="B121" s="56" t="s">
        <v>253</v>
      </c>
      <c r="C121" s="33">
        <f>[13]С4!F36</f>
        <v>14319.9</v>
      </c>
    </row>
    <row r="122" spans="1:3" ht="28.5" thickBot="1">
      <c r="A122" s="75" t="s">
        <v>254</v>
      </c>
      <c r="B122" s="124" t="s">
        <v>255</v>
      </c>
      <c r="C122" s="85">
        <f>[13]С4!F37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[13]С5!F17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[13]С2!F37</f>
        <v>20.818139999999996</v>
      </c>
    </row>
    <row r="136" spans="1:3" ht="14.25">
      <c r="A136" s="60" t="s">
        <v>214</v>
      </c>
      <c r="B136" s="130" t="s">
        <v>215</v>
      </c>
      <c r="C136" s="33">
        <f>[13]С2!F38</f>
        <v>7</v>
      </c>
    </row>
    <row r="137" spans="1:3" ht="17.25">
      <c r="A137" s="60" t="s">
        <v>216</v>
      </c>
      <c r="B137" s="130" t="s">
        <v>217</v>
      </c>
      <c r="C137" s="33">
        <f>[13]С2!F40</f>
        <v>0.97</v>
      </c>
    </row>
    <row r="138" spans="1:3" ht="15" thickBot="1">
      <c r="A138" s="75" t="s">
        <v>218</v>
      </c>
      <c r="B138" s="131" t="s">
        <v>219</v>
      </c>
      <c r="C138" s="47">
        <f>[13]С2!F42</f>
        <v>0.35</v>
      </c>
    </row>
    <row r="139" spans="1:3" s="88" customFormat="1" ht="13.5" thickBot="1">
      <c r="A139" s="48"/>
      <c r="B139" s="49"/>
      <c r="C139" s="14"/>
    </row>
    <row r="140" spans="1:3" ht="30">
      <c r="A140" s="86" t="s">
        <v>220</v>
      </c>
      <c r="B140" s="96" t="s">
        <v>258</v>
      </c>
      <c r="C140" s="132">
        <f>[13]С2!F35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[13]С2.5!$E$11</f>
        <v>-2.9000000000000026E-2</v>
      </c>
    </row>
    <row r="144" spans="1:3">
      <c r="A144" s="99"/>
      <c r="B144" s="106">
        <f>B143+1</f>
        <v>2021</v>
      </c>
      <c r="C144" s="137">
        <f>[13]С2.5!$F$11</f>
        <v>0.245</v>
      </c>
    </row>
    <row r="145" spans="1:3">
      <c r="A145" s="99"/>
      <c r="B145" s="106">
        <f t="shared" ref="B145:B208" si="0">B144+1</f>
        <v>2022</v>
      </c>
      <c r="C145" s="137">
        <f>[13]С2.5!$G$11</f>
        <v>0.121</v>
      </c>
    </row>
    <row r="146" spans="1:3" ht="13.5" thickBot="1">
      <c r="A146" s="99"/>
      <c r="B146" s="108">
        <f t="shared" si="0"/>
        <v>2023</v>
      </c>
      <c r="C146" s="138">
        <f>[13]С2.5!$H$11</f>
        <v>0.02</v>
      </c>
    </row>
    <row r="147" spans="1:3" hidden="1">
      <c r="A147" s="99"/>
      <c r="B147" s="139">
        <f t="shared" si="0"/>
        <v>2024</v>
      </c>
      <c r="C147" s="140">
        <f>[13]С2.5!$I$11</f>
        <v>-2.93E-2</v>
      </c>
    </row>
    <row r="148" spans="1:3" hidden="1">
      <c r="A148" s="99"/>
      <c r="B148" s="106">
        <f t="shared" si="0"/>
        <v>2025</v>
      </c>
      <c r="C148" s="137">
        <f>[13]С2.5!$J$11</f>
        <v>0.21215960863291</v>
      </c>
    </row>
    <row r="149" spans="1:3" hidden="1">
      <c r="A149" s="99"/>
      <c r="B149" s="106">
        <f t="shared" si="0"/>
        <v>2026</v>
      </c>
      <c r="C149" s="137">
        <f>[13]С2.5!$K$11</f>
        <v>3.5813361771260002E-2</v>
      </c>
    </row>
    <row r="150" spans="1:3" hidden="1">
      <c r="A150" s="99"/>
      <c r="B150" s="106">
        <f t="shared" si="0"/>
        <v>2027</v>
      </c>
      <c r="C150" s="137">
        <f>[13]С2.5!$L$11</f>
        <v>3.2682303599220003E-2</v>
      </c>
    </row>
    <row r="151" spans="1:3" hidden="1">
      <c r="A151" s="99"/>
      <c r="B151" s="106">
        <f t="shared" si="0"/>
        <v>2028</v>
      </c>
      <c r="C151" s="137">
        <f>[13]С2.5!$M$11</f>
        <v>0</v>
      </c>
    </row>
    <row r="152" spans="1:3" hidden="1">
      <c r="A152" s="99"/>
      <c r="B152" s="106">
        <f t="shared" si="0"/>
        <v>2029</v>
      </c>
      <c r="C152" s="137">
        <f>[13]С2.5!$N$11</f>
        <v>0</v>
      </c>
    </row>
    <row r="153" spans="1:3" hidden="1">
      <c r="A153" s="99"/>
      <c r="B153" s="106">
        <f t="shared" si="0"/>
        <v>2030</v>
      </c>
      <c r="C153" s="137">
        <f>[13]С2.5!$O$11</f>
        <v>0</v>
      </c>
    </row>
    <row r="154" spans="1:3" hidden="1">
      <c r="A154" s="99"/>
      <c r="B154" s="106">
        <f t="shared" si="0"/>
        <v>2031</v>
      </c>
      <c r="C154" s="137">
        <f>[13]С2.5!$P$11</f>
        <v>0</v>
      </c>
    </row>
    <row r="155" spans="1:3" hidden="1">
      <c r="A155" s="88"/>
      <c r="B155" s="106">
        <f t="shared" si="0"/>
        <v>2032</v>
      </c>
      <c r="C155" s="137">
        <f>[13]С2.5!$Q$11</f>
        <v>0</v>
      </c>
    </row>
    <row r="156" spans="1:3" hidden="1">
      <c r="A156" s="88"/>
      <c r="B156" s="106">
        <f t="shared" si="0"/>
        <v>2033</v>
      </c>
      <c r="C156" s="137">
        <f>[13]С2.5!$R$11</f>
        <v>0</v>
      </c>
    </row>
    <row r="157" spans="1:3" hidden="1">
      <c r="B157" s="106">
        <f t="shared" si="0"/>
        <v>2034</v>
      </c>
      <c r="C157" s="137">
        <f>[13]С2.5!$S$11</f>
        <v>0</v>
      </c>
    </row>
    <row r="158" spans="1:3" hidden="1">
      <c r="B158" s="106">
        <f t="shared" si="0"/>
        <v>2035</v>
      </c>
      <c r="C158" s="137">
        <f>[13]С2.5!$T$11</f>
        <v>0</v>
      </c>
    </row>
    <row r="159" spans="1:3" hidden="1">
      <c r="B159" s="106">
        <f t="shared" si="0"/>
        <v>2036</v>
      </c>
      <c r="C159" s="137">
        <f>[13]С2.5!$U$11</f>
        <v>0</v>
      </c>
    </row>
    <row r="160" spans="1:3" hidden="1">
      <c r="B160" s="106">
        <f t="shared" si="0"/>
        <v>2037</v>
      </c>
      <c r="C160" s="137">
        <f>[13]С2.5!$V$11</f>
        <v>0</v>
      </c>
    </row>
    <row r="161" spans="2:3" hidden="1">
      <c r="B161" s="106">
        <f t="shared" si="0"/>
        <v>2038</v>
      </c>
      <c r="C161" s="137">
        <f>[13]С2.5!$W$11</f>
        <v>0</v>
      </c>
    </row>
    <row r="162" spans="2:3" hidden="1">
      <c r="B162" s="106">
        <f t="shared" si="0"/>
        <v>2039</v>
      </c>
      <c r="C162" s="137">
        <f>[13]С2.5!$X$11</f>
        <v>0</v>
      </c>
    </row>
    <row r="163" spans="2:3" hidden="1">
      <c r="B163" s="106">
        <f t="shared" si="0"/>
        <v>2040</v>
      </c>
      <c r="C163" s="137">
        <f>[13]С2.5!$Y$11</f>
        <v>0</v>
      </c>
    </row>
    <row r="164" spans="2:3" hidden="1">
      <c r="B164" s="106">
        <f t="shared" si="0"/>
        <v>2041</v>
      </c>
      <c r="C164" s="137">
        <f>[13]С2.5!$Z$11</f>
        <v>0</v>
      </c>
    </row>
    <row r="165" spans="2:3" hidden="1">
      <c r="B165" s="106">
        <f t="shared" si="0"/>
        <v>2042</v>
      </c>
      <c r="C165" s="137">
        <f>[13]С2.5!$AA$11</f>
        <v>0</v>
      </c>
    </row>
    <row r="166" spans="2:3" hidden="1">
      <c r="B166" s="106">
        <f t="shared" si="0"/>
        <v>2043</v>
      </c>
      <c r="C166" s="137">
        <f>[13]С2.5!$AB$11</f>
        <v>0</v>
      </c>
    </row>
    <row r="167" spans="2:3" hidden="1">
      <c r="B167" s="106">
        <f t="shared" si="0"/>
        <v>2044</v>
      </c>
      <c r="C167" s="137">
        <f>[13]С2.5!$AC$11</f>
        <v>0</v>
      </c>
    </row>
    <row r="168" spans="2:3" hidden="1">
      <c r="B168" s="106">
        <f t="shared" si="0"/>
        <v>2045</v>
      </c>
      <c r="C168" s="137">
        <f>[13]С2.5!$AD$11</f>
        <v>0</v>
      </c>
    </row>
    <row r="169" spans="2:3" hidden="1">
      <c r="B169" s="106">
        <f t="shared" si="0"/>
        <v>2046</v>
      </c>
      <c r="C169" s="137">
        <f>[13]С2.5!$AE$11</f>
        <v>0</v>
      </c>
    </row>
    <row r="170" spans="2:3" hidden="1">
      <c r="B170" s="106">
        <f t="shared" si="0"/>
        <v>2047</v>
      </c>
      <c r="C170" s="137">
        <f>[13]С2.5!$AF$11</f>
        <v>0</v>
      </c>
    </row>
    <row r="171" spans="2:3" hidden="1">
      <c r="B171" s="106">
        <f t="shared" si="0"/>
        <v>2048</v>
      </c>
      <c r="C171" s="137">
        <f>[13]С2.5!$AG$11</f>
        <v>0</v>
      </c>
    </row>
    <row r="172" spans="2:3" hidden="1">
      <c r="B172" s="106">
        <f t="shared" si="0"/>
        <v>2049</v>
      </c>
      <c r="C172" s="137">
        <f>[13]С2.5!$AH$11</f>
        <v>0</v>
      </c>
    </row>
    <row r="173" spans="2:3" hidden="1">
      <c r="B173" s="106">
        <f t="shared" si="0"/>
        <v>2050</v>
      </c>
      <c r="C173" s="137">
        <f>[13]С2.5!$AI$11</f>
        <v>0</v>
      </c>
    </row>
    <row r="174" spans="2:3" hidden="1">
      <c r="B174" s="106">
        <f t="shared" si="0"/>
        <v>2051</v>
      </c>
      <c r="C174" s="137">
        <f>[13]С2.5!$AJ$11</f>
        <v>0</v>
      </c>
    </row>
    <row r="175" spans="2:3" hidden="1">
      <c r="B175" s="106">
        <f t="shared" si="0"/>
        <v>2052</v>
      </c>
      <c r="C175" s="137">
        <f>[13]С2.5!$AK$11</f>
        <v>0</v>
      </c>
    </row>
    <row r="176" spans="2:3" hidden="1">
      <c r="B176" s="106">
        <f t="shared" si="0"/>
        <v>2053</v>
      </c>
      <c r="C176" s="137">
        <f>[13]С2.5!$AL$11</f>
        <v>0</v>
      </c>
    </row>
    <row r="177" spans="2:3" hidden="1">
      <c r="B177" s="106">
        <f t="shared" si="0"/>
        <v>2054</v>
      </c>
      <c r="C177" s="137">
        <f>[13]С2.5!$AM$11</f>
        <v>0</v>
      </c>
    </row>
    <row r="178" spans="2:3" hidden="1">
      <c r="B178" s="106">
        <f t="shared" si="0"/>
        <v>2055</v>
      </c>
      <c r="C178" s="137">
        <f>[13]С2.5!$AN$11</f>
        <v>0</v>
      </c>
    </row>
    <row r="179" spans="2:3" hidden="1">
      <c r="B179" s="106">
        <f t="shared" si="0"/>
        <v>2056</v>
      </c>
      <c r="C179" s="137">
        <f>[13]С2.5!$AO$11</f>
        <v>0</v>
      </c>
    </row>
    <row r="180" spans="2:3" hidden="1">
      <c r="B180" s="106">
        <f t="shared" si="0"/>
        <v>2057</v>
      </c>
      <c r="C180" s="137">
        <f>[13]С2.5!$AP$11</f>
        <v>0</v>
      </c>
    </row>
    <row r="181" spans="2:3" hidden="1">
      <c r="B181" s="106">
        <f t="shared" si="0"/>
        <v>2058</v>
      </c>
      <c r="C181" s="137">
        <f>[13]С2.5!$AQ$11</f>
        <v>0</v>
      </c>
    </row>
    <row r="182" spans="2:3" hidden="1">
      <c r="B182" s="106">
        <f t="shared" si="0"/>
        <v>2059</v>
      </c>
      <c r="C182" s="137">
        <f>[13]С2.5!$AR$11</f>
        <v>0</v>
      </c>
    </row>
    <row r="183" spans="2:3" hidden="1">
      <c r="B183" s="106">
        <f t="shared" si="0"/>
        <v>2060</v>
      </c>
      <c r="C183" s="137">
        <f>[13]С2.5!$AS$11</f>
        <v>0</v>
      </c>
    </row>
    <row r="184" spans="2:3" hidden="1">
      <c r="B184" s="106">
        <f t="shared" si="0"/>
        <v>2061</v>
      </c>
      <c r="C184" s="137">
        <f>[13]С2.5!$AT$11</f>
        <v>0</v>
      </c>
    </row>
    <row r="185" spans="2:3" hidden="1">
      <c r="B185" s="106">
        <f t="shared" si="0"/>
        <v>2062</v>
      </c>
      <c r="C185" s="137">
        <f>[13]С2.5!$AU$11</f>
        <v>0</v>
      </c>
    </row>
    <row r="186" spans="2:3" hidden="1">
      <c r="B186" s="106">
        <f t="shared" si="0"/>
        <v>2063</v>
      </c>
      <c r="C186" s="137">
        <f>[13]С2.5!$AV$11</f>
        <v>0</v>
      </c>
    </row>
    <row r="187" spans="2:3" hidden="1">
      <c r="B187" s="106">
        <f t="shared" si="0"/>
        <v>2064</v>
      </c>
      <c r="C187" s="137">
        <f>[13]С2.5!$AW$11</f>
        <v>0</v>
      </c>
    </row>
    <row r="188" spans="2:3" hidden="1">
      <c r="B188" s="106">
        <f t="shared" si="0"/>
        <v>2065</v>
      </c>
      <c r="C188" s="137">
        <f>[13]С2.5!$AX$11</f>
        <v>0</v>
      </c>
    </row>
    <row r="189" spans="2:3" hidden="1">
      <c r="B189" s="106">
        <f t="shared" si="0"/>
        <v>2066</v>
      </c>
      <c r="C189" s="137">
        <f>[13]С2.5!$AY$11</f>
        <v>0</v>
      </c>
    </row>
    <row r="190" spans="2:3" hidden="1">
      <c r="B190" s="106">
        <f t="shared" si="0"/>
        <v>2067</v>
      </c>
      <c r="C190" s="137">
        <f>[13]С2.5!$AZ$11</f>
        <v>0</v>
      </c>
    </row>
    <row r="191" spans="2:3" hidden="1">
      <c r="B191" s="106">
        <f t="shared" si="0"/>
        <v>2068</v>
      </c>
      <c r="C191" s="137">
        <f>[13]С2.5!$BA$11</f>
        <v>0</v>
      </c>
    </row>
    <row r="192" spans="2:3" hidden="1">
      <c r="B192" s="106">
        <f t="shared" si="0"/>
        <v>2069</v>
      </c>
      <c r="C192" s="137">
        <f>[13]С2.5!$BB$11</f>
        <v>0</v>
      </c>
    </row>
    <row r="193" spans="2:3" hidden="1">
      <c r="B193" s="106">
        <f t="shared" si="0"/>
        <v>2070</v>
      </c>
      <c r="C193" s="137">
        <f>[13]С2.5!$BC$11</f>
        <v>0</v>
      </c>
    </row>
    <row r="194" spans="2:3" hidden="1">
      <c r="B194" s="106">
        <f t="shared" si="0"/>
        <v>2071</v>
      </c>
      <c r="C194" s="137">
        <f>[13]С2.5!$BD$11</f>
        <v>0</v>
      </c>
    </row>
    <row r="195" spans="2:3" hidden="1">
      <c r="B195" s="106">
        <f t="shared" si="0"/>
        <v>2072</v>
      </c>
      <c r="C195" s="137">
        <f>[13]С2.5!$BE$11</f>
        <v>0</v>
      </c>
    </row>
    <row r="196" spans="2:3" hidden="1">
      <c r="B196" s="106">
        <f t="shared" si="0"/>
        <v>2073</v>
      </c>
      <c r="C196" s="137">
        <f>[13]С2.5!$BF$11</f>
        <v>0</v>
      </c>
    </row>
    <row r="197" spans="2:3" hidden="1">
      <c r="B197" s="106">
        <f t="shared" si="0"/>
        <v>2074</v>
      </c>
      <c r="C197" s="137">
        <f>[13]С2.5!$BG$11</f>
        <v>0</v>
      </c>
    </row>
    <row r="198" spans="2:3" hidden="1">
      <c r="B198" s="106">
        <f t="shared" si="0"/>
        <v>2075</v>
      </c>
      <c r="C198" s="137">
        <f>[13]С2.5!$BH$11</f>
        <v>0</v>
      </c>
    </row>
    <row r="199" spans="2:3" hidden="1">
      <c r="B199" s="106">
        <f t="shared" si="0"/>
        <v>2076</v>
      </c>
      <c r="C199" s="137">
        <f>[13]С2.5!$BI$11</f>
        <v>0</v>
      </c>
    </row>
    <row r="200" spans="2:3" hidden="1">
      <c r="B200" s="106">
        <f t="shared" si="0"/>
        <v>2077</v>
      </c>
      <c r="C200" s="137">
        <f>[13]С2.5!$BJ$11</f>
        <v>0</v>
      </c>
    </row>
    <row r="201" spans="2:3" hidden="1">
      <c r="B201" s="106">
        <f t="shared" si="0"/>
        <v>2078</v>
      </c>
      <c r="C201" s="137">
        <f>[13]С2.5!$BK$11</f>
        <v>0</v>
      </c>
    </row>
    <row r="202" spans="2:3" hidden="1">
      <c r="B202" s="106">
        <f t="shared" si="0"/>
        <v>2079</v>
      </c>
      <c r="C202" s="137">
        <f>[13]С2.5!$BL$11</f>
        <v>0</v>
      </c>
    </row>
    <row r="203" spans="2:3" hidden="1">
      <c r="B203" s="106">
        <f t="shared" si="0"/>
        <v>2080</v>
      </c>
      <c r="C203" s="137">
        <f>[13]С2.5!$BM$11</f>
        <v>0</v>
      </c>
    </row>
    <row r="204" spans="2:3" hidden="1">
      <c r="B204" s="106">
        <f t="shared" si="0"/>
        <v>2081</v>
      </c>
      <c r="C204" s="137">
        <f>[13]С2.5!$BN$11</f>
        <v>0</v>
      </c>
    </row>
    <row r="205" spans="2:3" hidden="1">
      <c r="B205" s="106">
        <f t="shared" si="0"/>
        <v>2082</v>
      </c>
      <c r="C205" s="137">
        <f>[13]С2.5!$BO$11</f>
        <v>0</v>
      </c>
    </row>
    <row r="206" spans="2:3" hidden="1">
      <c r="B206" s="106">
        <f t="shared" si="0"/>
        <v>2083</v>
      </c>
      <c r="C206" s="137">
        <f>[13]С2.5!$BP$11</f>
        <v>0</v>
      </c>
    </row>
    <row r="207" spans="2:3" hidden="1">
      <c r="B207" s="106">
        <f t="shared" si="0"/>
        <v>2084</v>
      </c>
      <c r="C207" s="137">
        <f>[13]С2.5!$BQ$11</f>
        <v>0</v>
      </c>
    </row>
    <row r="208" spans="2:3" hidden="1">
      <c r="B208" s="106">
        <f t="shared" si="0"/>
        <v>2085</v>
      </c>
      <c r="C208" s="137">
        <f>[13]С2.5!$BR$11</f>
        <v>0</v>
      </c>
    </row>
    <row r="209" spans="2:3" hidden="1">
      <c r="B209" s="106">
        <f t="shared" ref="B209:B223" si="1">B208+1</f>
        <v>2086</v>
      </c>
      <c r="C209" s="137">
        <f>[13]С2.5!$BS$11</f>
        <v>0</v>
      </c>
    </row>
    <row r="210" spans="2:3" hidden="1">
      <c r="B210" s="106">
        <f t="shared" si="1"/>
        <v>2087</v>
      </c>
      <c r="C210" s="137">
        <f>[13]С2.5!$BT$11</f>
        <v>0</v>
      </c>
    </row>
    <row r="211" spans="2:3" hidden="1">
      <c r="B211" s="106">
        <f t="shared" si="1"/>
        <v>2088</v>
      </c>
      <c r="C211" s="137">
        <f>[13]С2.5!$BU$11</f>
        <v>0</v>
      </c>
    </row>
    <row r="212" spans="2:3" hidden="1">
      <c r="B212" s="106">
        <f t="shared" si="1"/>
        <v>2089</v>
      </c>
      <c r="C212" s="137">
        <f>[13]С2.5!$BV$11</f>
        <v>0</v>
      </c>
    </row>
    <row r="213" spans="2:3" hidden="1">
      <c r="B213" s="106">
        <f t="shared" si="1"/>
        <v>2090</v>
      </c>
      <c r="C213" s="137">
        <f>[13]С2.5!$BW$11</f>
        <v>0</v>
      </c>
    </row>
    <row r="214" spans="2:3" hidden="1">
      <c r="B214" s="106">
        <f t="shared" si="1"/>
        <v>2091</v>
      </c>
      <c r="C214" s="137">
        <f>[13]С2.5!$BX$11</f>
        <v>0</v>
      </c>
    </row>
    <row r="215" spans="2:3" hidden="1">
      <c r="B215" s="106">
        <f t="shared" si="1"/>
        <v>2092</v>
      </c>
      <c r="C215" s="137">
        <f>[13]С2.5!$BY$11</f>
        <v>0</v>
      </c>
    </row>
    <row r="216" spans="2:3" hidden="1">
      <c r="B216" s="106">
        <f t="shared" si="1"/>
        <v>2093</v>
      </c>
      <c r="C216" s="137">
        <f>[13]С2.5!$BZ$11</f>
        <v>0</v>
      </c>
    </row>
    <row r="217" spans="2:3" hidden="1">
      <c r="B217" s="106">
        <f t="shared" si="1"/>
        <v>2094</v>
      </c>
      <c r="C217" s="137">
        <f>[13]С2.5!$CA$11</f>
        <v>0</v>
      </c>
    </row>
    <row r="218" spans="2:3" hidden="1">
      <c r="B218" s="106">
        <f t="shared" si="1"/>
        <v>2095</v>
      </c>
      <c r="C218" s="137">
        <f>[13]С2.5!$CB$11</f>
        <v>0</v>
      </c>
    </row>
    <row r="219" spans="2:3" hidden="1">
      <c r="B219" s="106">
        <f t="shared" si="1"/>
        <v>2096</v>
      </c>
      <c r="C219" s="137">
        <f>[13]С2.5!$CC$11</f>
        <v>0</v>
      </c>
    </row>
    <row r="220" spans="2:3" hidden="1">
      <c r="B220" s="106">
        <f t="shared" si="1"/>
        <v>2097</v>
      </c>
      <c r="C220" s="137">
        <f>[13]С2.5!$CD$11</f>
        <v>0</v>
      </c>
    </row>
    <row r="221" spans="2:3" hidden="1">
      <c r="B221" s="106">
        <f t="shared" si="1"/>
        <v>2098</v>
      </c>
      <c r="C221" s="137">
        <f>[13]С2.5!$CE$11</f>
        <v>0</v>
      </c>
    </row>
    <row r="222" spans="2:3" hidden="1">
      <c r="B222" s="106">
        <f t="shared" si="1"/>
        <v>2099</v>
      </c>
      <c r="C222" s="137">
        <f>[13]С2.5!$CF$11</f>
        <v>0</v>
      </c>
    </row>
    <row r="223" spans="2:3" ht="13.5" hidden="1" thickBot="1">
      <c r="B223" s="108">
        <f t="shared" si="1"/>
        <v>2100</v>
      </c>
      <c r="C223" s="138">
        <f>[13]С2.5!$CG$11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J1048576"/>
    </sheetView>
  </sheetViews>
  <sheetFormatPr defaultRowHeight="12.75"/>
  <cols>
    <col min="1" max="1" width="9.140625" style="2" customWidth="1"/>
    <col min="2" max="2" width="100.5703125" style="2" customWidth="1"/>
    <col min="3" max="3" width="20.85546875" style="6" customWidth="1"/>
    <col min="4" max="243" width="9.140625" style="2"/>
    <col min="244" max="244" width="3.570312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570312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570312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570312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570312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570312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570312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570312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570312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570312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570312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570312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570312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570312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570312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570312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570312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570312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570312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570312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570312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570312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570312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570312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570312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570312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570312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570312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570312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570312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570312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570312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570312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570312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570312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570312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570312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570312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570312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570312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570312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570312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570312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570312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570312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570312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570312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570312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570312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570312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570312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570312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570312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570312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570312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570312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570312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570312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570312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570312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570312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570312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570312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[14]И1!D13</f>
        <v>Субъект Российской Федерации</v>
      </c>
      <c r="C4" s="9" t="str">
        <f>[14]И1!E13</f>
        <v>Новосибирская область</v>
      </c>
    </row>
    <row r="5" spans="1:3">
      <c r="A5" s="7"/>
      <c r="B5" s="8" t="str">
        <f>[14]И1!D14</f>
        <v>Тип муниципального образования (выберите из списка)</v>
      </c>
      <c r="C5" s="9" t="str">
        <f>[14]И1!E14</f>
        <v>Пономаревское МО</v>
      </c>
    </row>
    <row r="6" spans="1:3">
      <c r="A6" s="7"/>
      <c r="B6" s="8" t="str">
        <f>IF([14]И1!E15="","",[14]И1!D15)</f>
        <v/>
      </c>
      <c r="C6" s="9" t="str">
        <f>IF([14]И1!E15="","",[14]И1!E15)</f>
        <v/>
      </c>
    </row>
    <row r="7" spans="1:3">
      <c r="A7" s="7"/>
      <c r="B7" s="8" t="str">
        <f>[14]И1!D16</f>
        <v>Код ОКТМО</v>
      </c>
      <c r="C7" s="10" t="str">
        <f>[14]И1!E16</f>
        <v>50621422101</v>
      </c>
    </row>
    <row r="8" spans="1:3">
      <c r="A8" s="7"/>
      <c r="B8" s="11" t="str">
        <f>[14]И1!D17</f>
        <v>Система теплоснабжения</v>
      </c>
      <c r="C8" s="12">
        <f>[14]И1!E17</f>
        <v>0</v>
      </c>
    </row>
    <row r="9" spans="1:3">
      <c r="A9" s="7"/>
      <c r="B9" s="8" t="str">
        <f>[14]И1!D8</f>
        <v>Период регулирования (i)-й</v>
      </c>
      <c r="C9" s="13">
        <f>[14]И1!E8</f>
        <v>2023</v>
      </c>
    </row>
    <row r="10" spans="1:3">
      <c r="A10" s="7"/>
      <c r="B10" s="8" t="str">
        <f>[14]И1!D9</f>
        <v>Период регулирования (i-1)-й</v>
      </c>
      <c r="C10" s="13">
        <f>[14]И1!E9</f>
        <v>2022</v>
      </c>
    </row>
    <row r="11" spans="1:3">
      <c r="A11" s="7"/>
      <c r="B11" s="8" t="str">
        <f>[14]И1!D10</f>
        <v>Период регулирования (i-2)-й</v>
      </c>
      <c r="C11" s="13">
        <f>[14]И1!E10</f>
        <v>2021</v>
      </c>
    </row>
    <row r="12" spans="1:3">
      <c r="A12" s="7"/>
      <c r="B12" s="8" t="str">
        <f>[14]И1!D11</f>
        <v>Базовый год (б)</v>
      </c>
      <c r="C12" s="13">
        <f>[14]И1!E11</f>
        <v>2019</v>
      </c>
    </row>
    <row r="13" spans="1:3" ht="38.25">
      <c r="A13" s="7"/>
      <c r="B13" s="8" t="str">
        <f>[14]И1!D18</f>
        <v>Вид топлива, использование которого преобладает в системе теплоснабжения</v>
      </c>
      <c r="C13" s="14" t="str">
        <f>[14]С1.1!E13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4031.938067483984</v>
      </c>
    </row>
    <row r="18" spans="1:3" ht="42.75">
      <c r="A18" s="21" t="s">
        <v>8</v>
      </c>
      <c r="B18" s="24" t="s">
        <v>9</v>
      </c>
      <c r="C18" s="25">
        <f>[14]С1!F12</f>
        <v>898.06002910660607</v>
      </c>
    </row>
    <row r="19" spans="1:3" ht="42.75">
      <c r="A19" s="21" t="s">
        <v>10</v>
      </c>
      <c r="B19" s="24" t="s">
        <v>11</v>
      </c>
      <c r="C19" s="25">
        <f>[14]С2!F12</f>
        <v>2109.9946743617465</v>
      </c>
    </row>
    <row r="20" spans="1:3" ht="30">
      <c r="A20" s="21" t="s">
        <v>12</v>
      </c>
      <c r="B20" s="24" t="s">
        <v>13</v>
      </c>
      <c r="C20" s="25">
        <f>[14]С3!F12</f>
        <v>504.88326349025533</v>
      </c>
    </row>
    <row r="21" spans="1:3" ht="42.75">
      <c r="A21" s="21" t="s">
        <v>14</v>
      </c>
      <c r="B21" s="24" t="s">
        <v>226</v>
      </c>
      <c r="C21" s="25">
        <f>[14]С4!F12</f>
        <v>439.94249135902368</v>
      </c>
    </row>
    <row r="22" spans="1:3" ht="30">
      <c r="A22" s="21" t="s">
        <v>16</v>
      </c>
      <c r="B22" s="24" t="s">
        <v>227</v>
      </c>
      <c r="C22" s="25">
        <f>[14]С5!F12</f>
        <v>79.057609166352634</v>
      </c>
    </row>
    <row r="23" spans="1:3" ht="43.5" thickBot="1">
      <c r="A23" s="26" t="s">
        <v>18</v>
      </c>
      <c r="B23" s="27" t="s">
        <v>228</v>
      </c>
      <c r="C23" s="28" t="str">
        <f>[14]С6!F12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[14]С1.1!E16</f>
        <v>5100</v>
      </c>
    </row>
    <row r="29" spans="1:3" ht="42.75">
      <c r="A29" s="21" t="s">
        <v>10</v>
      </c>
      <c r="B29" s="32" t="s">
        <v>230</v>
      </c>
      <c r="C29" s="33">
        <f>[14]С1.1!E27</f>
        <v>2414.7333333333331</v>
      </c>
    </row>
    <row r="30" spans="1:3" ht="17.25">
      <c r="A30" s="21" t="s">
        <v>12</v>
      </c>
      <c r="B30" s="32" t="s">
        <v>29</v>
      </c>
      <c r="C30" s="35">
        <f>[14]С1.1!E19</f>
        <v>0.59499999999999997</v>
      </c>
    </row>
    <row r="31" spans="1:3" ht="17.25">
      <c r="A31" s="21" t="s">
        <v>14</v>
      </c>
      <c r="B31" s="32" t="s">
        <v>30</v>
      </c>
      <c r="C31" s="35">
        <f>[14]С1.1!E20</f>
        <v>-0.113</v>
      </c>
    </row>
    <row r="32" spans="1:3" ht="30">
      <c r="A32" s="21" t="s">
        <v>16</v>
      </c>
      <c r="B32" s="36" t="s">
        <v>231</v>
      </c>
      <c r="C32" s="119">
        <f>[14]С1!F13</f>
        <v>176.4</v>
      </c>
    </row>
    <row r="33" spans="1:3">
      <c r="A33" s="21" t="s">
        <v>18</v>
      </c>
      <c r="B33" s="36" t="s">
        <v>32</v>
      </c>
      <c r="C33" s="38">
        <f>[14]С1!F16</f>
        <v>7000</v>
      </c>
    </row>
    <row r="34" spans="1:3" ht="14.25">
      <c r="A34" s="21" t="s">
        <v>33</v>
      </c>
      <c r="B34" s="40" t="s">
        <v>232</v>
      </c>
      <c r="C34" s="41">
        <f>[14]С1!F17</f>
        <v>0.72857142857142854</v>
      </c>
    </row>
    <row r="35" spans="1:3" ht="15.75">
      <c r="A35" s="120" t="s">
        <v>35</v>
      </c>
      <c r="B35" s="43" t="s">
        <v>36</v>
      </c>
      <c r="C35" s="41">
        <f>[14]С1!F20</f>
        <v>21.588411179999994</v>
      </c>
    </row>
    <row r="36" spans="1:3" ht="15.75">
      <c r="A36" s="120" t="s">
        <v>37</v>
      </c>
      <c r="B36" s="44" t="s">
        <v>38</v>
      </c>
      <c r="C36" s="41">
        <f>[14]С1!F21</f>
        <v>20.818139999999996</v>
      </c>
    </row>
    <row r="37" spans="1:3" ht="14.25">
      <c r="A37" s="120" t="s">
        <v>39</v>
      </c>
      <c r="B37" s="45" t="s">
        <v>40</v>
      </c>
      <c r="C37" s="41">
        <f>[14]С1!F22</f>
        <v>1.0369999999999999</v>
      </c>
    </row>
    <row r="38" spans="1:3" ht="53.25" thickBot="1">
      <c r="A38" s="26" t="s">
        <v>41</v>
      </c>
      <c r="B38" s="46" t="s">
        <v>42</v>
      </c>
      <c r="C38" s="47">
        <f>[14]С1!F23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[14]С2.1!E12</f>
        <v>V</v>
      </c>
    </row>
    <row r="42" spans="1:3" ht="25.5">
      <c r="A42" s="21" t="s">
        <v>47</v>
      </c>
      <c r="B42" s="32" t="s">
        <v>48</v>
      </c>
      <c r="C42" s="51" t="str">
        <f>[14]С2.1!E13</f>
        <v>6 и менее баллов</v>
      </c>
    </row>
    <row r="43" spans="1:3" ht="25.5">
      <c r="A43" s="21" t="s">
        <v>49</v>
      </c>
      <c r="B43" s="32" t="s">
        <v>233</v>
      </c>
      <c r="C43" s="51" t="str">
        <f>[14]С2.1!E14</f>
        <v>от 200 до 500</v>
      </c>
    </row>
    <row r="44" spans="1:3" ht="25.5">
      <c r="A44" s="21" t="s">
        <v>51</v>
      </c>
      <c r="B44" s="32" t="s">
        <v>234</v>
      </c>
      <c r="C44" s="52" t="str">
        <f>[14]С2.1!E15</f>
        <v>нет</v>
      </c>
    </row>
    <row r="45" spans="1:3" ht="30">
      <c r="A45" s="21" t="s">
        <v>53</v>
      </c>
      <c r="B45" s="32" t="s">
        <v>54</v>
      </c>
      <c r="C45" s="33">
        <f>[14]С2!F18</f>
        <v>32402.627334033532</v>
      </c>
    </row>
    <row r="46" spans="1:3" ht="30">
      <c r="A46" s="21" t="s">
        <v>55</v>
      </c>
      <c r="B46" s="53" t="s">
        <v>56</v>
      </c>
      <c r="C46" s="33">
        <f>IF([14]С2!F19&gt;0,[14]С2!F19,[14]С2!F20)</f>
        <v>23441.524932855718</v>
      </c>
    </row>
    <row r="47" spans="1:3" ht="25.5">
      <c r="A47" s="21" t="s">
        <v>57</v>
      </c>
      <c r="B47" s="54" t="s">
        <v>58</v>
      </c>
      <c r="C47" s="33">
        <f>[14]С2.1!E19</f>
        <v>-37</v>
      </c>
    </row>
    <row r="48" spans="1:3" ht="25.5">
      <c r="A48" s="21" t="s">
        <v>59</v>
      </c>
      <c r="B48" s="54" t="s">
        <v>60</v>
      </c>
      <c r="C48" s="33" t="str">
        <f>[14]С2.1!E22</f>
        <v>нет</v>
      </c>
    </row>
    <row r="49" spans="1:3" ht="38.25">
      <c r="A49" s="21" t="s">
        <v>61</v>
      </c>
      <c r="B49" s="55" t="s">
        <v>62</v>
      </c>
      <c r="C49" s="33">
        <f>[14]С2.2!E10</f>
        <v>1287</v>
      </c>
    </row>
    <row r="50" spans="1:3" ht="25.5">
      <c r="A50" s="21" t="s">
        <v>63</v>
      </c>
      <c r="B50" s="56" t="s">
        <v>64</v>
      </c>
      <c r="C50" s="33">
        <f>[14]С2.2!E12</f>
        <v>5.97</v>
      </c>
    </row>
    <row r="51" spans="1:3" ht="52.5">
      <c r="A51" s="21" t="s">
        <v>65</v>
      </c>
      <c r="B51" s="57" t="s">
        <v>66</v>
      </c>
      <c r="C51" s="33">
        <f>[14]С2.2!E13</f>
        <v>1</v>
      </c>
    </row>
    <row r="52" spans="1:3" ht="27.75">
      <c r="A52" s="21" t="s">
        <v>67</v>
      </c>
      <c r="B52" s="56" t="s">
        <v>68</v>
      </c>
      <c r="C52" s="33">
        <f>[14]С2.2!E14</f>
        <v>12104</v>
      </c>
    </row>
    <row r="53" spans="1:3" ht="25.5">
      <c r="A53" s="21" t="s">
        <v>69</v>
      </c>
      <c r="B53" s="57" t="s">
        <v>70</v>
      </c>
      <c r="C53" s="35">
        <f>[14]С2.2!E15</f>
        <v>4.8000000000000001E-2</v>
      </c>
    </row>
    <row r="54" spans="1:3">
      <c r="A54" s="21" t="s">
        <v>71</v>
      </c>
      <c r="B54" s="57" t="s">
        <v>72</v>
      </c>
      <c r="C54" s="33">
        <f>[14]С2.2!E16</f>
        <v>1</v>
      </c>
    </row>
    <row r="55" spans="1:3" ht="15.75">
      <c r="A55" s="21" t="s">
        <v>73</v>
      </c>
      <c r="B55" s="59" t="s">
        <v>74</v>
      </c>
      <c r="C55" s="33">
        <f>[14]С2!F21</f>
        <v>1</v>
      </c>
    </row>
    <row r="56" spans="1:3" ht="30">
      <c r="A56" s="60" t="s">
        <v>75</v>
      </c>
      <c r="B56" s="32" t="s">
        <v>235</v>
      </c>
      <c r="C56" s="33">
        <f>[14]С2!F13</f>
        <v>169640.22915965237</v>
      </c>
    </row>
    <row r="57" spans="1:3" ht="30">
      <c r="A57" s="60" t="s">
        <v>77</v>
      </c>
      <c r="B57" s="59" t="s">
        <v>236</v>
      </c>
      <c r="C57" s="33">
        <f>[14]С2!F14</f>
        <v>113455</v>
      </c>
    </row>
    <row r="58" spans="1:3" ht="15.75">
      <c r="A58" s="60" t="s">
        <v>79</v>
      </c>
      <c r="B58" s="61" t="s">
        <v>80</v>
      </c>
      <c r="C58" s="41">
        <f>[14]С2!F15</f>
        <v>1.071</v>
      </c>
    </row>
    <row r="59" spans="1:3" ht="15.75">
      <c r="A59" s="60" t="s">
        <v>81</v>
      </c>
      <c r="B59" s="61" t="s">
        <v>82</v>
      </c>
      <c r="C59" s="41">
        <f>[14]С2!F16</f>
        <v>1</v>
      </c>
    </row>
    <row r="60" spans="1:3" ht="17.25">
      <c r="A60" s="60" t="s">
        <v>83</v>
      </c>
      <c r="B60" s="59" t="s">
        <v>84</v>
      </c>
      <c r="C60" s="33">
        <f>[14]С2!F17</f>
        <v>1.01</v>
      </c>
    </row>
    <row r="61" spans="1:3" s="66" customFormat="1" ht="14.25">
      <c r="A61" s="60" t="s">
        <v>85</v>
      </c>
      <c r="B61" s="64" t="s">
        <v>86</v>
      </c>
      <c r="C61" s="65">
        <f>[14]С2!F33</f>
        <v>10</v>
      </c>
    </row>
    <row r="62" spans="1:3" ht="30">
      <c r="A62" s="60" t="s">
        <v>87</v>
      </c>
      <c r="B62" s="67" t="s">
        <v>88</v>
      </c>
      <c r="C62" s="33">
        <f>[14]С2!F26</f>
        <v>1570.1802537861311</v>
      </c>
    </row>
    <row r="63" spans="1:3" ht="17.25">
      <c r="A63" s="60" t="s">
        <v>89</v>
      </c>
      <c r="B63" s="53" t="s">
        <v>237</v>
      </c>
      <c r="C63" s="33">
        <f>[14]С2!F27</f>
        <v>0.27046175099999997</v>
      </c>
    </row>
    <row r="64" spans="1:3" ht="17.25">
      <c r="A64" s="60" t="s">
        <v>91</v>
      </c>
      <c r="B64" s="59" t="s">
        <v>238</v>
      </c>
      <c r="C64" s="65">
        <f>[14]С2!F28</f>
        <v>4200</v>
      </c>
    </row>
    <row r="65" spans="1:3" ht="42.75">
      <c r="A65" s="60" t="s">
        <v>93</v>
      </c>
      <c r="B65" s="32" t="s">
        <v>239</v>
      </c>
      <c r="C65" s="33">
        <f>[14]С2!F22</f>
        <v>35717.748653137714</v>
      </c>
    </row>
    <row r="66" spans="1:3" ht="30">
      <c r="A66" s="60" t="s">
        <v>95</v>
      </c>
      <c r="B66" s="61" t="s">
        <v>240</v>
      </c>
      <c r="C66" s="33">
        <f>[14]С2!F23</f>
        <v>1990</v>
      </c>
    </row>
    <row r="67" spans="1:3" ht="30">
      <c r="A67" s="60" t="s">
        <v>97</v>
      </c>
      <c r="B67" s="53" t="s">
        <v>98</v>
      </c>
      <c r="C67" s="33">
        <f>[14]С2.1!E27</f>
        <v>14307.876789999998</v>
      </c>
    </row>
    <row r="68" spans="1:3" ht="38.25">
      <c r="A68" s="60" t="s">
        <v>99</v>
      </c>
      <c r="B68" s="68" t="s">
        <v>100</v>
      </c>
      <c r="C68" s="52">
        <f>[14]С2.3!E21</f>
        <v>0</v>
      </c>
    </row>
    <row r="69" spans="1:3" ht="25.5">
      <c r="A69" s="60" t="s">
        <v>101</v>
      </c>
      <c r="B69" s="69" t="s">
        <v>102</v>
      </c>
      <c r="C69" s="70">
        <f>[14]С2.3!E11</f>
        <v>9.89</v>
      </c>
    </row>
    <row r="70" spans="1:3" ht="25.5">
      <c r="A70" s="60" t="s">
        <v>103</v>
      </c>
      <c r="B70" s="69" t="s">
        <v>104</v>
      </c>
      <c r="C70" s="65">
        <f>[14]С2.3!E13</f>
        <v>300</v>
      </c>
    </row>
    <row r="71" spans="1:3" ht="25.5">
      <c r="A71" s="60" t="s">
        <v>105</v>
      </c>
      <c r="B71" s="68" t="s">
        <v>106</v>
      </c>
      <c r="C71" s="71">
        <f>IF([14]С2.3!E22&gt;0,[14]С2.3!E22,[14]С2.3!E14)</f>
        <v>61211</v>
      </c>
    </row>
    <row r="72" spans="1:3" ht="38.25">
      <c r="A72" s="60" t="s">
        <v>107</v>
      </c>
      <c r="B72" s="68" t="s">
        <v>108</v>
      </c>
      <c r="C72" s="71">
        <f>IF([14]С2.3!E23&gt;0,[14]С2.3!E23,[14]С2.3!E15)</f>
        <v>45675</v>
      </c>
    </row>
    <row r="73" spans="1:3" ht="30">
      <c r="A73" s="60" t="s">
        <v>109</v>
      </c>
      <c r="B73" s="53" t="s">
        <v>110</v>
      </c>
      <c r="C73" s="33">
        <f>[14]С2.1!E28</f>
        <v>9541.9567200000001</v>
      </c>
    </row>
    <row r="74" spans="1:3" ht="38.25">
      <c r="A74" s="60" t="s">
        <v>111</v>
      </c>
      <c r="B74" s="68" t="s">
        <v>112</v>
      </c>
      <c r="C74" s="52">
        <f>[14]С2.3!E25</f>
        <v>0</v>
      </c>
    </row>
    <row r="75" spans="1:3" ht="25.5">
      <c r="A75" s="60" t="s">
        <v>113</v>
      </c>
      <c r="B75" s="69" t="s">
        <v>114</v>
      </c>
      <c r="C75" s="70">
        <f>[14]С2.3!E12</f>
        <v>0.56000000000000005</v>
      </c>
    </row>
    <row r="76" spans="1:3" ht="25.5">
      <c r="A76" s="60" t="s">
        <v>115</v>
      </c>
      <c r="B76" s="69" t="s">
        <v>104</v>
      </c>
      <c r="C76" s="65">
        <f>[14]С2.3!E13</f>
        <v>300</v>
      </c>
    </row>
    <row r="77" spans="1:3" ht="25.5">
      <c r="A77" s="60" t="s">
        <v>116</v>
      </c>
      <c r="B77" s="72" t="s">
        <v>117</v>
      </c>
      <c r="C77" s="71">
        <f>IF([14]С2.3!E26&gt;0,[14]С2.3!E26,[14]С2.3!E16)</f>
        <v>65637</v>
      </c>
    </row>
    <row r="78" spans="1:3" ht="38.25">
      <c r="A78" s="60" t="s">
        <v>118</v>
      </c>
      <c r="B78" s="72" t="s">
        <v>119</v>
      </c>
      <c r="C78" s="71">
        <f>IF([14]С2.3!E27&gt;0,[14]С2.3!E27,[14]С2.3!E17)</f>
        <v>31684</v>
      </c>
    </row>
    <row r="79" spans="1:3" ht="17.25">
      <c r="A79" s="60" t="s">
        <v>122</v>
      </c>
      <c r="B79" s="32" t="s">
        <v>123</v>
      </c>
      <c r="C79" s="35">
        <f>[14]С2!F29</f>
        <v>0.128978033685065</v>
      </c>
    </row>
    <row r="80" spans="1:3" ht="30">
      <c r="A80" s="60" t="s">
        <v>124</v>
      </c>
      <c r="B80" s="53" t="s">
        <v>125</v>
      </c>
      <c r="C80" s="73">
        <f>[14]С2!F30</f>
        <v>0.11668498168498169</v>
      </c>
    </row>
    <row r="81" spans="1:3" ht="17.25">
      <c r="A81" s="60" t="s">
        <v>126</v>
      </c>
      <c r="B81" s="74" t="s">
        <v>127</v>
      </c>
      <c r="C81" s="35">
        <f>[14]С2!F31</f>
        <v>0.13880000000000001</v>
      </c>
    </row>
    <row r="82" spans="1:3" s="66" customFormat="1" ht="18" thickBot="1">
      <c r="A82" s="75" t="s">
        <v>128</v>
      </c>
      <c r="B82" s="76" t="s">
        <v>129</v>
      </c>
      <c r="C82" s="77">
        <f>[14]С2!F32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[14]С3!F14</f>
        <v>7018.8643800822501</v>
      </c>
    </row>
    <row r="86" spans="1:3" s="66" customFormat="1" ht="42.75">
      <c r="A86" s="79" t="s">
        <v>134</v>
      </c>
      <c r="B86" s="53" t="s">
        <v>135</v>
      </c>
      <c r="C86" s="80">
        <f>[14]С3!F15</f>
        <v>0.2</v>
      </c>
    </row>
    <row r="87" spans="1:3" s="66" customFormat="1" ht="14.25">
      <c r="A87" s="79" t="s">
        <v>136</v>
      </c>
      <c r="B87" s="81" t="s">
        <v>137</v>
      </c>
      <c r="C87" s="65">
        <f>[14]С3!F18</f>
        <v>15</v>
      </c>
    </row>
    <row r="88" spans="1:3" s="66" customFormat="1" ht="17.25">
      <c r="A88" s="79" t="s">
        <v>138</v>
      </c>
      <c r="B88" s="32" t="s">
        <v>139</v>
      </c>
      <c r="C88" s="33">
        <f>[14]С3!F19</f>
        <v>3487.1555421534131</v>
      </c>
    </row>
    <row r="89" spans="1:3" s="66" customFormat="1" ht="55.5">
      <c r="A89" s="79" t="s">
        <v>140</v>
      </c>
      <c r="B89" s="53" t="s">
        <v>141</v>
      </c>
      <c r="C89" s="82">
        <f>[14]С3!F20</f>
        <v>2.1999999999999999E-2</v>
      </c>
    </row>
    <row r="90" spans="1:3" s="66" customFormat="1" ht="14.25">
      <c r="A90" s="79" t="s">
        <v>142</v>
      </c>
      <c r="B90" s="59" t="s">
        <v>86</v>
      </c>
      <c r="C90" s="65">
        <f>[14]С3!F21</f>
        <v>10</v>
      </c>
    </row>
    <row r="91" spans="1:3" s="66" customFormat="1" ht="17.25">
      <c r="A91" s="79" t="s">
        <v>143</v>
      </c>
      <c r="B91" s="32" t="s">
        <v>144</v>
      </c>
      <c r="C91" s="33">
        <f>[14]С3!F22</f>
        <v>4.7105407613583932</v>
      </c>
    </row>
    <row r="92" spans="1:3" s="66" customFormat="1" ht="55.5">
      <c r="A92" s="79" t="s">
        <v>145</v>
      </c>
      <c r="B92" s="53" t="s">
        <v>146</v>
      </c>
      <c r="C92" s="82">
        <f>[14]С3!F23</f>
        <v>3.0000000000000001E-3</v>
      </c>
    </row>
    <row r="93" spans="1:3" s="66" customFormat="1" ht="27.75" thickBot="1">
      <c r="A93" s="83" t="s">
        <v>147</v>
      </c>
      <c r="B93" s="84" t="s">
        <v>241</v>
      </c>
      <c r="C93" s="85">
        <f>[14]С3!F24</f>
        <v>1570.1802537861311</v>
      </c>
    </row>
    <row r="94" spans="1:3" ht="13.5" thickBot="1">
      <c r="A94" s="48"/>
      <c r="B94" s="49"/>
      <c r="C94" s="14"/>
    </row>
    <row r="95" spans="1:3" ht="30" customHeight="1">
      <c r="A95" s="86" t="s">
        <v>148</v>
      </c>
      <c r="B95" s="142" t="s">
        <v>149</v>
      </c>
      <c r="C95" s="142"/>
    </row>
    <row r="96" spans="1:3" ht="30">
      <c r="A96" s="60" t="s">
        <v>150</v>
      </c>
      <c r="B96" s="32" t="s">
        <v>242</v>
      </c>
      <c r="C96" s="33">
        <f>[14]С4!F16</f>
        <v>1652.5</v>
      </c>
    </row>
    <row r="97" spans="1:3" ht="30">
      <c r="A97" s="60" t="s">
        <v>152</v>
      </c>
      <c r="B97" s="59" t="s">
        <v>243</v>
      </c>
      <c r="C97" s="33">
        <f>[14]С4!F17</f>
        <v>73547</v>
      </c>
    </row>
    <row r="98" spans="1:3" ht="17.25">
      <c r="A98" s="60" t="s">
        <v>154</v>
      </c>
      <c r="B98" s="59" t="s">
        <v>155</v>
      </c>
      <c r="C98" s="41">
        <f>[14]С4!F18</f>
        <v>0.02</v>
      </c>
    </row>
    <row r="99" spans="1:3" ht="30">
      <c r="A99" s="60" t="s">
        <v>156</v>
      </c>
      <c r="B99" s="59" t="s">
        <v>157</v>
      </c>
      <c r="C99" s="33">
        <f>[14]С4!F19</f>
        <v>12104</v>
      </c>
    </row>
    <row r="100" spans="1:3" ht="31.5">
      <c r="A100" s="60" t="s">
        <v>158</v>
      </c>
      <c r="B100" s="59" t="s">
        <v>159</v>
      </c>
      <c r="C100" s="41">
        <f>[14]С4!F20</f>
        <v>1.4999999999999999E-2</v>
      </c>
    </row>
    <row r="101" spans="1:3" ht="30">
      <c r="A101" s="60" t="s">
        <v>160</v>
      </c>
      <c r="B101" s="32" t="s">
        <v>244</v>
      </c>
      <c r="C101" s="33">
        <f>[14]С4!F21</f>
        <v>1933.1949342509995</v>
      </c>
    </row>
    <row r="102" spans="1:3" ht="24" customHeight="1">
      <c r="A102" s="60" t="s">
        <v>162</v>
      </c>
      <c r="B102" s="53" t="s">
        <v>163</v>
      </c>
      <c r="C102" s="34">
        <f>IF([14]С4.2!F8="да",[14]С4.2!D21,[14]С4.2!D15)</f>
        <v>0</v>
      </c>
    </row>
    <row r="103" spans="1:3" ht="68.25">
      <c r="A103" s="60" t="s">
        <v>164</v>
      </c>
      <c r="B103" s="53" t="s">
        <v>165</v>
      </c>
      <c r="C103" s="33">
        <f>[14]С4!F22</f>
        <v>3.6112641666666665</v>
      </c>
    </row>
    <row r="104" spans="1:3" ht="30">
      <c r="A104" s="60" t="s">
        <v>166</v>
      </c>
      <c r="B104" s="59" t="s">
        <v>245</v>
      </c>
      <c r="C104" s="33">
        <f>[14]С4!F23</f>
        <v>180</v>
      </c>
    </row>
    <row r="105" spans="1:3" ht="14.25">
      <c r="A105" s="60" t="s">
        <v>168</v>
      </c>
      <c r="B105" s="53" t="s">
        <v>169</v>
      </c>
      <c r="C105" s="33">
        <f>[14]С4!F24</f>
        <v>8497.1999999999989</v>
      </c>
    </row>
    <row r="106" spans="1:3" ht="14.25">
      <c r="A106" s="60" t="s">
        <v>170</v>
      </c>
      <c r="B106" s="59" t="s">
        <v>171</v>
      </c>
      <c r="C106" s="41">
        <f>[14]С4!F25</f>
        <v>0.35</v>
      </c>
    </row>
    <row r="107" spans="1:3" ht="17.25">
      <c r="A107" s="60" t="s">
        <v>172</v>
      </c>
      <c r="B107" s="32" t="s">
        <v>173</v>
      </c>
      <c r="C107" s="33">
        <f>[14]С4!F26</f>
        <v>73.927139999999994</v>
      </c>
    </row>
    <row r="108" spans="1:3" ht="25.5">
      <c r="A108" s="60" t="s">
        <v>174</v>
      </c>
      <c r="B108" s="53" t="s">
        <v>100</v>
      </c>
      <c r="C108" s="34">
        <f>[14]С4.3!E16</f>
        <v>0</v>
      </c>
    </row>
    <row r="109" spans="1:3" ht="25.5">
      <c r="A109" s="60" t="s">
        <v>175</v>
      </c>
      <c r="B109" s="53" t="s">
        <v>176</v>
      </c>
      <c r="C109" s="33">
        <f>[14]С4.3!E17</f>
        <v>20.18</v>
      </c>
    </row>
    <row r="110" spans="1:3" ht="38.25">
      <c r="A110" s="60" t="s">
        <v>177</v>
      </c>
      <c r="B110" s="53" t="s">
        <v>112</v>
      </c>
      <c r="C110" s="34">
        <f>[14]С4.3!E18</f>
        <v>0</v>
      </c>
    </row>
    <row r="111" spans="1:3">
      <c r="A111" s="60" t="s">
        <v>178</v>
      </c>
      <c r="B111" s="53" t="s">
        <v>179</v>
      </c>
      <c r="C111" s="33">
        <f>[14]С4.3!E19</f>
        <v>15.47</v>
      </c>
    </row>
    <row r="112" spans="1:3">
      <c r="A112" s="60" t="s">
        <v>180</v>
      </c>
      <c r="B112" s="59" t="s">
        <v>181</v>
      </c>
      <c r="C112" s="33">
        <f>[14]С4.3!E11</f>
        <v>1871</v>
      </c>
    </row>
    <row r="113" spans="1:3">
      <c r="A113" s="60" t="s">
        <v>182</v>
      </c>
      <c r="B113" s="59" t="s">
        <v>183</v>
      </c>
      <c r="C113" s="52">
        <f>[14]С4.3!E12</f>
        <v>1636</v>
      </c>
    </row>
    <row r="114" spans="1:3">
      <c r="A114" s="60" t="s">
        <v>184</v>
      </c>
      <c r="B114" s="59" t="s">
        <v>185</v>
      </c>
      <c r="C114" s="52">
        <f>[14]С4.3!E13</f>
        <v>204</v>
      </c>
    </row>
    <row r="115" spans="1:3" ht="30">
      <c r="A115" s="60" t="s">
        <v>186</v>
      </c>
      <c r="B115" s="32" t="s">
        <v>246</v>
      </c>
      <c r="C115" s="33">
        <f>[14]С4!F27</f>
        <v>1467.2629458895778</v>
      </c>
    </row>
    <row r="116" spans="1:3" ht="25.5">
      <c r="A116" s="60" t="s">
        <v>188</v>
      </c>
      <c r="B116" s="53" t="s">
        <v>247</v>
      </c>
      <c r="C116" s="33">
        <f>[14]С4!F28</f>
        <v>1126.9300659674177</v>
      </c>
    </row>
    <row r="117" spans="1:3" ht="42.75">
      <c r="A117" s="60" t="s">
        <v>190</v>
      </c>
      <c r="B117" s="53" t="s">
        <v>191</v>
      </c>
      <c r="C117" s="33">
        <f>[14]С4!F29</f>
        <v>340.33287992216015</v>
      </c>
    </row>
    <row r="118" spans="1:3" ht="30">
      <c r="A118" s="60" t="s">
        <v>192</v>
      </c>
      <c r="B118" s="40" t="s">
        <v>193</v>
      </c>
      <c r="C118" s="33">
        <f>[14]С4!F30</f>
        <v>2072.0208167597348</v>
      </c>
    </row>
    <row r="119" spans="1:3" ht="42.75">
      <c r="A119" s="60" t="s">
        <v>248</v>
      </c>
      <c r="B119" s="90" t="s">
        <v>249</v>
      </c>
      <c r="C119" s="33">
        <f>[14]С4!F33</f>
        <v>1325.7564400041779</v>
      </c>
    </row>
    <row r="120" spans="1:3" ht="30">
      <c r="A120" s="60" t="s">
        <v>250</v>
      </c>
      <c r="B120" s="123" t="s">
        <v>251</v>
      </c>
      <c r="C120" s="33">
        <f>[14]С4!F35</f>
        <v>17.040680999999999</v>
      </c>
    </row>
    <row r="121" spans="1:3" ht="14.25">
      <c r="A121" s="60" t="s">
        <v>252</v>
      </c>
      <c r="B121" s="56" t="s">
        <v>253</v>
      </c>
      <c r="C121" s="33">
        <f>[14]С4!F36</f>
        <v>14319.9</v>
      </c>
    </row>
    <row r="122" spans="1:3" ht="28.5" thickBot="1">
      <c r="A122" s="75" t="s">
        <v>254</v>
      </c>
      <c r="B122" s="124" t="s">
        <v>255</v>
      </c>
      <c r="C122" s="85">
        <f>[14]С4!F37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[14]С5!F17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[14]С2!F37</f>
        <v>20.818139999999996</v>
      </c>
    </row>
    <row r="136" spans="1:3" ht="14.25">
      <c r="A136" s="60" t="s">
        <v>214</v>
      </c>
      <c r="B136" s="130" t="s">
        <v>215</v>
      </c>
      <c r="C136" s="33">
        <f>[14]С2!F38</f>
        <v>7</v>
      </c>
    </row>
    <row r="137" spans="1:3" ht="17.25">
      <c r="A137" s="60" t="s">
        <v>216</v>
      </c>
      <c r="B137" s="130" t="s">
        <v>217</v>
      </c>
      <c r="C137" s="33">
        <f>[14]С2!F40</f>
        <v>0.97</v>
      </c>
    </row>
    <row r="138" spans="1:3" ht="15" thickBot="1">
      <c r="A138" s="75" t="s">
        <v>218</v>
      </c>
      <c r="B138" s="131" t="s">
        <v>219</v>
      </c>
      <c r="C138" s="47">
        <f>[14]С2!F42</f>
        <v>0.35</v>
      </c>
    </row>
    <row r="139" spans="1:3" s="88" customFormat="1" ht="13.5" thickBot="1">
      <c r="A139" s="48"/>
      <c r="B139" s="49"/>
      <c r="C139" s="14"/>
    </row>
    <row r="140" spans="1:3" ht="30">
      <c r="A140" s="86" t="s">
        <v>220</v>
      </c>
      <c r="B140" s="96" t="s">
        <v>258</v>
      </c>
      <c r="C140" s="132">
        <f>[14]С2!F35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[14]С2.5!$E$11</f>
        <v>-2.9000000000000026E-2</v>
      </c>
    </row>
    <row r="144" spans="1:3">
      <c r="A144" s="99"/>
      <c r="B144" s="106">
        <f>B143+1</f>
        <v>2021</v>
      </c>
      <c r="C144" s="137">
        <f>[14]С2.5!$F$11</f>
        <v>0.245</v>
      </c>
    </row>
    <row r="145" spans="1:3">
      <c r="A145" s="99"/>
      <c r="B145" s="106">
        <f t="shared" ref="B145:B208" si="0">B144+1</f>
        <v>2022</v>
      </c>
      <c r="C145" s="137">
        <f>[14]С2.5!$G$11</f>
        <v>0.121</v>
      </c>
    </row>
    <row r="146" spans="1:3" ht="13.5" thickBot="1">
      <c r="A146" s="99"/>
      <c r="B146" s="108">
        <f t="shared" si="0"/>
        <v>2023</v>
      </c>
      <c r="C146" s="138">
        <f>[14]С2.5!$H$11</f>
        <v>0.02</v>
      </c>
    </row>
    <row r="147" spans="1:3" hidden="1">
      <c r="A147" s="99"/>
      <c r="B147" s="139">
        <f t="shared" si="0"/>
        <v>2024</v>
      </c>
      <c r="C147" s="140">
        <f>[14]С2.5!$I$11</f>
        <v>-2.93E-2</v>
      </c>
    </row>
    <row r="148" spans="1:3" hidden="1">
      <c r="A148" s="99"/>
      <c r="B148" s="106">
        <f t="shared" si="0"/>
        <v>2025</v>
      </c>
      <c r="C148" s="137">
        <f>[14]С2.5!$J$11</f>
        <v>0.21215960863291</v>
      </c>
    </row>
    <row r="149" spans="1:3" hidden="1">
      <c r="A149" s="99"/>
      <c r="B149" s="106">
        <f t="shared" si="0"/>
        <v>2026</v>
      </c>
      <c r="C149" s="137">
        <f>[14]С2.5!$K$11</f>
        <v>3.5813361771260002E-2</v>
      </c>
    </row>
    <row r="150" spans="1:3" hidden="1">
      <c r="A150" s="99"/>
      <c r="B150" s="106">
        <f t="shared" si="0"/>
        <v>2027</v>
      </c>
      <c r="C150" s="137">
        <f>[14]С2.5!$L$11</f>
        <v>3.2682303599220003E-2</v>
      </c>
    </row>
    <row r="151" spans="1:3" hidden="1">
      <c r="A151" s="99"/>
      <c r="B151" s="106">
        <f t="shared" si="0"/>
        <v>2028</v>
      </c>
      <c r="C151" s="137">
        <f>[14]С2.5!$M$11</f>
        <v>0</v>
      </c>
    </row>
    <row r="152" spans="1:3" hidden="1">
      <c r="A152" s="99"/>
      <c r="B152" s="106">
        <f t="shared" si="0"/>
        <v>2029</v>
      </c>
      <c r="C152" s="137">
        <f>[14]С2.5!$N$11</f>
        <v>0</v>
      </c>
    </row>
    <row r="153" spans="1:3" hidden="1">
      <c r="A153" s="99"/>
      <c r="B153" s="106">
        <f t="shared" si="0"/>
        <v>2030</v>
      </c>
      <c r="C153" s="137">
        <f>[14]С2.5!$O$11</f>
        <v>0</v>
      </c>
    </row>
    <row r="154" spans="1:3" hidden="1">
      <c r="A154" s="99"/>
      <c r="B154" s="106">
        <f t="shared" si="0"/>
        <v>2031</v>
      </c>
      <c r="C154" s="137">
        <f>[14]С2.5!$P$11</f>
        <v>0</v>
      </c>
    </row>
    <row r="155" spans="1:3" hidden="1">
      <c r="A155" s="88"/>
      <c r="B155" s="106">
        <f t="shared" si="0"/>
        <v>2032</v>
      </c>
      <c r="C155" s="137">
        <f>[14]С2.5!$Q$11</f>
        <v>0</v>
      </c>
    </row>
    <row r="156" spans="1:3" hidden="1">
      <c r="A156" s="88"/>
      <c r="B156" s="106">
        <f t="shared" si="0"/>
        <v>2033</v>
      </c>
      <c r="C156" s="137">
        <f>[14]С2.5!$R$11</f>
        <v>0</v>
      </c>
    </row>
    <row r="157" spans="1:3" hidden="1">
      <c r="B157" s="106">
        <f t="shared" si="0"/>
        <v>2034</v>
      </c>
      <c r="C157" s="137">
        <f>[14]С2.5!$S$11</f>
        <v>0</v>
      </c>
    </row>
    <row r="158" spans="1:3" hidden="1">
      <c r="B158" s="106">
        <f t="shared" si="0"/>
        <v>2035</v>
      </c>
      <c r="C158" s="137">
        <f>[14]С2.5!$T$11</f>
        <v>0</v>
      </c>
    </row>
    <row r="159" spans="1:3" hidden="1">
      <c r="B159" s="106">
        <f t="shared" si="0"/>
        <v>2036</v>
      </c>
      <c r="C159" s="137">
        <f>[14]С2.5!$U$11</f>
        <v>0</v>
      </c>
    </row>
    <row r="160" spans="1:3" hidden="1">
      <c r="B160" s="106">
        <f t="shared" si="0"/>
        <v>2037</v>
      </c>
      <c r="C160" s="137">
        <f>[14]С2.5!$V$11</f>
        <v>0</v>
      </c>
    </row>
    <row r="161" spans="2:3" hidden="1">
      <c r="B161" s="106">
        <f t="shared" si="0"/>
        <v>2038</v>
      </c>
      <c r="C161" s="137">
        <f>[14]С2.5!$W$11</f>
        <v>0</v>
      </c>
    </row>
    <row r="162" spans="2:3" hidden="1">
      <c r="B162" s="106">
        <f t="shared" si="0"/>
        <v>2039</v>
      </c>
      <c r="C162" s="137">
        <f>[14]С2.5!$X$11</f>
        <v>0</v>
      </c>
    </row>
    <row r="163" spans="2:3" hidden="1">
      <c r="B163" s="106">
        <f t="shared" si="0"/>
        <v>2040</v>
      </c>
      <c r="C163" s="137">
        <f>[14]С2.5!$Y$11</f>
        <v>0</v>
      </c>
    </row>
    <row r="164" spans="2:3" hidden="1">
      <c r="B164" s="106">
        <f t="shared" si="0"/>
        <v>2041</v>
      </c>
      <c r="C164" s="137">
        <f>[14]С2.5!$Z$11</f>
        <v>0</v>
      </c>
    </row>
    <row r="165" spans="2:3" hidden="1">
      <c r="B165" s="106">
        <f t="shared" si="0"/>
        <v>2042</v>
      </c>
      <c r="C165" s="137">
        <f>[14]С2.5!$AA$11</f>
        <v>0</v>
      </c>
    </row>
    <row r="166" spans="2:3" hidden="1">
      <c r="B166" s="106">
        <f t="shared" si="0"/>
        <v>2043</v>
      </c>
      <c r="C166" s="137">
        <f>[14]С2.5!$AB$11</f>
        <v>0</v>
      </c>
    </row>
    <row r="167" spans="2:3" hidden="1">
      <c r="B167" s="106">
        <f t="shared" si="0"/>
        <v>2044</v>
      </c>
      <c r="C167" s="137">
        <f>[14]С2.5!$AC$11</f>
        <v>0</v>
      </c>
    </row>
    <row r="168" spans="2:3" hidden="1">
      <c r="B168" s="106">
        <f t="shared" si="0"/>
        <v>2045</v>
      </c>
      <c r="C168" s="137">
        <f>[14]С2.5!$AD$11</f>
        <v>0</v>
      </c>
    </row>
    <row r="169" spans="2:3" hidden="1">
      <c r="B169" s="106">
        <f t="shared" si="0"/>
        <v>2046</v>
      </c>
      <c r="C169" s="137">
        <f>[14]С2.5!$AE$11</f>
        <v>0</v>
      </c>
    </row>
    <row r="170" spans="2:3" hidden="1">
      <c r="B170" s="106">
        <f t="shared" si="0"/>
        <v>2047</v>
      </c>
      <c r="C170" s="137">
        <f>[14]С2.5!$AF$11</f>
        <v>0</v>
      </c>
    </row>
    <row r="171" spans="2:3" hidden="1">
      <c r="B171" s="106">
        <f t="shared" si="0"/>
        <v>2048</v>
      </c>
      <c r="C171" s="137">
        <f>[14]С2.5!$AG$11</f>
        <v>0</v>
      </c>
    </row>
    <row r="172" spans="2:3" hidden="1">
      <c r="B172" s="106">
        <f t="shared" si="0"/>
        <v>2049</v>
      </c>
      <c r="C172" s="137">
        <f>[14]С2.5!$AH$11</f>
        <v>0</v>
      </c>
    </row>
    <row r="173" spans="2:3" hidden="1">
      <c r="B173" s="106">
        <f t="shared" si="0"/>
        <v>2050</v>
      </c>
      <c r="C173" s="137">
        <f>[14]С2.5!$AI$11</f>
        <v>0</v>
      </c>
    </row>
    <row r="174" spans="2:3" hidden="1">
      <c r="B174" s="106">
        <f t="shared" si="0"/>
        <v>2051</v>
      </c>
      <c r="C174" s="137">
        <f>[14]С2.5!$AJ$11</f>
        <v>0</v>
      </c>
    </row>
    <row r="175" spans="2:3" hidden="1">
      <c r="B175" s="106">
        <f t="shared" si="0"/>
        <v>2052</v>
      </c>
      <c r="C175" s="137">
        <f>[14]С2.5!$AK$11</f>
        <v>0</v>
      </c>
    </row>
    <row r="176" spans="2:3" hidden="1">
      <c r="B176" s="106">
        <f t="shared" si="0"/>
        <v>2053</v>
      </c>
      <c r="C176" s="137">
        <f>[14]С2.5!$AL$11</f>
        <v>0</v>
      </c>
    </row>
    <row r="177" spans="2:3" hidden="1">
      <c r="B177" s="106">
        <f t="shared" si="0"/>
        <v>2054</v>
      </c>
      <c r="C177" s="137">
        <f>[14]С2.5!$AM$11</f>
        <v>0</v>
      </c>
    </row>
    <row r="178" spans="2:3" hidden="1">
      <c r="B178" s="106">
        <f t="shared" si="0"/>
        <v>2055</v>
      </c>
      <c r="C178" s="137">
        <f>[14]С2.5!$AN$11</f>
        <v>0</v>
      </c>
    </row>
    <row r="179" spans="2:3" hidden="1">
      <c r="B179" s="106">
        <f t="shared" si="0"/>
        <v>2056</v>
      </c>
      <c r="C179" s="137">
        <f>[14]С2.5!$AO$11</f>
        <v>0</v>
      </c>
    </row>
    <row r="180" spans="2:3" hidden="1">
      <c r="B180" s="106">
        <f t="shared" si="0"/>
        <v>2057</v>
      </c>
      <c r="C180" s="137">
        <f>[14]С2.5!$AP$11</f>
        <v>0</v>
      </c>
    </row>
    <row r="181" spans="2:3" hidden="1">
      <c r="B181" s="106">
        <f t="shared" si="0"/>
        <v>2058</v>
      </c>
      <c r="C181" s="137">
        <f>[14]С2.5!$AQ$11</f>
        <v>0</v>
      </c>
    </row>
    <row r="182" spans="2:3" hidden="1">
      <c r="B182" s="106">
        <f t="shared" si="0"/>
        <v>2059</v>
      </c>
      <c r="C182" s="137">
        <f>[14]С2.5!$AR$11</f>
        <v>0</v>
      </c>
    </row>
    <row r="183" spans="2:3" hidden="1">
      <c r="B183" s="106">
        <f t="shared" si="0"/>
        <v>2060</v>
      </c>
      <c r="C183" s="137">
        <f>[14]С2.5!$AS$11</f>
        <v>0</v>
      </c>
    </row>
    <row r="184" spans="2:3" hidden="1">
      <c r="B184" s="106">
        <f t="shared" si="0"/>
        <v>2061</v>
      </c>
      <c r="C184" s="137">
        <f>[14]С2.5!$AT$11</f>
        <v>0</v>
      </c>
    </row>
    <row r="185" spans="2:3" hidden="1">
      <c r="B185" s="106">
        <f t="shared" si="0"/>
        <v>2062</v>
      </c>
      <c r="C185" s="137">
        <f>[14]С2.5!$AU$11</f>
        <v>0</v>
      </c>
    </row>
    <row r="186" spans="2:3" hidden="1">
      <c r="B186" s="106">
        <f t="shared" si="0"/>
        <v>2063</v>
      </c>
      <c r="C186" s="137">
        <f>[14]С2.5!$AV$11</f>
        <v>0</v>
      </c>
    </row>
    <row r="187" spans="2:3" hidden="1">
      <c r="B187" s="106">
        <f t="shared" si="0"/>
        <v>2064</v>
      </c>
      <c r="C187" s="137">
        <f>[14]С2.5!$AW$11</f>
        <v>0</v>
      </c>
    </row>
    <row r="188" spans="2:3" hidden="1">
      <c r="B188" s="106">
        <f t="shared" si="0"/>
        <v>2065</v>
      </c>
      <c r="C188" s="137">
        <f>[14]С2.5!$AX$11</f>
        <v>0</v>
      </c>
    </row>
    <row r="189" spans="2:3" hidden="1">
      <c r="B189" s="106">
        <f t="shared" si="0"/>
        <v>2066</v>
      </c>
      <c r="C189" s="137">
        <f>[14]С2.5!$AY$11</f>
        <v>0</v>
      </c>
    </row>
    <row r="190" spans="2:3" hidden="1">
      <c r="B190" s="106">
        <f t="shared" si="0"/>
        <v>2067</v>
      </c>
      <c r="C190" s="137">
        <f>[14]С2.5!$AZ$11</f>
        <v>0</v>
      </c>
    </row>
    <row r="191" spans="2:3" hidden="1">
      <c r="B191" s="106">
        <f t="shared" si="0"/>
        <v>2068</v>
      </c>
      <c r="C191" s="137">
        <f>[14]С2.5!$BA$11</f>
        <v>0</v>
      </c>
    </row>
    <row r="192" spans="2:3" hidden="1">
      <c r="B192" s="106">
        <f t="shared" si="0"/>
        <v>2069</v>
      </c>
      <c r="C192" s="137">
        <f>[14]С2.5!$BB$11</f>
        <v>0</v>
      </c>
    </row>
    <row r="193" spans="2:3" hidden="1">
      <c r="B193" s="106">
        <f t="shared" si="0"/>
        <v>2070</v>
      </c>
      <c r="C193" s="137">
        <f>[14]С2.5!$BC$11</f>
        <v>0</v>
      </c>
    </row>
    <row r="194" spans="2:3" hidden="1">
      <c r="B194" s="106">
        <f t="shared" si="0"/>
        <v>2071</v>
      </c>
      <c r="C194" s="137">
        <f>[14]С2.5!$BD$11</f>
        <v>0</v>
      </c>
    </row>
    <row r="195" spans="2:3" hidden="1">
      <c r="B195" s="106">
        <f t="shared" si="0"/>
        <v>2072</v>
      </c>
      <c r="C195" s="137">
        <f>[14]С2.5!$BE$11</f>
        <v>0</v>
      </c>
    </row>
    <row r="196" spans="2:3" hidden="1">
      <c r="B196" s="106">
        <f t="shared" si="0"/>
        <v>2073</v>
      </c>
      <c r="C196" s="137">
        <f>[14]С2.5!$BF$11</f>
        <v>0</v>
      </c>
    </row>
    <row r="197" spans="2:3" hidden="1">
      <c r="B197" s="106">
        <f t="shared" si="0"/>
        <v>2074</v>
      </c>
      <c r="C197" s="137">
        <f>[14]С2.5!$BG$11</f>
        <v>0</v>
      </c>
    </row>
    <row r="198" spans="2:3" hidden="1">
      <c r="B198" s="106">
        <f t="shared" si="0"/>
        <v>2075</v>
      </c>
      <c r="C198" s="137">
        <f>[14]С2.5!$BH$11</f>
        <v>0</v>
      </c>
    </row>
    <row r="199" spans="2:3" hidden="1">
      <c r="B199" s="106">
        <f t="shared" si="0"/>
        <v>2076</v>
      </c>
      <c r="C199" s="137">
        <f>[14]С2.5!$BI$11</f>
        <v>0</v>
      </c>
    </row>
    <row r="200" spans="2:3" hidden="1">
      <c r="B200" s="106">
        <f t="shared" si="0"/>
        <v>2077</v>
      </c>
      <c r="C200" s="137">
        <f>[14]С2.5!$BJ$11</f>
        <v>0</v>
      </c>
    </row>
    <row r="201" spans="2:3" hidden="1">
      <c r="B201" s="106">
        <f t="shared" si="0"/>
        <v>2078</v>
      </c>
      <c r="C201" s="137">
        <f>[14]С2.5!$BK$11</f>
        <v>0</v>
      </c>
    </row>
    <row r="202" spans="2:3" hidden="1">
      <c r="B202" s="106">
        <f t="shared" si="0"/>
        <v>2079</v>
      </c>
      <c r="C202" s="137">
        <f>[14]С2.5!$BL$11</f>
        <v>0</v>
      </c>
    </row>
    <row r="203" spans="2:3" hidden="1">
      <c r="B203" s="106">
        <f t="shared" si="0"/>
        <v>2080</v>
      </c>
      <c r="C203" s="137">
        <f>[14]С2.5!$BM$11</f>
        <v>0</v>
      </c>
    </row>
    <row r="204" spans="2:3" hidden="1">
      <c r="B204" s="106">
        <f t="shared" si="0"/>
        <v>2081</v>
      </c>
      <c r="C204" s="137">
        <f>[14]С2.5!$BN$11</f>
        <v>0</v>
      </c>
    </row>
    <row r="205" spans="2:3" hidden="1">
      <c r="B205" s="106">
        <f t="shared" si="0"/>
        <v>2082</v>
      </c>
      <c r="C205" s="137">
        <f>[14]С2.5!$BO$11</f>
        <v>0</v>
      </c>
    </row>
    <row r="206" spans="2:3" hidden="1">
      <c r="B206" s="106">
        <f t="shared" si="0"/>
        <v>2083</v>
      </c>
      <c r="C206" s="137">
        <f>[14]С2.5!$BP$11</f>
        <v>0</v>
      </c>
    </row>
    <row r="207" spans="2:3" hidden="1">
      <c r="B207" s="106">
        <f t="shared" si="0"/>
        <v>2084</v>
      </c>
      <c r="C207" s="137">
        <f>[14]С2.5!$BQ$11</f>
        <v>0</v>
      </c>
    </row>
    <row r="208" spans="2:3" hidden="1">
      <c r="B208" s="106">
        <f t="shared" si="0"/>
        <v>2085</v>
      </c>
      <c r="C208" s="137">
        <f>[14]С2.5!$BR$11</f>
        <v>0</v>
      </c>
    </row>
    <row r="209" spans="2:3" hidden="1">
      <c r="B209" s="106">
        <f t="shared" ref="B209:B223" si="1">B208+1</f>
        <v>2086</v>
      </c>
      <c r="C209" s="137">
        <f>[14]С2.5!$BS$11</f>
        <v>0</v>
      </c>
    </row>
    <row r="210" spans="2:3" hidden="1">
      <c r="B210" s="106">
        <f t="shared" si="1"/>
        <v>2087</v>
      </c>
      <c r="C210" s="137">
        <f>[14]С2.5!$BT$11</f>
        <v>0</v>
      </c>
    </row>
    <row r="211" spans="2:3" hidden="1">
      <c r="B211" s="106">
        <f t="shared" si="1"/>
        <v>2088</v>
      </c>
      <c r="C211" s="137">
        <f>[14]С2.5!$BU$11</f>
        <v>0</v>
      </c>
    </row>
    <row r="212" spans="2:3" hidden="1">
      <c r="B212" s="106">
        <f t="shared" si="1"/>
        <v>2089</v>
      </c>
      <c r="C212" s="137">
        <f>[14]С2.5!$BV$11</f>
        <v>0</v>
      </c>
    </row>
    <row r="213" spans="2:3" hidden="1">
      <c r="B213" s="106">
        <f t="shared" si="1"/>
        <v>2090</v>
      </c>
      <c r="C213" s="137">
        <f>[14]С2.5!$BW$11</f>
        <v>0</v>
      </c>
    </row>
    <row r="214" spans="2:3" hidden="1">
      <c r="B214" s="106">
        <f t="shared" si="1"/>
        <v>2091</v>
      </c>
      <c r="C214" s="137">
        <f>[14]С2.5!$BX$11</f>
        <v>0</v>
      </c>
    </row>
    <row r="215" spans="2:3" hidden="1">
      <c r="B215" s="106">
        <f t="shared" si="1"/>
        <v>2092</v>
      </c>
      <c r="C215" s="137">
        <f>[14]С2.5!$BY$11</f>
        <v>0</v>
      </c>
    </row>
    <row r="216" spans="2:3" hidden="1">
      <c r="B216" s="106">
        <f t="shared" si="1"/>
        <v>2093</v>
      </c>
      <c r="C216" s="137">
        <f>[14]С2.5!$BZ$11</f>
        <v>0</v>
      </c>
    </row>
    <row r="217" spans="2:3" hidden="1">
      <c r="B217" s="106">
        <f t="shared" si="1"/>
        <v>2094</v>
      </c>
      <c r="C217" s="137">
        <f>[14]С2.5!$CA$11</f>
        <v>0</v>
      </c>
    </row>
    <row r="218" spans="2:3" hidden="1">
      <c r="B218" s="106">
        <f t="shared" si="1"/>
        <v>2095</v>
      </c>
      <c r="C218" s="137">
        <f>[14]С2.5!$CB$11</f>
        <v>0</v>
      </c>
    </row>
    <row r="219" spans="2:3" hidden="1">
      <c r="B219" s="106">
        <f t="shared" si="1"/>
        <v>2096</v>
      </c>
      <c r="C219" s="137">
        <f>[14]С2.5!$CC$11</f>
        <v>0</v>
      </c>
    </row>
    <row r="220" spans="2:3" hidden="1">
      <c r="B220" s="106">
        <f t="shared" si="1"/>
        <v>2097</v>
      </c>
      <c r="C220" s="137">
        <f>[14]С2.5!$CD$11</f>
        <v>0</v>
      </c>
    </row>
    <row r="221" spans="2:3" hidden="1">
      <c r="B221" s="106">
        <f t="shared" si="1"/>
        <v>2098</v>
      </c>
      <c r="C221" s="137">
        <f>[14]С2.5!$CE$11</f>
        <v>0</v>
      </c>
    </row>
    <row r="222" spans="2:3" hidden="1">
      <c r="B222" s="106">
        <f t="shared" si="1"/>
        <v>2099</v>
      </c>
      <c r="C222" s="137">
        <f>[14]С2.5!$CF$11</f>
        <v>0</v>
      </c>
    </row>
    <row r="223" spans="2:3" ht="13.5" hidden="1" thickBot="1">
      <c r="B223" s="108">
        <f t="shared" si="1"/>
        <v>2100</v>
      </c>
      <c r="C223" s="138">
        <f>[14]С2.5!$CG$11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H1048576"/>
    </sheetView>
  </sheetViews>
  <sheetFormatPr defaultRowHeight="12.75"/>
  <cols>
    <col min="1" max="1" width="9.140625" style="2" customWidth="1"/>
    <col min="2" max="2" width="100.5703125" style="2" customWidth="1"/>
    <col min="3" max="3" width="20.85546875" style="6"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c r="A1" s="113"/>
      <c r="B1" s="144" t="s">
        <v>225</v>
      </c>
      <c r="C1" s="144"/>
    </row>
    <row r="2" spans="1:3">
      <c r="A2" s="1"/>
      <c r="B2" s="3" t="s">
        <v>1</v>
      </c>
      <c r="C2" s="4">
        <f ca="1">TODAY()</f>
        <v>44944</v>
      </c>
    </row>
    <row r="3" spans="1:3">
      <c r="A3" s="1"/>
      <c r="B3" s="114" t="s">
        <v>2</v>
      </c>
    </row>
    <row r="4" spans="1:3" ht="25.5">
      <c r="A4" s="7"/>
      <c r="B4" s="8" t="str">
        <f>[15]И1!D13</f>
        <v>Субъект Российской Федерации</v>
      </c>
      <c r="C4" s="9" t="str">
        <f>[15]И1!E13</f>
        <v>Новосибирская область</v>
      </c>
    </row>
    <row r="5" spans="1:3">
      <c r="A5" s="7"/>
      <c r="B5" s="8" t="str">
        <f>[15]И1!D14</f>
        <v>Тип муниципального образования (выберите из списка)</v>
      </c>
      <c r="C5" s="9" t="str">
        <f>[15]И1!E14</f>
        <v>Сидоровское МО</v>
      </c>
    </row>
    <row r="6" spans="1:3">
      <c r="A6" s="7"/>
      <c r="B6" s="8" t="str">
        <f>IF([15]И1!E15="","",[15]И1!D15)</f>
        <v/>
      </c>
      <c r="C6" s="9" t="str">
        <f>IF([15]И1!E15="","",[15]И1!E15)</f>
        <v/>
      </c>
    </row>
    <row r="7" spans="1:3">
      <c r="A7" s="7"/>
      <c r="B7" s="8" t="str">
        <f>[15]И1!D16</f>
        <v>Код ОКТМО</v>
      </c>
      <c r="C7" s="10" t="str">
        <f>[15]И1!E16</f>
        <v>50621425101</v>
      </c>
    </row>
    <row r="8" spans="1:3">
      <c r="A8" s="7"/>
      <c r="B8" s="11" t="str">
        <f>[15]И1!D17</f>
        <v>Система теплоснабжения</v>
      </c>
      <c r="C8" s="12">
        <f>[15]И1!E17</f>
        <v>0</v>
      </c>
    </row>
    <row r="9" spans="1:3">
      <c r="A9" s="7"/>
      <c r="B9" s="8" t="str">
        <f>[15]И1!D8</f>
        <v>Период регулирования (i)-й</v>
      </c>
      <c r="C9" s="13">
        <f>[15]И1!E8</f>
        <v>2023</v>
      </c>
    </row>
    <row r="10" spans="1:3">
      <c r="A10" s="7"/>
      <c r="B10" s="8" t="str">
        <f>[15]И1!D9</f>
        <v>Период регулирования (i-1)-й</v>
      </c>
      <c r="C10" s="13">
        <f>[15]И1!E9</f>
        <v>2022</v>
      </c>
    </row>
    <row r="11" spans="1:3">
      <c r="A11" s="7"/>
      <c r="B11" s="8" t="str">
        <f>[15]И1!D10</f>
        <v>Период регулирования (i-2)-й</v>
      </c>
      <c r="C11" s="13">
        <f>[15]И1!E10</f>
        <v>2021</v>
      </c>
    </row>
    <row r="12" spans="1:3">
      <c r="A12" s="7"/>
      <c r="B12" s="8" t="str">
        <f>[15]И1!D11</f>
        <v>Базовый год (б)</v>
      </c>
      <c r="C12" s="13">
        <f>[15]И1!E11</f>
        <v>2019</v>
      </c>
    </row>
    <row r="13" spans="1:3" ht="38.25">
      <c r="A13" s="7"/>
      <c r="B13" s="8" t="str">
        <f>[15]И1!D18</f>
        <v>Вид топлива, использование которого преобладает в системе теплоснабжения</v>
      </c>
      <c r="C13" s="14" t="str">
        <f>[15]С1.1!E13</f>
        <v>уголь (вид угля не указан в топливном балансе)</v>
      </c>
    </row>
    <row r="14" spans="1:3" ht="31.7" customHeight="1" thickBot="1">
      <c r="A14" s="148" t="s">
        <v>3</v>
      </c>
      <c r="B14" s="148"/>
      <c r="C14" s="148"/>
    </row>
    <row r="15" spans="1:3">
      <c r="A15" s="15" t="s">
        <v>4</v>
      </c>
      <c r="B15" s="115" t="s">
        <v>5</v>
      </c>
      <c r="C15" s="116" t="s">
        <v>6</v>
      </c>
    </row>
    <row r="16" spans="1:3">
      <c r="A16" s="18">
        <v>1</v>
      </c>
      <c r="B16" s="117">
        <v>2</v>
      </c>
      <c r="C16" s="118">
        <v>3</v>
      </c>
    </row>
    <row r="17" spans="1:3">
      <c r="A17" s="21">
        <v>1</v>
      </c>
      <c r="B17" s="22" t="s">
        <v>7</v>
      </c>
      <c r="C17" s="23">
        <f>SUM(C18:C22)</f>
        <v>4032.4817359844665</v>
      </c>
    </row>
    <row r="18" spans="1:3" ht="42.75">
      <c r="A18" s="21" t="s">
        <v>8</v>
      </c>
      <c r="B18" s="24" t="s">
        <v>9</v>
      </c>
      <c r="C18" s="25">
        <f>[15]С1!F12</f>
        <v>898.06002910660607</v>
      </c>
    </row>
    <row r="19" spans="1:3" ht="42.75">
      <c r="A19" s="21" t="s">
        <v>10</v>
      </c>
      <c r="B19" s="24" t="s">
        <v>11</v>
      </c>
      <c r="C19" s="25">
        <f>[15]С2!F12</f>
        <v>2109.9946743617465</v>
      </c>
    </row>
    <row r="20" spans="1:3" ht="30">
      <c r="A20" s="21" t="s">
        <v>12</v>
      </c>
      <c r="B20" s="24" t="s">
        <v>13</v>
      </c>
      <c r="C20" s="25">
        <f>[15]С3!F12</f>
        <v>504.88326349025533</v>
      </c>
    </row>
    <row r="21" spans="1:3" ht="42.75">
      <c r="A21" s="21" t="s">
        <v>14</v>
      </c>
      <c r="B21" s="24" t="s">
        <v>226</v>
      </c>
      <c r="C21" s="25">
        <f>[15]С4!F12</f>
        <v>440.47549969282983</v>
      </c>
    </row>
    <row r="22" spans="1:3" ht="30">
      <c r="A22" s="21" t="s">
        <v>16</v>
      </c>
      <c r="B22" s="24" t="s">
        <v>227</v>
      </c>
      <c r="C22" s="25">
        <f>[15]С5!F12</f>
        <v>79.068269333028752</v>
      </c>
    </row>
    <row r="23" spans="1:3" ht="43.5" thickBot="1">
      <c r="A23" s="26" t="s">
        <v>18</v>
      </c>
      <c r="B23" s="27" t="s">
        <v>228</v>
      </c>
      <c r="C23" s="28" t="str">
        <f>[15]С6!F12</f>
        <v>-</v>
      </c>
    </row>
    <row r="24" spans="1:3" ht="13.5" thickBot="1">
      <c r="A24" s="1"/>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229</v>
      </c>
      <c r="C28" s="33">
        <f>[15]С1.1!E16</f>
        <v>5100</v>
      </c>
    </row>
    <row r="29" spans="1:3" ht="42.75">
      <c r="A29" s="21" t="s">
        <v>10</v>
      </c>
      <c r="B29" s="32" t="s">
        <v>230</v>
      </c>
      <c r="C29" s="33">
        <f>[15]С1.1!E27</f>
        <v>2414.7333333333331</v>
      </c>
    </row>
    <row r="30" spans="1:3" ht="17.25">
      <c r="A30" s="21" t="s">
        <v>12</v>
      </c>
      <c r="B30" s="32" t="s">
        <v>29</v>
      </c>
      <c r="C30" s="35">
        <f>[15]С1.1!E19</f>
        <v>0.59499999999999997</v>
      </c>
    </row>
    <row r="31" spans="1:3" ht="17.25">
      <c r="A31" s="21" t="s">
        <v>14</v>
      </c>
      <c r="B31" s="32" t="s">
        <v>30</v>
      </c>
      <c r="C31" s="35">
        <f>[15]С1.1!E20</f>
        <v>-0.113</v>
      </c>
    </row>
    <row r="32" spans="1:3" ht="30">
      <c r="A32" s="21" t="s">
        <v>16</v>
      </c>
      <c r="B32" s="36" t="s">
        <v>231</v>
      </c>
      <c r="C32" s="119">
        <f>[15]С1!F13</f>
        <v>176.4</v>
      </c>
    </row>
    <row r="33" spans="1:3">
      <c r="A33" s="21" t="s">
        <v>18</v>
      </c>
      <c r="B33" s="36" t="s">
        <v>32</v>
      </c>
      <c r="C33" s="38">
        <f>[15]С1!F16</f>
        <v>7000</v>
      </c>
    </row>
    <row r="34" spans="1:3" ht="14.25">
      <c r="A34" s="21" t="s">
        <v>33</v>
      </c>
      <c r="B34" s="40" t="s">
        <v>232</v>
      </c>
      <c r="C34" s="41">
        <f>[15]С1!F17</f>
        <v>0.72857142857142854</v>
      </c>
    </row>
    <row r="35" spans="1:3" ht="15.75">
      <c r="A35" s="120" t="s">
        <v>35</v>
      </c>
      <c r="B35" s="43" t="s">
        <v>36</v>
      </c>
      <c r="C35" s="41">
        <f>[15]С1!F20</f>
        <v>21.588411179999994</v>
      </c>
    </row>
    <row r="36" spans="1:3" ht="15.75">
      <c r="A36" s="120" t="s">
        <v>37</v>
      </c>
      <c r="B36" s="44" t="s">
        <v>38</v>
      </c>
      <c r="C36" s="41">
        <f>[15]С1!F21</f>
        <v>20.818139999999996</v>
      </c>
    </row>
    <row r="37" spans="1:3" ht="14.25">
      <c r="A37" s="120" t="s">
        <v>39</v>
      </c>
      <c r="B37" s="45" t="s">
        <v>40</v>
      </c>
      <c r="C37" s="41">
        <f>[15]С1!F22</f>
        <v>1.0369999999999999</v>
      </c>
    </row>
    <row r="38" spans="1:3" ht="53.25" thickBot="1">
      <c r="A38" s="26" t="s">
        <v>41</v>
      </c>
      <c r="B38" s="46" t="s">
        <v>42</v>
      </c>
      <c r="C38" s="47">
        <f>[15]С1!F23</f>
        <v>1.0469999999999999</v>
      </c>
    </row>
    <row r="39" spans="1:3" ht="13.5" thickBot="1">
      <c r="A39" s="48"/>
      <c r="B39" s="121"/>
      <c r="C39" s="122"/>
    </row>
    <row r="40" spans="1:3" ht="30" customHeight="1">
      <c r="A40" s="50" t="s">
        <v>43</v>
      </c>
      <c r="B40" s="142" t="s">
        <v>44</v>
      </c>
      <c r="C40" s="142"/>
    </row>
    <row r="41" spans="1:3" ht="25.5">
      <c r="A41" s="21" t="s">
        <v>45</v>
      </c>
      <c r="B41" s="36" t="s">
        <v>46</v>
      </c>
      <c r="C41" s="51" t="str">
        <f>[15]С2.1!E12</f>
        <v>V</v>
      </c>
    </row>
    <row r="42" spans="1:3" ht="25.5">
      <c r="A42" s="21" t="s">
        <v>47</v>
      </c>
      <c r="B42" s="32" t="s">
        <v>48</v>
      </c>
      <c r="C42" s="51" t="str">
        <f>[15]С2.1!E13</f>
        <v>6 и менее баллов</v>
      </c>
    </row>
    <row r="43" spans="1:3" ht="25.5">
      <c r="A43" s="21" t="s">
        <v>49</v>
      </c>
      <c r="B43" s="32" t="s">
        <v>233</v>
      </c>
      <c r="C43" s="51" t="str">
        <f>[15]С2.1!E14</f>
        <v>от 200 до 500</v>
      </c>
    </row>
    <row r="44" spans="1:3" ht="25.5">
      <c r="A44" s="21" t="s">
        <v>51</v>
      </c>
      <c r="B44" s="32" t="s">
        <v>234</v>
      </c>
      <c r="C44" s="52" t="str">
        <f>[15]С2.1!E15</f>
        <v>нет</v>
      </c>
    </row>
    <row r="45" spans="1:3" ht="30">
      <c r="A45" s="21" t="s">
        <v>53</v>
      </c>
      <c r="B45" s="32" t="s">
        <v>54</v>
      </c>
      <c r="C45" s="33">
        <f>[15]С2!F18</f>
        <v>32402.627334033532</v>
      </c>
    </row>
    <row r="46" spans="1:3" ht="30">
      <c r="A46" s="21" t="s">
        <v>55</v>
      </c>
      <c r="B46" s="53" t="s">
        <v>56</v>
      </c>
      <c r="C46" s="33">
        <f>IF([15]С2!F19&gt;0,[15]С2!F19,[15]С2!F20)</f>
        <v>23441.524932855718</v>
      </c>
    </row>
    <row r="47" spans="1:3" ht="25.5">
      <c r="A47" s="21" t="s">
        <v>57</v>
      </c>
      <c r="B47" s="54" t="s">
        <v>58</v>
      </c>
      <c r="C47" s="33">
        <f>[15]С2.1!E19</f>
        <v>-37</v>
      </c>
    </row>
    <row r="48" spans="1:3" ht="25.5">
      <c r="A48" s="21" t="s">
        <v>59</v>
      </c>
      <c r="B48" s="54" t="s">
        <v>60</v>
      </c>
      <c r="C48" s="33" t="str">
        <f>[15]С2.1!E22</f>
        <v>нет</v>
      </c>
    </row>
    <row r="49" spans="1:3" ht="38.25">
      <c r="A49" s="21" t="s">
        <v>61</v>
      </c>
      <c r="B49" s="55" t="s">
        <v>62</v>
      </c>
      <c r="C49" s="33">
        <f>[15]С2.2!E10</f>
        <v>1287</v>
      </c>
    </row>
    <row r="50" spans="1:3" ht="25.5">
      <c r="A50" s="21" t="s">
        <v>63</v>
      </c>
      <c r="B50" s="56" t="s">
        <v>64</v>
      </c>
      <c r="C50" s="33">
        <f>[15]С2.2!E12</f>
        <v>5.97</v>
      </c>
    </row>
    <row r="51" spans="1:3" ht="52.5">
      <c r="A51" s="21" t="s">
        <v>65</v>
      </c>
      <c r="B51" s="57" t="s">
        <v>66</v>
      </c>
      <c r="C51" s="33">
        <f>[15]С2.2!E13</f>
        <v>1</v>
      </c>
    </row>
    <row r="52" spans="1:3" ht="27.75">
      <c r="A52" s="21" t="s">
        <v>67</v>
      </c>
      <c r="B52" s="56" t="s">
        <v>68</v>
      </c>
      <c r="C52" s="33">
        <f>[15]С2.2!E14</f>
        <v>12104</v>
      </c>
    </row>
    <row r="53" spans="1:3" ht="25.5">
      <c r="A53" s="21" t="s">
        <v>69</v>
      </c>
      <c r="B53" s="57" t="s">
        <v>70</v>
      </c>
      <c r="C53" s="35">
        <f>[15]С2.2!E15</f>
        <v>4.8000000000000001E-2</v>
      </c>
    </row>
    <row r="54" spans="1:3">
      <c r="A54" s="21" t="s">
        <v>71</v>
      </c>
      <c r="B54" s="57" t="s">
        <v>72</v>
      </c>
      <c r="C54" s="33">
        <f>[15]С2.2!E16</f>
        <v>1</v>
      </c>
    </row>
    <row r="55" spans="1:3" ht="15.75">
      <c r="A55" s="21" t="s">
        <v>73</v>
      </c>
      <c r="B55" s="59" t="s">
        <v>74</v>
      </c>
      <c r="C55" s="33">
        <f>[15]С2!F21</f>
        <v>1</v>
      </c>
    </row>
    <row r="56" spans="1:3" ht="30">
      <c r="A56" s="60" t="s">
        <v>75</v>
      </c>
      <c r="B56" s="32" t="s">
        <v>235</v>
      </c>
      <c r="C56" s="33">
        <f>[15]С2!F13</f>
        <v>169640.22915965237</v>
      </c>
    </row>
    <row r="57" spans="1:3" ht="30">
      <c r="A57" s="60" t="s">
        <v>77</v>
      </c>
      <c r="B57" s="59" t="s">
        <v>236</v>
      </c>
      <c r="C57" s="33">
        <f>[15]С2!F14</f>
        <v>113455</v>
      </c>
    </row>
    <row r="58" spans="1:3" ht="15.75">
      <c r="A58" s="60" t="s">
        <v>79</v>
      </c>
      <c r="B58" s="61" t="s">
        <v>80</v>
      </c>
      <c r="C58" s="41">
        <f>[15]С2!F15</f>
        <v>1.071</v>
      </c>
    </row>
    <row r="59" spans="1:3" ht="15.75">
      <c r="A59" s="60" t="s">
        <v>81</v>
      </c>
      <c r="B59" s="61" t="s">
        <v>82</v>
      </c>
      <c r="C59" s="41">
        <f>[15]С2!F16</f>
        <v>1</v>
      </c>
    </row>
    <row r="60" spans="1:3" ht="17.25">
      <c r="A60" s="60" t="s">
        <v>83</v>
      </c>
      <c r="B60" s="59" t="s">
        <v>84</v>
      </c>
      <c r="C60" s="33">
        <f>[15]С2!F17</f>
        <v>1.01</v>
      </c>
    </row>
    <row r="61" spans="1:3" s="66" customFormat="1" ht="14.25">
      <c r="A61" s="60" t="s">
        <v>85</v>
      </c>
      <c r="B61" s="64" t="s">
        <v>86</v>
      </c>
      <c r="C61" s="65">
        <f>[15]С2!F33</f>
        <v>10</v>
      </c>
    </row>
    <row r="62" spans="1:3" ht="30">
      <c r="A62" s="60" t="s">
        <v>87</v>
      </c>
      <c r="B62" s="67" t="s">
        <v>88</v>
      </c>
      <c r="C62" s="33">
        <f>[15]С2!F26</f>
        <v>1570.1802537861311</v>
      </c>
    </row>
    <row r="63" spans="1:3" ht="17.25">
      <c r="A63" s="60" t="s">
        <v>89</v>
      </c>
      <c r="B63" s="53" t="s">
        <v>237</v>
      </c>
      <c r="C63" s="33">
        <f>[15]С2!F27</f>
        <v>0.27046175099999997</v>
      </c>
    </row>
    <row r="64" spans="1:3" ht="17.25">
      <c r="A64" s="60" t="s">
        <v>91</v>
      </c>
      <c r="B64" s="59" t="s">
        <v>238</v>
      </c>
      <c r="C64" s="65">
        <f>[15]С2!F28</f>
        <v>4200</v>
      </c>
    </row>
    <row r="65" spans="1:3" ht="42.75">
      <c r="A65" s="60" t="s">
        <v>93</v>
      </c>
      <c r="B65" s="32" t="s">
        <v>239</v>
      </c>
      <c r="C65" s="33">
        <f>[15]С2!F22</f>
        <v>35717.748653137714</v>
      </c>
    </row>
    <row r="66" spans="1:3" ht="30">
      <c r="A66" s="60" t="s">
        <v>95</v>
      </c>
      <c r="B66" s="61" t="s">
        <v>240</v>
      </c>
      <c r="C66" s="33">
        <f>[15]С2!F23</f>
        <v>1990</v>
      </c>
    </row>
    <row r="67" spans="1:3" ht="30">
      <c r="A67" s="60" t="s">
        <v>97</v>
      </c>
      <c r="B67" s="53" t="s">
        <v>98</v>
      </c>
      <c r="C67" s="33">
        <f>[15]С2.1!E27</f>
        <v>14307.876789999998</v>
      </c>
    </row>
    <row r="68" spans="1:3" ht="38.25">
      <c r="A68" s="60" t="s">
        <v>99</v>
      </c>
      <c r="B68" s="68" t="s">
        <v>100</v>
      </c>
      <c r="C68" s="52">
        <f>[15]С2.3!E21</f>
        <v>0</v>
      </c>
    </row>
    <row r="69" spans="1:3" ht="25.5">
      <c r="A69" s="60" t="s">
        <v>101</v>
      </c>
      <c r="B69" s="69" t="s">
        <v>102</v>
      </c>
      <c r="C69" s="70">
        <f>[15]С2.3!E11</f>
        <v>9.89</v>
      </c>
    </row>
    <row r="70" spans="1:3" ht="25.5">
      <c r="A70" s="60" t="s">
        <v>103</v>
      </c>
      <c r="B70" s="69" t="s">
        <v>104</v>
      </c>
      <c r="C70" s="65">
        <f>[15]С2.3!E13</f>
        <v>300</v>
      </c>
    </row>
    <row r="71" spans="1:3" ht="25.5">
      <c r="A71" s="60" t="s">
        <v>105</v>
      </c>
      <c r="B71" s="68" t="s">
        <v>106</v>
      </c>
      <c r="C71" s="71">
        <f>IF([15]С2.3!E22&gt;0,[15]С2.3!E22,[15]С2.3!E14)</f>
        <v>61211</v>
      </c>
    </row>
    <row r="72" spans="1:3" ht="38.25">
      <c r="A72" s="60" t="s">
        <v>107</v>
      </c>
      <c r="B72" s="68" t="s">
        <v>108</v>
      </c>
      <c r="C72" s="71">
        <f>IF([15]С2.3!E23&gt;0,[15]С2.3!E23,[15]С2.3!E15)</f>
        <v>45675</v>
      </c>
    </row>
    <row r="73" spans="1:3" ht="30">
      <c r="A73" s="60" t="s">
        <v>109</v>
      </c>
      <c r="B73" s="53" t="s">
        <v>110</v>
      </c>
      <c r="C73" s="33">
        <f>[15]С2.1!E28</f>
        <v>9541.9567200000001</v>
      </c>
    </row>
    <row r="74" spans="1:3" ht="38.25">
      <c r="A74" s="60" t="s">
        <v>111</v>
      </c>
      <c r="B74" s="68" t="s">
        <v>112</v>
      </c>
      <c r="C74" s="52">
        <f>[15]С2.3!E25</f>
        <v>0</v>
      </c>
    </row>
    <row r="75" spans="1:3" ht="25.5">
      <c r="A75" s="60" t="s">
        <v>113</v>
      </c>
      <c r="B75" s="69" t="s">
        <v>114</v>
      </c>
      <c r="C75" s="70">
        <f>[15]С2.3!E12</f>
        <v>0.56000000000000005</v>
      </c>
    </row>
    <row r="76" spans="1:3" ht="25.5">
      <c r="A76" s="60" t="s">
        <v>115</v>
      </c>
      <c r="B76" s="69" t="s">
        <v>104</v>
      </c>
      <c r="C76" s="65">
        <f>[15]С2.3!E13</f>
        <v>300</v>
      </c>
    </row>
    <row r="77" spans="1:3" ht="25.5">
      <c r="A77" s="60" t="s">
        <v>116</v>
      </c>
      <c r="B77" s="72" t="s">
        <v>117</v>
      </c>
      <c r="C77" s="71">
        <f>IF([15]С2.3!E26&gt;0,[15]С2.3!E26,[15]С2.3!E16)</f>
        <v>65637</v>
      </c>
    </row>
    <row r="78" spans="1:3" ht="38.25">
      <c r="A78" s="60" t="s">
        <v>118</v>
      </c>
      <c r="B78" s="72" t="s">
        <v>119</v>
      </c>
      <c r="C78" s="71">
        <f>IF([15]С2.3!E27&gt;0,[15]С2.3!E27,[15]С2.3!E17)</f>
        <v>31684</v>
      </c>
    </row>
    <row r="79" spans="1:3" ht="17.25">
      <c r="A79" s="60" t="s">
        <v>122</v>
      </c>
      <c r="B79" s="32" t="s">
        <v>123</v>
      </c>
      <c r="C79" s="35">
        <f>[15]С2!F29</f>
        <v>0.128978033685065</v>
      </c>
    </row>
    <row r="80" spans="1:3" ht="30">
      <c r="A80" s="60" t="s">
        <v>124</v>
      </c>
      <c r="B80" s="53" t="s">
        <v>125</v>
      </c>
      <c r="C80" s="73">
        <f>[15]С2!F30</f>
        <v>0.11668498168498169</v>
      </c>
    </row>
    <row r="81" spans="1:3" ht="17.25">
      <c r="A81" s="60" t="s">
        <v>126</v>
      </c>
      <c r="B81" s="74" t="s">
        <v>127</v>
      </c>
      <c r="C81" s="35">
        <f>[15]С2!F31</f>
        <v>0.13880000000000001</v>
      </c>
    </row>
    <row r="82" spans="1:3" s="66" customFormat="1" ht="18" thickBot="1">
      <c r="A82" s="75" t="s">
        <v>128</v>
      </c>
      <c r="B82" s="76" t="s">
        <v>129</v>
      </c>
      <c r="C82" s="77">
        <f>[15]С2!F32</f>
        <v>0.12640000000000001</v>
      </c>
    </row>
    <row r="83" spans="1:3" ht="13.5" thickBot="1">
      <c r="A83" s="48"/>
      <c r="B83" s="49"/>
      <c r="C83" s="14"/>
    </row>
    <row r="84" spans="1:3" s="66" customFormat="1" ht="30" customHeight="1">
      <c r="A84" s="78" t="s">
        <v>130</v>
      </c>
      <c r="B84" s="142" t="s">
        <v>131</v>
      </c>
      <c r="C84" s="142"/>
    </row>
    <row r="85" spans="1:3" s="66" customFormat="1" ht="30">
      <c r="A85" s="79" t="s">
        <v>132</v>
      </c>
      <c r="B85" s="32" t="s">
        <v>133</v>
      </c>
      <c r="C85" s="33">
        <f>[15]С3!F14</f>
        <v>7018.8643800822501</v>
      </c>
    </row>
    <row r="86" spans="1:3" s="66" customFormat="1" ht="42.75">
      <c r="A86" s="79" t="s">
        <v>134</v>
      </c>
      <c r="B86" s="53" t="s">
        <v>135</v>
      </c>
      <c r="C86" s="80">
        <f>[15]С3!F15</f>
        <v>0.2</v>
      </c>
    </row>
    <row r="87" spans="1:3" s="66" customFormat="1" ht="14.25">
      <c r="A87" s="79" t="s">
        <v>136</v>
      </c>
      <c r="B87" s="81" t="s">
        <v>137</v>
      </c>
      <c r="C87" s="65">
        <f>[15]С3!F18</f>
        <v>15</v>
      </c>
    </row>
    <row r="88" spans="1:3" s="66" customFormat="1" ht="17.25">
      <c r="A88" s="79" t="s">
        <v>138</v>
      </c>
      <c r="B88" s="32" t="s">
        <v>139</v>
      </c>
      <c r="C88" s="33">
        <f>[15]С3!F19</f>
        <v>3487.1555421534131</v>
      </c>
    </row>
    <row r="89" spans="1:3" s="66" customFormat="1" ht="55.5">
      <c r="A89" s="79" t="s">
        <v>140</v>
      </c>
      <c r="B89" s="53" t="s">
        <v>141</v>
      </c>
      <c r="C89" s="82">
        <f>[15]С3!F20</f>
        <v>2.1999999999999999E-2</v>
      </c>
    </row>
    <row r="90" spans="1:3" s="66" customFormat="1" ht="14.25">
      <c r="A90" s="79" t="s">
        <v>142</v>
      </c>
      <c r="B90" s="59" t="s">
        <v>86</v>
      </c>
      <c r="C90" s="65">
        <f>[15]С3!F21</f>
        <v>10</v>
      </c>
    </row>
    <row r="91" spans="1:3" s="66" customFormat="1" ht="17.25">
      <c r="A91" s="79" t="s">
        <v>143</v>
      </c>
      <c r="B91" s="32" t="s">
        <v>144</v>
      </c>
      <c r="C91" s="33">
        <f>[15]С3!F22</f>
        <v>4.7105407613583932</v>
      </c>
    </row>
    <row r="92" spans="1:3" s="66" customFormat="1" ht="55.5">
      <c r="A92" s="79" t="s">
        <v>145</v>
      </c>
      <c r="B92" s="53" t="s">
        <v>146</v>
      </c>
      <c r="C92" s="82">
        <f>[15]С3!F23</f>
        <v>3.0000000000000001E-3</v>
      </c>
    </row>
    <row r="93" spans="1:3" s="66" customFormat="1" ht="27.75" thickBot="1">
      <c r="A93" s="83" t="s">
        <v>147</v>
      </c>
      <c r="B93" s="84" t="s">
        <v>241</v>
      </c>
      <c r="C93" s="85">
        <f>[15]С3!F24</f>
        <v>1570.1802537861311</v>
      </c>
    </row>
    <row r="94" spans="1:3" ht="13.5" thickBot="1">
      <c r="A94" s="48"/>
      <c r="B94" s="49"/>
      <c r="C94" s="14"/>
    </row>
    <row r="95" spans="1:3" ht="30" customHeight="1">
      <c r="A95" s="86" t="s">
        <v>148</v>
      </c>
      <c r="B95" s="142" t="s">
        <v>149</v>
      </c>
      <c r="C95" s="142"/>
    </row>
    <row r="96" spans="1:3" ht="30">
      <c r="A96" s="60" t="s">
        <v>150</v>
      </c>
      <c r="B96" s="32" t="s">
        <v>242</v>
      </c>
      <c r="C96" s="33">
        <f>[15]С4!F16</f>
        <v>1652.5</v>
      </c>
    </row>
    <row r="97" spans="1:3" ht="30">
      <c r="A97" s="60" t="s">
        <v>152</v>
      </c>
      <c r="B97" s="59" t="s">
        <v>243</v>
      </c>
      <c r="C97" s="33">
        <f>[15]С4!F17</f>
        <v>73547</v>
      </c>
    </row>
    <row r="98" spans="1:3" ht="17.25">
      <c r="A98" s="60" t="s">
        <v>154</v>
      </c>
      <c r="B98" s="59" t="s">
        <v>155</v>
      </c>
      <c r="C98" s="41">
        <f>[15]С4!F18</f>
        <v>0.02</v>
      </c>
    </row>
    <row r="99" spans="1:3" ht="30">
      <c r="A99" s="60" t="s">
        <v>156</v>
      </c>
      <c r="B99" s="59" t="s">
        <v>157</v>
      </c>
      <c r="C99" s="33">
        <f>[15]С4!F19</f>
        <v>12104</v>
      </c>
    </row>
    <row r="100" spans="1:3" ht="31.5">
      <c r="A100" s="60" t="s">
        <v>158</v>
      </c>
      <c r="B100" s="59" t="s">
        <v>159</v>
      </c>
      <c r="C100" s="41">
        <f>[15]С4!F20</f>
        <v>1.4999999999999999E-2</v>
      </c>
    </row>
    <row r="101" spans="1:3" ht="30">
      <c r="A101" s="60" t="s">
        <v>160</v>
      </c>
      <c r="B101" s="32" t="s">
        <v>244</v>
      </c>
      <c r="C101" s="33">
        <f>[15]С4!F21</f>
        <v>1933.1949342509995</v>
      </c>
    </row>
    <row r="102" spans="1:3" ht="24" customHeight="1">
      <c r="A102" s="60" t="s">
        <v>162</v>
      </c>
      <c r="B102" s="53" t="s">
        <v>163</v>
      </c>
      <c r="C102" s="34">
        <f>IF([15]С4.2!F8="да",[15]С4.2!D21,[15]С4.2!D15)</f>
        <v>0</v>
      </c>
    </row>
    <row r="103" spans="1:3" ht="68.25">
      <c r="A103" s="60" t="s">
        <v>164</v>
      </c>
      <c r="B103" s="53" t="s">
        <v>165</v>
      </c>
      <c r="C103" s="33">
        <f>[15]С4!F22</f>
        <v>3.6112641666666665</v>
      </c>
    </row>
    <row r="104" spans="1:3" ht="30">
      <c r="A104" s="60" t="s">
        <v>166</v>
      </c>
      <c r="B104" s="59" t="s">
        <v>245</v>
      </c>
      <c r="C104" s="33">
        <f>[15]С4!F23</f>
        <v>180</v>
      </c>
    </row>
    <row r="105" spans="1:3" ht="14.25">
      <c r="A105" s="60" t="s">
        <v>168</v>
      </c>
      <c r="B105" s="53" t="s">
        <v>169</v>
      </c>
      <c r="C105" s="33">
        <f>[15]С4!F24</f>
        <v>8497.1999999999989</v>
      </c>
    </row>
    <row r="106" spans="1:3" ht="14.25">
      <c r="A106" s="60" t="s">
        <v>170</v>
      </c>
      <c r="B106" s="59" t="s">
        <v>171</v>
      </c>
      <c r="C106" s="41">
        <f>[15]С4!F25</f>
        <v>0.35</v>
      </c>
    </row>
    <row r="107" spans="1:3" ht="17.25">
      <c r="A107" s="60" t="s">
        <v>172</v>
      </c>
      <c r="B107" s="32" t="s">
        <v>173</v>
      </c>
      <c r="C107" s="33">
        <f>[15]С4!F26</f>
        <v>81.572400000000002</v>
      </c>
    </row>
    <row r="108" spans="1:3" ht="25.5">
      <c r="A108" s="60" t="s">
        <v>174</v>
      </c>
      <c r="B108" s="53" t="s">
        <v>100</v>
      </c>
      <c r="C108" s="34">
        <f>[15]С4.3!E16</f>
        <v>0</v>
      </c>
    </row>
    <row r="109" spans="1:3" ht="25.5">
      <c r="A109" s="60" t="s">
        <v>175</v>
      </c>
      <c r="B109" s="53" t="s">
        <v>176</v>
      </c>
      <c r="C109" s="33">
        <f>[15]С4.3!E17</f>
        <v>22.36</v>
      </c>
    </row>
    <row r="110" spans="1:3" ht="38.25">
      <c r="A110" s="60" t="s">
        <v>177</v>
      </c>
      <c r="B110" s="53" t="s">
        <v>112</v>
      </c>
      <c r="C110" s="34">
        <f>[15]С4.3!E18</f>
        <v>0</v>
      </c>
    </row>
    <row r="111" spans="1:3">
      <c r="A111" s="60" t="s">
        <v>178</v>
      </c>
      <c r="B111" s="53" t="s">
        <v>179</v>
      </c>
      <c r="C111" s="33">
        <f>[15]С4.3!E19</f>
        <v>15.47</v>
      </c>
    </row>
    <row r="112" spans="1:3">
      <c r="A112" s="60" t="s">
        <v>180</v>
      </c>
      <c r="B112" s="59" t="s">
        <v>181</v>
      </c>
      <c r="C112" s="33">
        <f>[15]С4.3!E11</f>
        <v>1871</v>
      </c>
    </row>
    <row r="113" spans="1:3">
      <c r="A113" s="60" t="s">
        <v>182</v>
      </c>
      <c r="B113" s="59" t="s">
        <v>183</v>
      </c>
      <c r="C113" s="52">
        <f>[15]С4.3!E12</f>
        <v>1636</v>
      </c>
    </row>
    <row r="114" spans="1:3">
      <c r="A114" s="60" t="s">
        <v>184</v>
      </c>
      <c r="B114" s="59" t="s">
        <v>185</v>
      </c>
      <c r="C114" s="52">
        <f>[15]С4.3!E13</f>
        <v>204</v>
      </c>
    </row>
    <row r="115" spans="1:3" ht="30">
      <c r="A115" s="60" t="s">
        <v>186</v>
      </c>
      <c r="B115" s="32" t="s">
        <v>246</v>
      </c>
      <c r="C115" s="33">
        <f>[15]С4!F27</f>
        <v>1467.2629458895778</v>
      </c>
    </row>
    <row r="116" spans="1:3" ht="25.5">
      <c r="A116" s="60" t="s">
        <v>188</v>
      </c>
      <c r="B116" s="53" t="s">
        <v>247</v>
      </c>
      <c r="C116" s="33">
        <f>[15]С4!F28</f>
        <v>1126.9300659674177</v>
      </c>
    </row>
    <row r="117" spans="1:3" ht="42.75">
      <c r="A117" s="60" t="s">
        <v>190</v>
      </c>
      <c r="B117" s="53" t="s">
        <v>191</v>
      </c>
      <c r="C117" s="33">
        <f>[15]С4!F29</f>
        <v>340.33287992216015</v>
      </c>
    </row>
    <row r="118" spans="1:3" ht="30">
      <c r="A118" s="60" t="s">
        <v>192</v>
      </c>
      <c r="B118" s="40" t="s">
        <v>193</v>
      </c>
      <c r="C118" s="33">
        <f>[15]С4!F30</f>
        <v>2072.5492092413701</v>
      </c>
    </row>
    <row r="119" spans="1:3" ht="42.75">
      <c r="A119" s="60" t="s">
        <v>248</v>
      </c>
      <c r="B119" s="90" t="s">
        <v>249</v>
      </c>
      <c r="C119" s="33">
        <f>[15]С4!F33</f>
        <v>1325.7564400041779</v>
      </c>
    </row>
    <row r="120" spans="1:3" ht="30">
      <c r="A120" s="60" t="s">
        <v>250</v>
      </c>
      <c r="B120" s="123" t="s">
        <v>251</v>
      </c>
      <c r="C120" s="33">
        <f>[15]С4!F35</f>
        <v>17.040680999999999</v>
      </c>
    </row>
    <row r="121" spans="1:3" ht="14.25">
      <c r="A121" s="60" t="s">
        <v>252</v>
      </c>
      <c r="B121" s="56" t="s">
        <v>253</v>
      </c>
      <c r="C121" s="33">
        <f>[15]С4!F36</f>
        <v>14319.9</v>
      </c>
    </row>
    <row r="122" spans="1:3" ht="28.5" thickBot="1">
      <c r="A122" s="75" t="s">
        <v>254</v>
      </c>
      <c r="B122" s="124" t="s">
        <v>255</v>
      </c>
      <c r="C122" s="85">
        <f>[15]С4!F37</f>
        <v>1.19</v>
      </c>
    </row>
    <row r="123" spans="1:3" s="88" customFormat="1" ht="13.5" thickBot="1">
      <c r="A123" s="48"/>
      <c r="B123" s="49"/>
      <c r="C123" s="14"/>
    </row>
    <row r="124" spans="1:3" s="66" customFormat="1" ht="30" customHeight="1">
      <c r="A124" s="78" t="s">
        <v>194</v>
      </c>
      <c r="B124" s="142" t="s">
        <v>195</v>
      </c>
      <c r="C124" s="142"/>
    </row>
    <row r="125" spans="1:3" ht="16.5" thickBot="1">
      <c r="A125" s="26" t="s">
        <v>196</v>
      </c>
      <c r="B125" s="87" t="s">
        <v>197</v>
      </c>
      <c r="C125" s="85">
        <f>[15]С5!F17</f>
        <v>0.02</v>
      </c>
    </row>
    <row r="126" spans="1:3" s="88" customFormat="1" ht="13.5" thickBot="1">
      <c r="A126" s="48"/>
      <c r="B126" s="49"/>
      <c r="C126" s="14"/>
    </row>
    <row r="127" spans="1:3" ht="42.75" customHeight="1">
      <c r="A127" s="86" t="s">
        <v>198</v>
      </c>
      <c r="B127" s="147" t="s">
        <v>199</v>
      </c>
      <c r="C127" s="147"/>
    </row>
    <row r="128" spans="1:3" ht="68.25">
      <c r="A128" s="60" t="s">
        <v>200</v>
      </c>
      <c r="B128" s="89" t="s">
        <v>201</v>
      </c>
      <c r="C128" s="33" t="s">
        <v>256</v>
      </c>
    </row>
    <row r="129" spans="1:3" ht="42.75" hidden="1">
      <c r="A129" s="60" t="s">
        <v>202</v>
      </c>
      <c r="B129" s="90" t="s">
        <v>203</v>
      </c>
      <c r="C129" s="91"/>
    </row>
    <row r="130" spans="1:3" ht="69" thickBot="1">
      <c r="A130" s="75" t="s">
        <v>204</v>
      </c>
      <c r="B130" s="125" t="s">
        <v>205</v>
      </c>
      <c r="C130" s="126" t="s">
        <v>256</v>
      </c>
    </row>
    <row r="131" spans="1:3" ht="62.25" hidden="1" customHeight="1">
      <c r="A131" s="127" t="s">
        <v>206</v>
      </c>
      <c r="B131" s="128" t="s">
        <v>207</v>
      </c>
      <c r="C131" s="129"/>
    </row>
    <row r="132" spans="1:3" ht="68.25" hidden="1">
      <c r="A132" s="60" t="s">
        <v>208</v>
      </c>
      <c r="B132" s="90" t="s">
        <v>257</v>
      </c>
      <c r="C132" s="35"/>
    </row>
    <row r="133" spans="1:3" ht="69" hidden="1" thickBot="1">
      <c r="A133" s="75" t="s">
        <v>210</v>
      </c>
      <c r="B133" s="93" t="s">
        <v>211</v>
      </c>
      <c r="C133" s="77"/>
    </row>
    <row r="134" spans="1:3" s="88" customFormat="1" ht="13.5" thickBot="1">
      <c r="A134" s="48"/>
      <c r="B134" s="49"/>
      <c r="C134" s="14"/>
    </row>
    <row r="135" spans="1:3" ht="26.25" customHeight="1">
      <c r="A135" s="86" t="s">
        <v>212</v>
      </c>
      <c r="B135" s="94" t="s">
        <v>213</v>
      </c>
      <c r="C135" s="95">
        <f>[15]С2!F37</f>
        <v>20.818139999999996</v>
      </c>
    </row>
    <row r="136" spans="1:3" ht="14.25">
      <c r="A136" s="60" t="s">
        <v>214</v>
      </c>
      <c r="B136" s="130" t="s">
        <v>215</v>
      </c>
      <c r="C136" s="33">
        <f>[15]С2!F38</f>
        <v>7</v>
      </c>
    </row>
    <row r="137" spans="1:3" ht="17.25">
      <c r="A137" s="60" t="s">
        <v>216</v>
      </c>
      <c r="B137" s="130" t="s">
        <v>217</v>
      </c>
      <c r="C137" s="33">
        <f>[15]С2!F40</f>
        <v>0.97</v>
      </c>
    </row>
    <row r="138" spans="1:3" ht="15" thickBot="1">
      <c r="A138" s="75" t="s">
        <v>218</v>
      </c>
      <c r="B138" s="131" t="s">
        <v>219</v>
      </c>
      <c r="C138" s="47">
        <f>[15]С2!F42</f>
        <v>0.35</v>
      </c>
    </row>
    <row r="139" spans="1:3" s="88" customFormat="1" ht="13.5" thickBot="1">
      <c r="A139" s="48"/>
      <c r="B139" s="49"/>
      <c r="C139" s="14"/>
    </row>
    <row r="140" spans="1:3" ht="30">
      <c r="A140" s="86" t="s">
        <v>220</v>
      </c>
      <c r="B140" s="96" t="s">
        <v>258</v>
      </c>
      <c r="C140" s="132">
        <f>[15]С2!F35</f>
        <v>1.3822747209000001</v>
      </c>
    </row>
    <row r="141" spans="1:3" ht="22.7" customHeight="1" thickBot="1">
      <c r="A141" s="75" t="s">
        <v>222</v>
      </c>
      <c r="B141" s="143" t="s">
        <v>223</v>
      </c>
      <c r="C141" s="143"/>
    </row>
    <row r="142" spans="1:3" ht="13.5" thickBot="1">
      <c r="A142" s="99"/>
      <c r="B142" s="133" t="s">
        <v>224</v>
      </c>
      <c r="C142" s="134"/>
    </row>
    <row r="143" spans="1:3">
      <c r="A143" s="99"/>
      <c r="B143" s="135">
        <v>2020</v>
      </c>
      <c r="C143" s="136">
        <f>[15]С2.5!$E$11</f>
        <v>-2.9000000000000026E-2</v>
      </c>
    </row>
    <row r="144" spans="1:3">
      <c r="A144" s="99"/>
      <c r="B144" s="106">
        <f>B143+1</f>
        <v>2021</v>
      </c>
      <c r="C144" s="137">
        <f>[15]С2.5!$F$11</f>
        <v>0.245</v>
      </c>
    </row>
    <row r="145" spans="1:3">
      <c r="A145" s="99"/>
      <c r="B145" s="106">
        <f t="shared" ref="B145:B208" si="0">B144+1</f>
        <v>2022</v>
      </c>
      <c r="C145" s="137">
        <f>[15]С2.5!$G$11</f>
        <v>0.121</v>
      </c>
    </row>
    <row r="146" spans="1:3" ht="13.5" thickBot="1">
      <c r="A146" s="99"/>
      <c r="B146" s="108">
        <f t="shared" si="0"/>
        <v>2023</v>
      </c>
      <c r="C146" s="138">
        <f>[15]С2.5!$H$11</f>
        <v>0.02</v>
      </c>
    </row>
    <row r="147" spans="1:3" hidden="1">
      <c r="A147" s="99"/>
      <c r="B147" s="139">
        <f t="shared" si="0"/>
        <v>2024</v>
      </c>
      <c r="C147" s="140">
        <f>[15]С2.5!$I$11</f>
        <v>-2.93E-2</v>
      </c>
    </row>
    <row r="148" spans="1:3" hidden="1">
      <c r="A148" s="99"/>
      <c r="B148" s="106">
        <f t="shared" si="0"/>
        <v>2025</v>
      </c>
      <c r="C148" s="137">
        <f>[15]С2.5!$J$11</f>
        <v>0.21215960863291</v>
      </c>
    </row>
    <row r="149" spans="1:3" hidden="1">
      <c r="A149" s="99"/>
      <c r="B149" s="106">
        <f t="shared" si="0"/>
        <v>2026</v>
      </c>
      <c r="C149" s="137">
        <f>[15]С2.5!$K$11</f>
        <v>3.5813361771260002E-2</v>
      </c>
    </row>
    <row r="150" spans="1:3" hidden="1">
      <c r="A150" s="99"/>
      <c r="B150" s="106">
        <f t="shared" si="0"/>
        <v>2027</v>
      </c>
      <c r="C150" s="137">
        <f>[15]С2.5!$L$11</f>
        <v>3.2682303599220003E-2</v>
      </c>
    </row>
    <row r="151" spans="1:3" hidden="1">
      <c r="A151" s="99"/>
      <c r="B151" s="106">
        <f t="shared" si="0"/>
        <v>2028</v>
      </c>
      <c r="C151" s="137">
        <f>[15]С2.5!$M$11</f>
        <v>0</v>
      </c>
    </row>
    <row r="152" spans="1:3" hidden="1">
      <c r="A152" s="99"/>
      <c r="B152" s="106">
        <f t="shared" si="0"/>
        <v>2029</v>
      </c>
      <c r="C152" s="137">
        <f>[15]С2.5!$N$11</f>
        <v>0</v>
      </c>
    </row>
    <row r="153" spans="1:3" hidden="1">
      <c r="A153" s="99"/>
      <c r="B153" s="106">
        <f t="shared" si="0"/>
        <v>2030</v>
      </c>
      <c r="C153" s="137">
        <f>[15]С2.5!$O$11</f>
        <v>0</v>
      </c>
    </row>
    <row r="154" spans="1:3" hidden="1">
      <c r="A154" s="99"/>
      <c r="B154" s="106">
        <f t="shared" si="0"/>
        <v>2031</v>
      </c>
      <c r="C154" s="137">
        <f>[15]С2.5!$P$11</f>
        <v>0</v>
      </c>
    </row>
    <row r="155" spans="1:3" hidden="1">
      <c r="A155" s="88"/>
      <c r="B155" s="106">
        <f t="shared" si="0"/>
        <v>2032</v>
      </c>
      <c r="C155" s="137">
        <f>[15]С2.5!$Q$11</f>
        <v>0</v>
      </c>
    </row>
    <row r="156" spans="1:3" hidden="1">
      <c r="A156" s="88"/>
      <c r="B156" s="106">
        <f t="shared" si="0"/>
        <v>2033</v>
      </c>
      <c r="C156" s="137">
        <f>[15]С2.5!$R$11</f>
        <v>0</v>
      </c>
    </row>
    <row r="157" spans="1:3" hidden="1">
      <c r="B157" s="106">
        <f t="shared" si="0"/>
        <v>2034</v>
      </c>
      <c r="C157" s="137">
        <f>[15]С2.5!$S$11</f>
        <v>0</v>
      </c>
    </row>
    <row r="158" spans="1:3" hidden="1">
      <c r="B158" s="106">
        <f t="shared" si="0"/>
        <v>2035</v>
      </c>
      <c r="C158" s="137">
        <f>[15]С2.5!$T$11</f>
        <v>0</v>
      </c>
    </row>
    <row r="159" spans="1:3" hidden="1">
      <c r="B159" s="106">
        <f t="shared" si="0"/>
        <v>2036</v>
      </c>
      <c r="C159" s="137">
        <f>[15]С2.5!$U$11</f>
        <v>0</v>
      </c>
    </row>
    <row r="160" spans="1:3" hidden="1">
      <c r="B160" s="106">
        <f t="shared" si="0"/>
        <v>2037</v>
      </c>
      <c r="C160" s="137">
        <f>[15]С2.5!$V$11</f>
        <v>0</v>
      </c>
    </row>
    <row r="161" spans="2:3" hidden="1">
      <c r="B161" s="106">
        <f t="shared" si="0"/>
        <v>2038</v>
      </c>
      <c r="C161" s="137">
        <f>[15]С2.5!$W$11</f>
        <v>0</v>
      </c>
    </row>
    <row r="162" spans="2:3" hidden="1">
      <c r="B162" s="106">
        <f t="shared" si="0"/>
        <v>2039</v>
      </c>
      <c r="C162" s="137">
        <f>[15]С2.5!$X$11</f>
        <v>0</v>
      </c>
    </row>
    <row r="163" spans="2:3" hidden="1">
      <c r="B163" s="106">
        <f t="shared" si="0"/>
        <v>2040</v>
      </c>
      <c r="C163" s="137">
        <f>[15]С2.5!$Y$11</f>
        <v>0</v>
      </c>
    </row>
    <row r="164" spans="2:3" hidden="1">
      <c r="B164" s="106">
        <f t="shared" si="0"/>
        <v>2041</v>
      </c>
      <c r="C164" s="137">
        <f>[15]С2.5!$Z$11</f>
        <v>0</v>
      </c>
    </row>
    <row r="165" spans="2:3" hidden="1">
      <c r="B165" s="106">
        <f t="shared" si="0"/>
        <v>2042</v>
      </c>
      <c r="C165" s="137">
        <f>[15]С2.5!$AA$11</f>
        <v>0</v>
      </c>
    </row>
    <row r="166" spans="2:3" hidden="1">
      <c r="B166" s="106">
        <f t="shared" si="0"/>
        <v>2043</v>
      </c>
      <c r="C166" s="137">
        <f>[15]С2.5!$AB$11</f>
        <v>0</v>
      </c>
    </row>
    <row r="167" spans="2:3" hidden="1">
      <c r="B167" s="106">
        <f t="shared" si="0"/>
        <v>2044</v>
      </c>
      <c r="C167" s="137">
        <f>[15]С2.5!$AC$11</f>
        <v>0</v>
      </c>
    </row>
    <row r="168" spans="2:3" hidden="1">
      <c r="B168" s="106">
        <f t="shared" si="0"/>
        <v>2045</v>
      </c>
      <c r="C168" s="137">
        <f>[15]С2.5!$AD$11</f>
        <v>0</v>
      </c>
    </row>
    <row r="169" spans="2:3" hidden="1">
      <c r="B169" s="106">
        <f t="shared" si="0"/>
        <v>2046</v>
      </c>
      <c r="C169" s="137">
        <f>[15]С2.5!$AE$11</f>
        <v>0</v>
      </c>
    </row>
    <row r="170" spans="2:3" hidden="1">
      <c r="B170" s="106">
        <f t="shared" si="0"/>
        <v>2047</v>
      </c>
      <c r="C170" s="137">
        <f>[15]С2.5!$AF$11</f>
        <v>0</v>
      </c>
    </row>
    <row r="171" spans="2:3" hidden="1">
      <c r="B171" s="106">
        <f t="shared" si="0"/>
        <v>2048</v>
      </c>
      <c r="C171" s="137">
        <f>[15]С2.5!$AG$11</f>
        <v>0</v>
      </c>
    </row>
    <row r="172" spans="2:3" hidden="1">
      <c r="B172" s="106">
        <f t="shared" si="0"/>
        <v>2049</v>
      </c>
      <c r="C172" s="137">
        <f>[15]С2.5!$AH$11</f>
        <v>0</v>
      </c>
    </row>
    <row r="173" spans="2:3" hidden="1">
      <c r="B173" s="106">
        <f t="shared" si="0"/>
        <v>2050</v>
      </c>
      <c r="C173" s="137">
        <f>[15]С2.5!$AI$11</f>
        <v>0</v>
      </c>
    </row>
    <row r="174" spans="2:3" hidden="1">
      <c r="B174" s="106">
        <f t="shared" si="0"/>
        <v>2051</v>
      </c>
      <c r="C174" s="137">
        <f>[15]С2.5!$AJ$11</f>
        <v>0</v>
      </c>
    </row>
    <row r="175" spans="2:3" hidden="1">
      <c r="B175" s="106">
        <f t="shared" si="0"/>
        <v>2052</v>
      </c>
      <c r="C175" s="137">
        <f>[15]С2.5!$AK$11</f>
        <v>0</v>
      </c>
    </row>
    <row r="176" spans="2:3" hidden="1">
      <c r="B176" s="106">
        <f t="shared" si="0"/>
        <v>2053</v>
      </c>
      <c r="C176" s="137">
        <f>[15]С2.5!$AL$11</f>
        <v>0</v>
      </c>
    </row>
    <row r="177" spans="2:3" hidden="1">
      <c r="B177" s="106">
        <f t="shared" si="0"/>
        <v>2054</v>
      </c>
      <c r="C177" s="137">
        <f>[15]С2.5!$AM$11</f>
        <v>0</v>
      </c>
    </row>
    <row r="178" spans="2:3" hidden="1">
      <c r="B178" s="106">
        <f t="shared" si="0"/>
        <v>2055</v>
      </c>
      <c r="C178" s="137">
        <f>[15]С2.5!$AN$11</f>
        <v>0</v>
      </c>
    </row>
    <row r="179" spans="2:3" hidden="1">
      <c r="B179" s="106">
        <f t="shared" si="0"/>
        <v>2056</v>
      </c>
      <c r="C179" s="137">
        <f>[15]С2.5!$AO$11</f>
        <v>0</v>
      </c>
    </row>
    <row r="180" spans="2:3" hidden="1">
      <c r="B180" s="106">
        <f t="shared" si="0"/>
        <v>2057</v>
      </c>
      <c r="C180" s="137">
        <f>[15]С2.5!$AP$11</f>
        <v>0</v>
      </c>
    </row>
    <row r="181" spans="2:3" hidden="1">
      <c r="B181" s="106">
        <f t="shared" si="0"/>
        <v>2058</v>
      </c>
      <c r="C181" s="137">
        <f>[15]С2.5!$AQ$11</f>
        <v>0</v>
      </c>
    </row>
    <row r="182" spans="2:3" hidden="1">
      <c r="B182" s="106">
        <f t="shared" si="0"/>
        <v>2059</v>
      </c>
      <c r="C182" s="137">
        <f>[15]С2.5!$AR$11</f>
        <v>0</v>
      </c>
    </row>
    <row r="183" spans="2:3" hidden="1">
      <c r="B183" s="106">
        <f t="shared" si="0"/>
        <v>2060</v>
      </c>
      <c r="C183" s="137">
        <f>[15]С2.5!$AS$11</f>
        <v>0</v>
      </c>
    </row>
    <row r="184" spans="2:3" hidden="1">
      <c r="B184" s="106">
        <f t="shared" si="0"/>
        <v>2061</v>
      </c>
      <c r="C184" s="137">
        <f>[15]С2.5!$AT$11</f>
        <v>0</v>
      </c>
    </row>
    <row r="185" spans="2:3" hidden="1">
      <c r="B185" s="106">
        <f t="shared" si="0"/>
        <v>2062</v>
      </c>
      <c r="C185" s="137">
        <f>[15]С2.5!$AU$11</f>
        <v>0</v>
      </c>
    </row>
    <row r="186" spans="2:3" hidden="1">
      <c r="B186" s="106">
        <f t="shared" si="0"/>
        <v>2063</v>
      </c>
      <c r="C186" s="137">
        <f>[15]С2.5!$AV$11</f>
        <v>0</v>
      </c>
    </row>
    <row r="187" spans="2:3" hidden="1">
      <c r="B187" s="106">
        <f t="shared" si="0"/>
        <v>2064</v>
      </c>
      <c r="C187" s="137">
        <f>[15]С2.5!$AW$11</f>
        <v>0</v>
      </c>
    </row>
    <row r="188" spans="2:3" hidden="1">
      <c r="B188" s="106">
        <f t="shared" si="0"/>
        <v>2065</v>
      </c>
      <c r="C188" s="137">
        <f>[15]С2.5!$AX$11</f>
        <v>0</v>
      </c>
    </row>
    <row r="189" spans="2:3" hidden="1">
      <c r="B189" s="106">
        <f t="shared" si="0"/>
        <v>2066</v>
      </c>
      <c r="C189" s="137">
        <f>[15]С2.5!$AY$11</f>
        <v>0</v>
      </c>
    </row>
    <row r="190" spans="2:3" hidden="1">
      <c r="B190" s="106">
        <f t="shared" si="0"/>
        <v>2067</v>
      </c>
      <c r="C190" s="137">
        <f>[15]С2.5!$AZ$11</f>
        <v>0</v>
      </c>
    </row>
    <row r="191" spans="2:3" hidden="1">
      <c r="B191" s="106">
        <f t="shared" si="0"/>
        <v>2068</v>
      </c>
      <c r="C191" s="137">
        <f>[15]С2.5!$BA$11</f>
        <v>0</v>
      </c>
    </row>
    <row r="192" spans="2:3" hidden="1">
      <c r="B192" s="106">
        <f t="shared" si="0"/>
        <v>2069</v>
      </c>
      <c r="C192" s="137">
        <f>[15]С2.5!$BB$11</f>
        <v>0</v>
      </c>
    </row>
    <row r="193" spans="2:3" hidden="1">
      <c r="B193" s="106">
        <f t="shared" si="0"/>
        <v>2070</v>
      </c>
      <c r="C193" s="137">
        <f>[15]С2.5!$BC$11</f>
        <v>0</v>
      </c>
    </row>
    <row r="194" spans="2:3" hidden="1">
      <c r="B194" s="106">
        <f t="shared" si="0"/>
        <v>2071</v>
      </c>
      <c r="C194" s="137">
        <f>[15]С2.5!$BD$11</f>
        <v>0</v>
      </c>
    </row>
    <row r="195" spans="2:3" hidden="1">
      <c r="B195" s="106">
        <f t="shared" si="0"/>
        <v>2072</v>
      </c>
      <c r="C195" s="137">
        <f>[15]С2.5!$BE$11</f>
        <v>0</v>
      </c>
    </row>
    <row r="196" spans="2:3" hidden="1">
      <c r="B196" s="106">
        <f t="shared" si="0"/>
        <v>2073</v>
      </c>
      <c r="C196" s="137">
        <f>[15]С2.5!$BF$11</f>
        <v>0</v>
      </c>
    </row>
    <row r="197" spans="2:3" hidden="1">
      <c r="B197" s="106">
        <f t="shared" si="0"/>
        <v>2074</v>
      </c>
      <c r="C197" s="137">
        <f>[15]С2.5!$BG$11</f>
        <v>0</v>
      </c>
    </row>
    <row r="198" spans="2:3" hidden="1">
      <c r="B198" s="106">
        <f t="shared" si="0"/>
        <v>2075</v>
      </c>
      <c r="C198" s="137">
        <f>[15]С2.5!$BH$11</f>
        <v>0</v>
      </c>
    </row>
    <row r="199" spans="2:3" hidden="1">
      <c r="B199" s="106">
        <f t="shared" si="0"/>
        <v>2076</v>
      </c>
      <c r="C199" s="137">
        <f>[15]С2.5!$BI$11</f>
        <v>0</v>
      </c>
    </row>
    <row r="200" spans="2:3" hidden="1">
      <c r="B200" s="106">
        <f t="shared" si="0"/>
        <v>2077</v>
      </c>
      <c r="C200" s="137">
        <f>[15]С2.5!$BJ$11</f>
        <v>0</v>
      </c>
    </row>
    <row r="201" spans="2:3" hidden="1">
      <c r="B201" s="106">
        <f t="shared" si="0"/>
        <v>2078</v>
      </c>
      <c r="C201" s="137">
        <f>[15]С2.5!$BK$11</f>
        <v>0</v>
      </c>
    </row>
    <row r="202" spans="2:3" hidden="1">
      <c r="B202" s="106">
        <f t="shared" si="0"/>
        <v>2079</v>
      </c>
      <c r="C202" s="137">
        <f>[15]С2.5!$BL$11</f>
        <v>0</v>
      </c>
    </row>
    <row r="203" spans="2:3" hidden="1">
      <c r="B203" s="106">
        <f t="shared" si="0"/>
        <v>2080</v>
      </c>
      <c r="C203" s="137">
        <f>[15]С2.5!$BM$11</f>
        <v>0</v>
      </c>
    </row>
    <row r="204" spans="2:3" hidden="1">
      <c r="B204" s="106">
        <f t="shared" si="0"/>
        <v>2081</v>
      </c>
      <c r="C204" s="137">
        <f>[15]С2.5!$BN$11</f>
        <v>0</v>
      </c>
    </row>
    <row r="205" spans="2:3" hidden="1">
      <c r="B205" s="106">
        <f t="shared" si="0"/>
        <v>2082</v>
      </c>
      <c r="C205" s="137">
        <f>[15]С2.5!$BO$11</f>
        <v>0</v>
      </c>
    </row>
    <row r="206" spans="2:3" hidden="1">
      <c r="B206" s="106">
        <f t="shared" si="0"/>
        <v>2083</v>
      </c>
      <c r="C206" s="137">
        <f>[15]С2.5!$BP$11</f>
        <v>0</v>
      </c>
    </row>
    <row r="207" spans="2:3" hidden="1">
      <c r="B207" s="106">
        <f t="shared" si="0"/>
        <v>2084</v>
      </c>
      <c r="C207" s="137">
        <f>[15]С2.5!$BQ$11</f>
        <v>0</v>
      </c>
    </row>
    <row r="208" spans="2:3" hidden="1">
      <c r="B208" s="106">
        <f t="shared" si="0"/>
        <v>2085</v>
      </c>
      <c r="C208" s="137">
        <f>[15]С2.5!$BR$11</f>
        <v>0</v>
      </c>
    </row>
    <row r="209" spans="2:3" hidden="1">
      <c r="B209" s="106">
        <f t="shared" ref="B209:B223" si="1">B208+1</f>
        <v>2086</v>
      </c>
      <c r="C209" s="137">
        <f>[15]С2.5!$BS$11</f>
        <v>0</v>
      </c>
    </row>
    <row r="210" spans="2:3" hidden="1">
      <c r="B210" s="106">
        <f t="shared" si="1"/>
        <v>2087</v>
      </c>
      <c r="C210" s="137">
        <f>[15]С2.5!$BT$11</f>
        <v>0</v>
      </c>
    </row>
    <row r="211" spans="2:3" hidden="1">
      <c r="B211" s="106">
        <f t="shared" si="1"/>
        <v>2088</v>
      </c>
      <c r="C211" s="137">
        <f>[15]С2.5!$BU$11</f>
        <v>0</v>
      </c>
    </row>
    <row r="212" spans="2:3" hidden="1">
      <c r="B212" s="106">
        <f t="shared" si="1"/>
        <v>2089</v>
      </c>
      <c r="C212" s="137">
        <f>[15]С2.5!$BV$11</f>
        <v>0</v>
      </c>
    </row>
    <row r="213" spans="2:3" hidden="1">
      <c r="B213" s="106">
        <f t="shared" si="1"/>
        <v>2090</v>
      </c>
      <c r="C213" s="137">
        <f>[15]С2.5!$BW$11</f>
        <v>0</v>
      </c>
    </row>
    <row r="214" spans="2:3" hidden="1">
      <c r="B214" s="106">
        <f t="shared" si="1"/>
        <v>2091</v>
      </c>
      <c r="C214" s="137">
        <f>[15]С2.5!$BX$11</f>
        <v>0</v>
      </c>
    </row>
    <row r="215" spans="2:3" hidden="1">
      <c r="B215" s="106">
        <f t="shared" si="1"/>
        <v>2092</v>
      </c>
      <c r="C215" s="137">
        <f>[15]С2.5!$BY$11</f>
        <v>0</v>
      </c>
    </row>
    <row r="216" spans="2:3" hidden="1">
      <c r="B216" s="106">
        <f t="shared" si="1"/>
        <v>2093</v>
      </c>
      <c r="C216" s="137">
        <f>[15]С2.5!$BZ$11</f>
        <v>0</v>
      </c>
    </row>
    <row r="217" spans="2:3" hidden="1">
      <c r="B217" s="106">
        <f t="shared" si="1"/>
        <v>2094</v>
      </c>
      <c r="C217" s="137">
        <f>[15]С2.5!$CA$11</f>
        <v>0</v>
      </c>
    </row>
    <row r="218" spans="2:3" hidden="1">
      <c r="B218" s="106">
        <f t="shared" si="1"/>
        <v>2095</v>
      </c>
      <c r="C218" s="137">
        <f>[15]С2.5!$CB$11</f>
        <v>0</v>
      </c>
    </row>
    <row r="219" spans="2:3" hidden="1">
      <c r="B219" s="106">
        <f t="shared" si="1"/>
        <v>2096</v>
      </c>
      <c r="C219" s="137">
        <f>[15]С2.5!$CC$11</f>
        <v>0</v>
      </c>
    </row>
    <row r="220" spans="2:3" hidden="1">
      <c r="B220" s="106">
        <f t="shared" si="1"/>
        <v>2097</v>
      </c>
      <c r="C220" s="137">
        <f>[15]С2.5!$CD$11</f>
        <v>0</v>
      </c>
    </row>
    <row r="221" spans="2:3" hidden="1">
      <c r="B221" s="106">
        <f t="shared" si="1"/>
        <v>2098</v>
      </c>
      <c r="C221" s="137">
        <f>[15]С2.5!$CE$11</f>
        <v>0</v>
      </c>
    </row>
    <row r="222" spans="2:3" hidden="1">
      <c r="B222" s="106">
        <f t="shared" si="1"/>
        <v>2099</v>
      </c>
      <c r="C222" s="137">
        <f>[15]С2.5!$CF$11</f>
        <v>0</v>
      </c>
    </row>
    <row r="223" spans="2:3" ht="13.5" hidden="1" thickBot="1">
      <c r="B223" s="108">
        <f t="shared" si="1"/>
        <v>2100</v>
      </c>
      <c r="C223" s="138">
        <f>[15]С2.5!$CG$11</f>
        <v>0</v>
      </c>
    </row>
    <row r="224" spans="2:3" hidden="1">
      <c r="C224" s="141"/>
    </row>
    <row r="225" spans="3:3" hidden="1">
      <c r="C225" s="141"/>
    </row>
    <row r="226" spans="3:3">
      <c r="C226" s="141"/>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D2" sqref="D1:J1048576"/>
    </sheetView>
  </sheetViews>
  <sheetFormatPr defaultRowHeight="12.75"/>
  <cols>
    <col min="1" max="1" width="7.28515625" style="2" customWidth="1"/>
    <col min="2" max="2" width="100.7109375" style="2" customWidth="1"/>
    <col min="3" max="3" width="20.85546875" style="112" customWidth="1"/>
    <col min="4" max="152" width="9.140625" style="2"/>
    <col min="153" max="234" width="0" style="2" hidden="1" customWidth="1"/>
    <col min="235" max="243" width="9.140625" style="2"/>
    <col min="244" max="244" width="3.7109375" style="2" customWidth="1"/>
    <col min="245" max="245" width="96.85546875" style="2" customWidth="1"/>
    <col min="246" max="246" width="30.85546875" style="2" customWidth="1"/>
    <col min="247" max="247" width="12.5703125" style="2" customWidth="1"/>
    <col min="248" max="248" width="5.140625" style="2" customWidth="1"/>
    <col min="249" max="249" width="9.140625" style="2"/>
    <col min="250" max="250" width="4.85546875" style="2" customWidth="1"/>
    <col min="251" max="251" width="30.5703125" style="2" customWidth="1"/>
    <col min="252" max="252" width="33.85546875" style="2" customWidth="1"/>
    <col min="253" max="253" width="5.140625" style="2" customWidth="1"/>
    <col min="254" max="255" width="17.5703125" style="2" customWidth="1"/>
    <col min="256" max="499" width="9.140625" style="2"/>
    <col min="500" max="500" width="3.7109375" style="2" customWidth="1"/>
    <col min="501" max="501" width="96.85546875" style="2" customWidth="1"/>
    <col min="502" max="502" width="30.85546875" style="2" customWidth="1"/>
    <col min="503" max="503" width="12.5703125" style="2" customWidth="1"/>
    <col min="504" max="504" width="5.140625" style="2" customWidth="1"/>
    <col min="505" max="505" width="9.140625" style="2"/>
    <col min="506" max="506" width="4.85546875" style="2" customWidth="1"/>
    <col min="507" max="507" width="30.5703125" style="2" customWidth="1"/>
    <col min="508" max="508" width="33.85546875" style="2" customWidth="1"/>
    <col min="509" max="509" width="5.140625" style="2" customWidth="1"/>
    <col min="510" max="511" width="17.5703125" style="2" customWidth="1"/>
    <col min="512" max="755" width="9.140625" style="2"/>
    <col min="756" max="756" width="3.7109375" style="2" customWidth="1"/>
    <col min="757" max="757" width="96.85546875" style="2" customWidth="1"/>
    <col min="758" max="758" width="30.85546875" style="2" customWidth="1"/>
    <col min="759" max="759" width="12.5703125" style="2" customWidth="1"/>
    <col min="760" max="760" width="5.140625" style="2" customWidth="1"/>
    <col min="761" max="761" width="9.140625" style="2"/>
    <col min="762" max="762" width="4.85546875" style="2" customWidth="1"/>
    <col min="763" max="763" width="30.5703125" style="2" customWidth="1"/>
    <col min="764" max="764" width="33.85546875" style="2" customWidth="1"/>
    <col min="765" max="765" width="5.140625" style="2" customWidth="1"/>
    <col min="766" max="767" width="17.5703125" style="2" customWidth="1"/>
    <col min="768" max="1011" width="9.140625" style="2"/>
    <col min="1012" max="1012" width="3.7109375" style="2" customWidth="1"/>
    <col min="1013" max="1013" width="96.85546875" style="2" customWidth="1"/>
    <col min="1014" max="1014" width="30.85546875" style="2" customWidth="1"/>
    <col min="1015" max="1015" width="12.5703125" style="2" customWidth="1"/>
    <col min="1016" max="1016" width="5.140625" style="2" customWidth="1"/>
    <col min="1017" max="1017" width="9.140625" style="2"/>
    <col min="1018" max="1018" width="4.85546875" style="2" customWidth="1"/>
    <col min="1019" max="1019" width="30.5703125" style="2" customWidth="1"/>
    <col min="1020" max="1020" width="33.85546875" style="2" customWidth="1"/>
    <col min="1021" max="1021" width="5.140625" style="2" customWidth="1"/>
    <col min="1022" max="1023" width="17.5703125" style="2" customWidth="1"/>
    <col min="1024" max="1267" width="9.140625" style="2"/>
    <col min="1268" max="1268" width="3.7109375" style="2" customWidth="1"/>
    <col min="1269" max="1269" width="96.85546875" style="2" customWidth="1"/>
    <col min="1270" max="1270" width="30.85546875" style="2" customWidth="1"/>
    <col min="1271" max="1271" width="12.5703125" style="2" customWidth="1"/>
    <col min="1272" max="1272" width="5.140625" style="2" customWidth="1"/>
    <col min="1273" max="1273" width="9.140625" style="2"/>
    <col min="1274" max="1274" width="4.85546875" style="2" customWidth="1"/>
    <col min="1275" max="1275" width="30.5703125" style="2" customWidth="1"/>
    <col min="1276" max="1276" width="33.85546875" style="2" customWidth="1"/>
    <col min="1277" max="1277" width="5.140625" style="2" customWidth="1"/>
    <col min="1278" max="1279" width="17.5703125" style="2" customWidth="1"/>
    <col min="1280" max="1523" width="9.140625" style="2"/>
    <col min="1524" max="1524" width="3.7109375" style="2" customWidth="1"/>
    <col min="1525" max="1525" width="96.85546875" style="2" customWidth="1"/>
    <col min="1526" max="1526" width="30.85546875" style="2" customWidth="1"/>
    <col min="1527" max="1527" width="12.5703125" style="2" customWidth="1"/>
    <col min="1528" max="1528" width="5.140625" style="2" customWidth="1"/>
    <col min="1529" max="1529" width="9.140625" style="2"/>
    <col min="1530" max="1530" width="4.85546875" style="2" customWidth="1"/>
    <col min="1531" max="1531" width="30.5703125" style="2" customWidth="1"/>
    <col min="1532" max="1532" width="33.85546875" style="2" customWidth="1"/>
    <col min="1533" max="1533" width="5.140625" style="2" customWidth="1"/>
    <col min="1534" max="1535" width="17.5703125" style="2" customWidth="1"/>
    <col min="1536" max="1779" width="9.140625" style="2"/>
    <col min="1780" max="1780" width="3.7109375" style="2" customWidth="1"/>
    <col min="1781" max="1781" width="96.85546875" style="2" customWidth="1"/>
    <col min="1782" max="1782" width="30.85546875" style="2" customWidth="1"/>
    <col min="1783" max="1783" width="12.5703125" style="2" customWidth="1"/>
    <col min="1784" max="1784" width="5.140625" style="2" customWidth="1"/>
    <col min="1785" max="1785" width="9.140625" style="2"/>
    <col min="1786" max="1786" width="4.85546875" style="2" customWidth="1"/>
    <col min="1787" max="1787" width="30.5703125" style="2" customWidth="1"/>
    <col min="1788" max="1788" width="33.85546875" style="2" customWidth="1"/>
    <col min="1789" max="1789" width="5.140625" style="2" customWidth="1"/>
    <col min="1790" max="1791" width="17.5703125" style="2" customWidth="1"/>
    <col min="1792" max="2035" width="9.140625" style="2"/>
    <col min="2036" max="2036" width="3.7109375" style="2" customWidth="1"/>
    <col min="2037" max="2037" width="96.85546875" style="2" customWidth="1"/>
    <col min="2038" max="2038" width="30.85546875" style="2" customWidth="1"/>
    <col min="2039" max="2039" width="12.5703125" style="2" customWidth="1"/>
    <col min="2040" max="2040" width="5.140625" style="2" customWidth="1"/>
    <col min="2041" max="2041" width="9.140625" style="2"/>
    <col min="2042" max="2042" width="4.85546875" style="2" customWidth="1"/>
    <col min="2043" max="2043" width="30.5703125" style="2" customWidth="1"/>
    <col min="2044" max="2044" width="33.85546875" style="2" customWidth="1"/>
    <col min="2045" max="2045" width="5.140625" style="2" customWidth="1"/>
    <col min="2046" max="2047" width="17.5703125" style="2" customWidth="1"/>
    <col min="2048" max="2291" width="9.140625" style="2"/>
    <col min="2292" max="2292" width="3.7109375" style="2" customWidth="1"/>
    <col min="2293" max="2293" width="96.85546875" style="2" customWidth="1"/>
    <col min="2294" max="2294" width="30.85546875" style="2" customWidth="1"/>
    <col min="2295" max="2295" width="12.5703125" style="2" customWidth="1"/>
    <col min="2296" max="2296" width="5.140625" style="2" customWidth="1"/>
    <col min="2297" max="2297" width="9.140625" style="2"/>
    <col min="2298" max="2298" width="4.85546875" style="2" customWidth="1"/>
    <col min="2299" max="2299" width="30.5703125" style="2" customWidth="1"/>
    <col min="2300" max="2300" width="33.85546875" style="2" customWidth="1"/>
    <col min="2301" max="2301" width="5.140625" style="2" customWidth="1"/>
    <col min="2302" max="2303" width="17.5703125" style="2" customWidth="1"/>
    <col min="2304" max="2547" width="9.140625" style="2"/>
    <col min="2548" max="2548" width="3.7109375" style="2" customWidth="1"/>
    <col min="2549" max="2549" width="96.85546875" style="2" customWidth="1"/>
    <col min="2550" max="2550" width="30.85546875" style="2" customWidth="1"/>
    <col min="2551" max="2551" width="12.5703125" style="2" customWidth="1"/>
    <col min="2552" max="2552" width="5.140625" style="2" customWidth="1"/>
    <col min="2553" max="2553" width="9.140625" style="2"/>
    <col min="2554" max="2554" width="4.85546875" style="2" customWidth="1"/>
    <col min="2555" max="2555" width="30.5703125" style="2" customWidth="1"/>
    <col min="2556" max="2556" width="33.85546875" style="2" customWidth="1"/>
    <col min="2557" max="2557" width="5.140625" style="2" customWidth="1"/>
    <col min="2558" max="2559" width="17.5703125" style="2" customWidth="1"/>
    <col min="2560" max="2803" width="9.140625" style="2"/>
    <col min="2804" max="2804" width="3.7109375" style="2" customWidth="1"/>
    <col min="2805" max="2805" width="96.85546875" style="2" customWidth="1"/>
    <col min="2806" max="2806" width="30.85546875" style="2" customWidth="1"/>
    <col min="2807" max="2807" width="12.5703125" style="2" customWidth="1"/>
    <col min="2808" max="2808" width="5.140625" style="2" customWidth="1"/>
    <col min="2809" max="2809" width="9.140625" style="2"/>
    <col min="2810" max="2810" width="4.85546875" style="2" customWidth="1"/>
    <col min="2811" max="2811" width="30.5703125" style="2" customWidth="1"/>
    <col min="2812" max="2812" width="33.85546875" style="2" customWidth="1"/>
    <col min="2813" max="2813" width="5.140625" style="2" customWidth="1"/>
    <col min="2814" max="2815" width="17.5703125" style="2" customWidth="1"/>
    <col min="2816" max="3059" width="9.140625" style="2"/>
    <col min="3060" max="3060" width="3.7109375" style="2" customWidth="1"/>
    <col min="3061" max="3061" width="96.85546875" style="2" customWidth="1"/>
    <col min="3062" max="3062" width="30.85546875" style="2" customWidth="1"/>
    <col min="3063" max="3063" width="12.5703125" style="2" customWidth="1"/>
    <col min="3064" max="3064" width="5.140625" style="2" customWidth="1"/>
    <col min="3065" max="3065" width="9.140625" style="2"/>
    <col min="3066" max="3066" width="4.85546875" style="2" customWidth="1"/>
    <col min="3067" max="3067" width="30.5703125" style="2" customWidth="1"/>
    <col min="3068" max="3068" width="33.85546875" style="2" customWidth="1"/>
    <col min="3069" max="3069" width="5.140625" style="2" customWidth="1"/>
    <col min="3070" max="3071" width="17.5703125" style="2" customWidth="1"/>
    <col min="3072" max="3315" width="9.140625" style="2"/>
    <col min="3316" max="3316" width="3.7109375" style="2" customWidth="1"/>
    <col min="3317" max="3317" width="96.85546875" style="2" customWidth="1"/>
    <col min="3318" max="3318" width="30.85546875" style="2" customWidth="1"/>
    <col min="3319" max="3319" width="12.5703125" style="2" customWidth="1"/>
    <col min="3320" max="3320" width="5.140625" style="2" customWidth="1"/>
    <col min="3321" max="3321" width="9.140625" style="2"/>
    <col min="3322" max="3322" width="4.85546875" style="2" customWidth="1"/>
    <col min="3323" max="3323" width="30.5703125" style="2" customWidth="1"/>
    <col min="3324" max="3324" width="33.85546875" style="2" customWidth="1"/>
    <col min="3325" max="3325" width="5.140625" style="2" customWidth="1"/>
    <col min="3326" max="3327" width="17.5703125" style="2" customWidth="1"/>
    <col min="3328" max="3571" width="9.140625" style="2"/>
    <col min="3572" max="3572" width="3.7109375" style="2" customWidth="1"/>
    <col min="3573" max="3573" width="96.85546875" style="2" customWidth="1"/>
    <col min="3574" max="3574" width="30.85546875" style="2" customWidth="1"/>
    <col min="3575" max="3575" width="12.5703125" style="2" customWidth="1"/>
    <col min="3576" max="3576" width="5.140625" style="2" customWidth="1"/>
    <col min="3577" max="3577" width="9.140625" style="2"/>
    <col min="3578" max="3578" width="4.85546875" style="2" customWidth="1"/>
    <col min="3579" max="3579" width="30.5703125" style="2" customWidth="1"/>
    <col min="3580" max="3580" width="33.85546875" style="2" customWidth="1"/>
    <col min="3581" max="3581" width="5.140625" style="2" customWidth="1"/>
    <col min="3582" max="3583" width="17.5703125" style="2" customWidth="1"/>
    <col min="3584" max="3827" width="9.140625" style="2"/>
    <col min="3828" max="3828" width="3.7109375" style="2" customWidth="1"/>
    <col min="3829" max="3829" width="96.85546875" style="2" customWidth="1"/>
    <col min="3830" max="3830" width="30.85546875" style="2" customWidth="1"/>
    <col min="3831" max="3831" width="12.5703125" style="2" customWidth="1"/>
    <col min="3832" max="3832" width="5.140625" style="2" customWidth="1"/>
    <col min="3833" max="3833" width="9.140625" style="2"/>
    <col min="3834" max="3834" width="4.85546875" style="2" customWidth="1"/>
    <col min="3835" max="3835" width="30.5703125" style="2" customWidth="1"/>
    <col min="3836" max="3836" width="33.85546875" style="2" customWidth="1"/>
    <col min="3837" max="3837" width="5.140625" style="2" customWidth="1"/>
    <col min="3838" max="3839" width="17.5703125" style="2" customWidth="1"/>
    <col min="3840" max="4083" width="9.140625" style="2"/>
    <col min="4084" max="4084" width="3.7109375" style="2" customWidth="1"/>
    <col min="4085" max="4085" width="96.85546875" style="2" customWidth="1"/>
    <col min="4086" max="4086" width="30.85546875" style="2" customWidth="1"/>
    <col min="4087" max="4087" width="12.5703125" style="2" customWidth="1"/>
    <col min="4088" max="4088" width="5.140625" style="2" customWidth="1"/>
    <col min="4089" max="4089" width="9.140625" style="2"/>
    <col min="4090" max="4090" width="4.85546875" style="2" customWidth="1"/>
    <col min="4091" max="4091" width="30.5703125" style="2" customWidth="1"/>
    <col min="4092" max="4092" width="33.85546875" style="2" customWidth="1"/>
    <col min="4093" max="4093" width="5.140625" style="2" customWidth="1"/>
    <col min="4094" max="4095" width="17.5703125" style="2" customWidth="1"/>
    <col min="4096" max="4339" width="9.140625" style="2"/>
    <col min="4340" max="4340" width="3.7109375" style="2" customWidth="1"/>
    <col min="4341" max="4341" width="96.85546875" style="2" customWidth="1"/>
    <col min="4342" max="4342" width="30.85546875" style="2" customWidth="1"/>
    <col min="4343" max="4343" width="12.5703125" style="2" customWidth="1"/>
    <col min="4344" max="4344" width="5.140625" style="2" customWidth="1"/>
    <col min="4345" max="4345" width="9.140625" style="2"/>
    <col min="4346" max="4346" width="4.85546875" style="2" customWidth="1"/>
    <col min="4347" max="4347" width="30.5703125" style="2" customWidth="1"/>
    <col min="4348" max="4348" width="33.85546875" style="2" customWidth="1"/>
    <col min="4349" max="4349" width="5.140625" style="2" customWidth="1"/>
    <col min="4350" max="4351" width="17.5703125" style="2" customWidth="1"/>
    <col min="4352" max="4595" width="9.140625" style="2"/>
    <col min="4596" max="4596" width="3.7109375" style="2" customWidth="1"/>
    <col min="4597" max="4597" width="96.85546875" style="2" customWidth="1"/>
    <col min="4598" max="4598" width="30.85546875" style="2" customWidth="1"/>
    <col min="4599" max="4599" width="12.5703125" style="2" customWidth="1"/>
    <col min="4600" max="4600" width="5.140625" style="2" customWidth="1"/>
    <col min="4601" max="4601" width="9.140625" style="2"/>
    <col min="4602" max="4602" width="4.85546875" style="2" customWidth="1"/>
    <col min="4603" max="4603" width="30.5703125" style="2" customWidth="1"/>
    <col min="4604" max="4604" width="33.85546875" style="2" customWidth="1"/>
    <col min="4605" max="4605" width="5.140625" style="2" customWidth="1"/>
    <col min="4606" max="4607" width="17.5703125" style="2" customWidth="1"/>
    <col min="4608" max="4851" width="9.140625" style="2"/>
    <col min="4852" max="4852" width="3.7109375" style="2" customWidth="1"/>
    <col min="4853" max="4853" width="96.85546875" style="2" customWidth="1"/>
    <col min="4854" max="4854" width="30.85546875" style="2" customWidth="1"/>
    <col min="4855" max="4855" width="12.5703125" style="2" customWidth="1"/>
    <col min="4856" max="4856" width="5.140625" style="2" customWidth="1"/>
    <col min="4857" max="4857" width="9.140625" style="2"/>
    <col min="4858" max="4858" width="4.85546875" style="2" customWidth="1"/>
    <col min="4859" max="4859" width="30.5703125" style="2" customWidth="1"/>
    <col min="4860" max="4860" width="33.85546875" style="2" customWidth="1"/>
    <col min="4861" max="4861" width="5.140625" style="2" customWidth="1"/>
    <col min="4862" max="4863" width="17.5703125" style="2" customWidth="1"/>
    <col min="4864" max="5107" width="9.140625" style="2"/>
    <col min="5108" max="5108" width="3.7109375" style="2" customWidth="1"/>
    <col min="5109" max="5109" width="96.85546875" style="2" customWidth="1"/>
    <col min="5110" max="5110" width="30.85546875" style="2" customWidth="1"/>
    <col min="5111" max="5111" width="12.5703125" style="2" customWidth="1"/>
    <col min="5112" max="5112" width="5.140625" style="2" customWidth="1"/>
    <col min="5113" max="5113" width="9.140625" style="2"/>
    <col min="5114" max="5114" width="4.85546875" style="2" customWidth="1"/>
    <col min="5115" max="5115" width="30.5703125" style="2" customWidth="1"/>
    <col min="5116" max="5116" width="33.85546875" style="2" customWidth="1"/>
    <col min="5117" max="5117" width="5.140625" style="2" customWidth="1"/>
    <col min="5118" max="5119" width="17.5703125" style="2" customWidth="1"/>
    <col min="5120" max="5363" width="9.140625" style="2"/>
    <col min="5364" max="5364" width="3.7109375" style="2" customWidth="1"/>
    <col min="5365" max="5365" width="96.85546875" style="2" customWidth="1"/>
    <col min="5366" max="5366" width="30.85546875" style="2" customWidth="1"/>
    <col min="5367" max="5367" width="12.5703125" style="2" customWidth="1"/>
    <col min="5368" max="5368" width="5.140625" style="2" customWidth="1"/>
    <col min="5369" max="5369" width="9.140625" style="2"/>
    <col min="5370" max="5370" width="4.85546875" style="2" customWidth="1"/>
    <col min="5371" max="5371" width="30.5703125" style="2" customWidth="1"/>
    <col min="5372" max="5372" width="33.85546875" style="2" customWidth="1"/>
    <col min="5373" max="5373" width="5.140625" style="2" customWidth="1"/>
    <col min="5374" max="5375" width="17.5703125" style="2" customWidth="1"/>
    <col min="5376" max="5619" width="9.140625" style="2"/>
    <col min="5620" max="5620" width="3.7109375" style="2" customWidth="1"/>
    <col min="5621" max="5621" width="96.85546875" style="2" customWidth="1"/>
    <col min="5622" max="5622" width="30.85546875" style="2" customWidth="1"/>
    <col min="5623" max="5623" width="12.5703125" style="2" customWidth="1"/>
    <col min="5624" max="5624" width="5.140625" style="2" customWidth="1"/>
    <col min="5625" max="5625" width="9.140625" style="2"/>
    <col min="5626" max="5626" width="4.85546875" style="2" customWidth="1"/>
    <col min="5627" max="5627" width="30.5703125" style="2" customWidth="1"/>
    <col min="5628" max="5628" width="33.85546875" style="2" customWidth="1"/>
    <col min="5629" max="5629" width="5.140625" style="2" customWidth="1"/>
    <col min="5630" max="5631" width="17.5703125" style="2" customWidth="1"/>
    <col min="5632" max="5875" width="9.140625" style="2"/>
    <col min="5876" max="5876" width="3.7109375" style="2" customWidth="1"/>
    <col min="5877" max="5877" width="96.85546875" style="2" customWidth="1"/>
    <col min="5878" max="5878" width="30.85546875" style="2" customWidth="1"/>
    <col min="5879" max="5879" width="12.5703125" style="2" customWidth="1"/>
    <col min="5880" max="5880" width="5.140625" style="2" customWidth="1"/>
    <col min="5881" max="5881" width="9.140625" style="2"/>
    <col min="5882" max="5882" width="4.85546875" style="2" customWidth="1"/>
    <col min="5883" max="5883" width="30.5703125" style="2" customWidth="1"/>
    <col min="5884" max="5884" width="33.85546875" style="2" customWidth="1"/>
    <col min="5885" max="5885" width="5.140625" style="2" customWidth="1"/>
    <col min="5886" max="5887" width="17.5703125" style="2" customWidth="1"/>
    <col min="5888" max="6131" width="9.140625" style="2"/>
    <col min="6132" max="6132" width="3.7109375" style="2" customWidth="1"/>
    <col min="6133" max="6133" width="96.85546875" style="2" customWidth="1"/>
    <col min="6134" max="6134" width="30.85546875" style="2" customWidth="1"/>
    <col min="6135" max="6135" width="12.5703125" style="2" customWidth="1"/>
    <col min="6136" max="6136" width="5.140625" style="2" customWidth="1"/>
    <col min="6137" max="6137" width="9.140625" style="2"/>
    <col min="6138" max="6138" width="4.85546875" style="2" customWidth="1"/>
    <col min="6139" max="6139" width="30.5703125" style="2" customWidth="1"/>
    <col min="6140" max="6140" width="33.85546875" style="2" customWidth="1"/>
    <col min="6141" max="6141" width="5.140625" style="2" customWidth="1"/>
    <col min="6142" max="6143" width="17.5703125" style="2" customWidth="1"/>
    <col min="6144" max="6387" width="9.140625" style="2"/>
    <col min="6388" max="6388" width="3.7109375" style="2" customWidth="1"/>
    <col min="6389" max="6389" width="96.85546875" style="2" customWidth="1"/>
    <col min="6390" max="6390" width="30.85546875" style="2" customWidth="1"/>
    <col min="6391" max="6391" width="12.5703125" style="2" customWidth="1"/>
    <col min="6392" max="6392" width="5.140625" style="2" customWidth="1"/>
    <col min="6393" max="6393" width="9.140625" style="2"/>
    <col min="6394" max="6394" width="4.85546875" style="2" customWidth="1"/>
    <col min="6395" max="6395" width="30.5703125" style="2" customWidth="1"/>
    <col min="6396" max="6396" width="33.85546875" style="2" customWidth="1"/>
    <col min="6397" max="6397" width="5.140625" style="2" customWidth="1"/>
    <col min="6398" max="6399" width="17.5703125" style="2" customWidth="1"/>
    <col min="6400" max="6643" width="9.140625" style="2"/>
    <col min="6644" max="6644" width="3.7109375" style="2" customWidth="1"/>
    <col min="6645" max="6645" width="96.85546875" style="2" customWidth="1"/>
    <col min="6646" max="6646" width="30.85546875" style="2" customWidth="1"/>
    <col min="6647" max="6647" width="12.5703125" style="2" customWidth="1"/>
    <col min="6648" max="6648" width="5.140625" style="2" customWidth="1"/>
    <col min="6649" max="6649" width="9.140625" style="2"/>
    <col min="6650" max="6650" width="4.85546875" style="2" customWidth="1"/>
    <col min="6651" max="6651" width="30.5703125" style="2" customWidth="1"/>
    <col min="6652" max="6652" width="33.85546875" style="2" customWidth="1"/>
    <col min="6653" max="6653" width="5.140625" style="2" customWidth="1"/>
    <col min="6654" max="6655" width="17.5703125" style="2" customWidth="1"/>
    <col min="6656" max="6899" width="9.140625" style="2"/>
    <col min="6900" max="6900" width="3.7109375" style="2" customWidth="1"/>
    <col min="6901" max="6901" width="96.85546875" style="2" customWidth="1"/>
    <col min="6902" max="6902" width="30.85546875" style="2" customWidth="1"/>
    <col min="6903" max="6903" width="12.5703125" style="2" customWidth="1"/>
    <col min="6904" max="6904" width="5.140625" style="2" customWidth="1"/>
    <col min="6905" max="6905" width="9.140625" style="2"/>
    <col min="6906" max="6906" width="4.85546875" style="2" customWidth="1"/>
    <col min="6907" max="6907" width="30.5703125" style="2" customWidth="1"/>
    <col min="6908" max="6908" width="33.85546875" style="2" customWidth="1"/>
    <col min="6909" max="6909" width="5.140625" style="2" customWidth="1"/>
    <col min="6910" max="6911" width="17.5703125" style="2" customWidth="1"/>
    <col min="6912" max="7155" width="9.140625" style="2"/>
    <col min="7156" max="7156" width="3.7109375" style="2" customWidth="1"/>
    <col min="7157" max="7157" width="96.85546875" style="2" customWidth="1"/>
    <col min="7158" max="7158" width="30.85546875" style="2" customWidth="1"/>
    <col min="7159" max="7159" width="12.5703125" style="2" customWidth="1"/>
    <col min="7160" max="7160" width="5.140625" style="2" customWidth="1"/>
    <col min="7161" max="7161" width="9.140625" style="2"/>
    <col min="7162" max="7162" width="4.85546875" style="2" customWidth="1"/>
    <col min="7163" max="7163" width="30.5703125" style="2" customWidth="1"/>
    <col min="7164" max="7164" width="33.85546875" style="2" customWidth="1"/>
    <col min="7165" max="7165" width="5.140625" style="2" customWidth="1"/>
    <col min="7166" max="7167" width="17.5703125" style="2" customWidth="1"/>
    <col min="7168" max="7411" width="9.140625" style="2"/>
    <col min="7412" max="7412" width="3.7109375" style="2" customWidth="1"/>
    <col min="7413" max="7413" width="96.85546875" style="2" customWidth="1"/>
    <col min="7414" max="7414" width="30.85546875" style="2" customWidth="1"/>
    <col min="7415" max="7415" width="12.5703125" style="2" customWidth="1"/>
    <col min="7416" max="7416" width="5.140625" style="2" customWidth="1"/>
    <col min="7417" max="7417" width="9.140625" style="2"/>
    <col min="7418" max="7418" width="4.85546875" style="2" customWidth="1"/>
    <col min="7419" max="7419" width="30.5703125" style="2" customWidth="1"/>
    <col min="7420" max="7420" width="33.85546875" style="2" customWidth="1"/>
    <col min="7421" max="7421" width="5.140625" style="2" customWidth="1"/>
    <col min="7422" max="7423" width="17.5703125" style="2" customWidth="1"/>
    <col min="7424" max="7667" width="9.140625" style="2"/>
    <col min="7668" max="7668" width="3.7109375" style="2" customWidth="1"/>
    <col min="7669" max="7669" width="96.85546875" style="2" customWidth="1"/>
    <col min="7670" max="7670" width="30.85546875" style="2" customWidth="1"/>
    <col min="7671" max="7671" width="12.5703125" style="2" customWidth="1"/>
    <col min="7672" max="7672" width="5.140625" style="2" customWidth="1"/>
    <col min="7673" max="7673" width="9.140625" style="2"/>
    <col min="7674" max="7674" width="4.85546875" style="2" customWidth="1"/>
    <col min="7675" max="7675" width="30.5703125" style="2" customWidth="1"/>
    <col min="7676" max="7676" width="33.85546875" style="2" customWidth="1"/>
    <col min="7677" max="7677" width="5.140625" style="2" customWidth="1"/>
    <col min="7678" max="7679" width="17.5703125" style="2" customWidth="1"/>
    <col min="7680" max="7923" width="9.140625" style="2"/>
    <col min="7924" max="7924" width="3.7109375" style="2" customWidth="1"/>
    <col min="7925" max="7925" width="96.85546875" style="2" customWidth="1"/>
    <col min="7926" max="7926" width="30.85546875" style="2" customWidth="1"/>
    <col min="7927" max="7927" width="12.5703125" style="2" customWidth="1"/>
    <col min="7928" max="7928" width="5.140625" style="2" customWidth="1"/>
    <col min="7929" max="7929" width="9.140625" style="2"/>
    <col min="7930" max="7930" width="4.85546875" style="2" customWidth="1"/>
    <col min="7931" max="7931" width="30.5703125" style="2" customWidth="1"/>
    <col min="7932" max="7932" width="33.85546875" style="2" customWidth="1"/>
    <col min="7933" max="7933" width="5.140625" style="2" customWidth="1"/>
    <col min="7934" max="7935" width="17.5703125" style="2" customWidth="1"/>
    <col min="7936" max="8179" width="9.140625" style="2"/>
    <col min="8180" max="8180" width="3.7109375" style="2" customWidth="1"/>
    <col min="8181" max="8181" width="96.85546875" style="2" customWidth="1"/>
    <col min="8182" max="8182" width="30.85546875" style="2" customWidth="1"/>
    <col min="8183" max="8183" width="12.5703125" style="2" customWidth="1"/>
    <col min="8184" max="8184" width="5.140625" style="2" customWidth="1"/>
    <col min="8185" max="8185" width="9.140625" style="2"/>
    <col min="8186" max="8186" width="4.85546875" style="2" customWidth="1"/>
    <col min="8187" max="8187" width="30.5703125" style="2" customWidth="1"/>
    <col min="8188" max="8188" width="33.85546875" style="2" customWidth="1"/>
    <col min="8189" max="8189" width="5.140625" style="2" customWidth="1"/>
    <col min="8190" max="8191" width="17.5703125" style="2" customWidth="1"/>
    <col min="8192" max="8435" width="9.140625" style="2"/>
    <col min="8436" max="8436" width="3.7109375" style="2" customWidth="1"/>
    <col min="8437" max="8437" width="96.85546875" style="2" customWidth="1"/>
    <col min="8438" max="8438" width="30.85546875" style="2" customWidth="1"/>
    <col min="8439" max="8439" width="12.5703125" style="2" customWidth="1"/>
    <col min="8440" max="8440" width="5.140625" style="2" customWidth="1"/>
    <col min="8441" max="8441" width="9.140625" style="2"/>
    <col min="8442" max="8442" width="4.85546875" style="2" customWidth="1"/>
    <col min="8443" max="8443" width="30.5703125" style="2" customWidth="1"/>
    <col min="8444" max="8444" width="33.85546875" style="2" customWidth="1"/>
    <col min="8445" max="8445" width="5.140625" style="2" customWidth="1"/>
    <col min="8446" max="8447" width="17.5703125" style="2" customWidth="1"/>
    <col min="8448" max="8691" width="9.140625" style="2"/>
    <col min="8692" max="8692" width="3.7109375" style="2" customWidth="1"/>
    <col min="8693" max="8693" width="96.85546875" style="2" customWidth="1"/>
    <col min="8694" max="8694" width="30.85546875" style="2" customWidth="1"/>
    <col min="8695" max="8695" width="12.5703125" style="2" customWidth="1"/>
    <col min="8696" max="8696" width="5.140625" style="2" customWidth="1"/>
    <col min="8697" max="8697" width="9.140625" style="2"/>
    <col min="8698" max="8698" width="4.85546875" style="2" customWidth="1"/>
    <col min="8699" max="8699" width="30.5703125" style="2" customWidth="1"/>
    <col min="8700" max="8700" width="33.85546875" style="2" customWidth="1"/>
    <col min="8701" max="8701" width="5.140625" style="2" customWidth="1"/>
    <col min="8702" max="8703" width="17.5703125" style="2" customWidth="1"/>
    <col min="8704" max="8947" width="9.140625" style="2"/>
    <col min="8948" max="8948" width="3.7109375" style="2" customWidth="1"/>
    <col min="8949" max="8949" width="96.85546875" style="2" customWidth="1"/>
    <col min="8950" max="8950" width="30.85546875" style="2" customWidth="1"/>
    <col min="8951" max="8951" width="12.5703125" style="2" customWidth="1"/>
    <col min="8952" max="8952" width="5.140625" style="2" customWidth="1"/>
    <col min="8953" max="8953" width="9.140625" style="2"/>
    <col min="8954" max="8954" width="4.85546875" style="2" customWidth="1"/>
    <col min="8955" max="8955" width="30.5703125" style="2" customWidth="1"/>
    <col min="8956" max="8956" width="33.85546875" style="2" customWidth="1"/>
    <col min="8957" max="8957" width="5.140625" style="2" customWidth="1"/>
    <col min="8958" max="8959" width="17.5703125" style="2" customWidth="1"/>
    <col min="8960" max="9203" width="9.140625" style="2"/>
    <col min="9204" max="9204" width="3.7109375" style="2" customWidth="1"/>
    <col min="9205" max="9205" width="96.85546875" style="2" customWidth="1"/>
    <col min="9206" max="9206" width="30.85546875" style="2" customWidth="1"/>
    <col min="9207" max="9207" width="12.5703125" style="2" customWidth="1"/>
    <col min="9208" max="9208" width="5.140625" style="2" customWidth="1"/>
    <col min="9209" max="9209" width="9.140625" style="2"/>
    <col min="9210" max="9210" width="4.85546875" style="2" customWidth="1"/>
    <col min="9211" max="9211" width="30.5703125" style="2" customWidth="1"/>
    <col min="9212" max="9212" width="33.85546875" style="2" customWidth="1"/>
    <col min="9213" max="9213" width="5.140625" style="2" customWidth="1"/>
    <col min="9214" max="9215" width="17.5703125" style="2" customWidth="1"/>
    <col min="9216" max="9459" width="9.140625" style="2"/>
    <col min="9460" max="9460" width="3.7109375" style="2" customWidth="1"/>
    <col min="9461" max="9461" width="96.85546875" style="2" customWidth="1"/>
    <col min="9462" max="9462" width="30.85546875" style="2" customWidth="1"/>
    <col min="9463" max="9463" width="12.5703125" style="2" customWidth="1"/>
    <col min="9464" max="9464" width="5.140625" style="2" customWidth="1"/>
    <col min="9465" max="9465" width="9.140625" style="2"/>
    <col min="9466" max="9466" width="4.85546875" style="2" customWidth="1"/>
    <col min="9467" max="9467" width="30.5703125" style="2" customWidth="1"/>
    <col min="9468" max="9468" width="33.85546875" style="2" customWidth="1"/>
    <col min="9469" max="9469" width="5.140625" style="2" customWidth="1"/>
    <col min="9470" max="9471" width="17.5703125" style="2" customWidth="1"/>
    <col min="9472" max="9715" width="9.140625" style="2"/>
    <col min="9716" max="9716" width="3.7109375" style="2" customWidth="1"/>
    <col min="9717" max="9717" width="96.85546875" style="2" customWidth="1"/>
    <col min="9718" max="9718" width="30.85546875" style="2" customWidth="1"/>
    <col min="9719" max="9719" width="12.5703125" style="2" customWidth="1"/>
    <col min="9720" max="9720" width="5.140625" style="2" customWidth="1"/>
    <col min="9721" max="9721" width="9.140625" style="2"/>
    <col min="9722" max="9722" width="4.85546875" style="2" customWidth="1"/>
    <col min="9723" max="9723" width="30.5703125" style="2" customWidth="1"/>
    <col min="9724" max="9724" width="33.85546875" style="2" customWidth="1"/>
    <col min="9725" max="9725" width="5.140625" style="2" customWidth="1"/>
    <col min="9726" max="9727" width="17.5703125" style="2" customWidth="1"/>
    <col min="9728" max="9971" width="9.140625" style="2"/>
    <col min="9972" max="9972" width="3.7109375" style="2" customWidth="1"/>
    <col min="9973" max="9973" width="96.85546875" style="2" customWidth="1"/>
    <col min="9974" max="9974" width="30.85546875" style="2" customWidth="1"/>
    <col min="9975" max="9975" width="12.5703125" style="2" customWidth="1"/>
    <col min="9976" max="9976" width="5.140625" style="2" customWidth="1"/>
    <col min="9977" max="9977" width="9.140625" style="2"/>
    <col min="9978" max="9978" width="4.85546875" style="2" customWidth="1"/>
    <col min="9979" max="9979" width="30.5703125" style="2" customWidth="1"/>
    <col min="9980" max="9980" width="33.85546875" style="2" customWidth="1"/>
    <col min="9981" max="9981" width="5.140625" style="2" customWidth="1"/>
    <col min="9982" max="9983" width="17.5703125" style="2" customWidth="1"/>
    <col min="9984" max="10227" width="9.140625" style="2"/>
    <col min="10228" max="10228" width="3.7109375" style="2" customWidth="1"/>
    <col min="10229" max="10229" width="96.85546875" style="2" customWidth="1"/>
    <col min="10230" max="10230" width="30.85546875" style="2" customWidth="1"/>
    <col min="10231" max="10231" width="12.5703125" style="2" customWidth="1"/>
    <col min="10232" max="10232" width="5.140625" style="2" customWidth="1"/>
    <col min="10233" max="10233" width="9.140625" style="2"/>
    <col min="10234" max="10234" width="4.85546875" style="2" customWidth="1"/>
    <col min="10235" max="10235" width="30.5703125" style="2" customWidth="1"/>
    <col min="10236" max="10236" width="33.85546875" style="2" customWidth="1"/>
    <col min="10237" max="10237" width="5.140625" style="2" customWidth="1"/>
    <col min="10238" max="10239" width="17.5703125" style="2" customWidth="1"/>
    <col min="10240" max="10483" width="9.140625" style="2"/>
    <col min="10484" max="10484" width="3.7109375" style="2" customWidth="1"/>
    <col min="10485" max="10485" width="96.85546875" style="2" customWidth="1"/>
    <col min="10486" max="10486" width="30.85546875" style="2" customWidth="1"/>
    <col min="10487" max="10487" width="12.5703125" style="2" customWidth="1"/>
    <col min="10488" max="10488" width="5.140625" style="2" customWidth="1"/>
    <col min="10489" max="10489" width="9.140625" style="2"/>
    <col min="10490" max="10490" width="4.85546875" style="2" customWidth="1"/>
    <col min="10491" max="10491" width="30.5703125" style="2" customWidth="1"/>
    <col min="10492" max="10492" width="33.85546875" style="2" customWidth="1"/>
    <col min="10493" max="10493" width="5.140625" style="2" customWidth="1"/>
    <col min="10494" max="10495" width="17.5703125" style="2" customWidth="1"/>
    <col min="10496" max="10739" width="9.140625" style="2"/>
    <col min="10740" max="10740" width="3.7109375" style="2" customWidth="1"/>
    <col min="10741" max="10741" width="96.85546875" style="2" customWidth="1"/>
    <col min="10742" max="10742" width="30.85546875" style="2" customWidth="1"/>
    <col min="10743" max="10743" width="12.5703125" style="2" customWidth="1"/>
    <col min="10744" max="10744" width="5.140625" style="2" customWidth="1"/>
    <col min="10745" max="10745" width="9.140625" style="2"/>
    <col min="10746" max="10746" width="4.85546875" style="2" customWidth="1"/>
    <col min="10747" max="10747" width="30.5703125" style="2" customWidth="1"/>
    <col min="10748" max="10748" width="33.85546875" style="2" customWidth="1"/>
    <col min="10749" max="10749" width="5.140625" style="2" customWidth="1"/>
    <col min="10750" max="10751" width="17.5703125" style="2" customWidth="1"/>
    <col min="10752" max="10995" width="9.140625" style="2"/>
    <col min="10996" max="10996" width="3.7109375" style="2" customWidth="1"/>
    <col min="10997" max="10997" width="96.85546875" style="2" customWidth="1"/>
    <col min="10998" max="10998" width="30.85546875" style="2" customWidth="1"/>
    <col min="10999" max="10999" width="12.5703125" style="2" customWidth="1"/>
    <col min="11000" max="11000" width="5.140625" style="2" customWidth="1"/>
    <col min="11001" max="11001" width="9.140625" style="2"/>
    <col min="11002" max="11002" width="4.85546875" style="2" customWidth="1"/>
    <col min="11003" max="11003" width="30.5703125" style="2" customWidth="1"/>
    <col min="11004" max="11004" width="33.85546875" style="2" customWidth="1"/>
    <col min="11005" max="11005" width="5.140625" style="2" customWidth="1"/>
    <col min="11006" max="11007" width="17.5703125" style="2" customWidth="1"/>
    <col min="11008" max="11251" width="9.140625" style="2"/>
    <col min="11252" max="11252" width="3.7109375" style="2" customWidth="1"/>
    <col min="11253" max="11253" width="96.85546875" style="2" customWidth="1"/>
    <col min="11254" max="11254" width="30.85546875" style="2" customWidth="1"/>
    <col min="11255" max="11255" width="12.5703125" style="2" customWidth="1"/>
    <col min="11256" max="11256" width="5.140625" style="2" customWidth="1"/>
    <col min="11257" max="11257" width="9.140625" style="2"/>
    <col min="11258" max="11258" width="4.85546875" style="2" customWidth="1"/>
    <col min="11259" max="11259" width="30.5703125" style="2" customWidth="1"/>
    <col min="11260" max="11260" width="33.85546875" style="2" customWidth="1"/>
    <col min="11261" max="11261" width="5.140625" style="2" customWidth="1"/>
    <col min="11262" max="11263" width="17.5703125" style="2" customWidth="1"/>
    <col min="11264" max="11507" width="9.140625" style="2"/>
    <col min="11508" max="11508" width="3.7109375" style="2" customWidth="1"/>
    <col min="11509" max="11509" width="96.85546875" style="2" customWidth="1"/>
    <col min="11510" max="11510" width="30.85546875" style="2" customWidth="1"/>
    <col min="11511" max="11511" width="12.5703125" style="2" customWidth="1"/>
    <col min="11512" max="11512" width="5.140625" style="2" customWidth="1"/>
    <col min="11513" max="11513" width="9.140625" style="2"/>
    <col min="11514" max="11514" width="4.85546875" style="2" customWidth="1"/>
    <col min="11515" max="11515" width="30.5703125" style="2" customWidth="1"/>
    <col min="11516" max="11516" width="33.85546875" style="2" customWidth="1"/>
    <col min="11517" max="11517" width="5.140625" style="2" customWidth="1"/>
    <col min="11518" max="11519" width="17.5703125" style="2" customWidth="1"/>
    <col min="11520" max="11763" width="9.140625" style="2"/>
    <col min="11764" max="11764" width="3.7109375" style="2" customWidth="1"/>
    <col min="11765" max="11765" width="96.85546875" style="2" customWidth="1"/>
    <col min="11766" max="11766" width="30.85546875" style="2" customWidth="1"/>
    <col min="11767" max="11767" width="12.5703125" style="2" customWidth="1"/>
    <col min="11768" max="11768" width="5.140625" style="2" customWidth="1"/>
    <col min="11769" max="11769" width="9.140625" style="2"/>
    <col min="11770" max="11770" width="4.85546875" style="2" customWidth="1"/>
    <col min="11771" max="11771" width="30.5703125" style="2" customWidth="1"/>
    <col min="11772" max="11772" width="33.85546875" style="2" customWidth="1"/>
    <col min="11773" max="11773" width="5.140625" style="2" customWidth="1"/>
    <col min="11774" max="11775" width="17.5703125" style="2" customWidth="1"/>
    <col min="11776" max="12019" width="9.140625" style="2"/>
    <col min="12020" max="12020" width="3.7109375" style="2" customWidth="1"/>
    <col min="12021" max="12021" width="96.85546875" style="2" customWidth="1"/>
    <col min="12022" max="12022" width="30.85546875" style="2" customWidth="1"/>
    <col min="12023" max="12023" width="12.5703125" style="2" customWidth="1"/>
    <col min="12024" max="12024" width="5.140625" style="2" customWidth="1"/>
    <col min="12025" max="12025" width="9.140625" style="2"/>
    <col min="12026" max="12026" width="4.85546875" style="2" customWidth="1"/>
    <col min="12027" max="12027" width="30.5703125" style="2" customWidth="1"/>
    <col min="12028" max="12028" width="33.85546875" style="2" customWidth="1"/>
    <col min="12029" max="12029" width="5.140625" style="2" customWidth="1"/>
    <col min="12030" max="12031" width="17.5703125" style="2" customWidth="1"/>
    <col min="12032" max="12275" width="9.140625" style="2"/>
    <col min="12276" max="12276" width="3.7109375" style="2" customWidth="1"/>
    <col min="12277" max="12277" width="96.85546875" style="2" customWidth="1"/>
    <col min="12278" max="12278" width="30.85546875" style="2" customWidth="1"/>
    <col min="12279" max="12279" width="12.5703125" style="2" customWidth="1"/>
    <col min="12280" max="12280" width="5.140625" style="2" customWidth="1"/>
    <col min="12281" max="12281" width="9.140625" style="2"/>
    <col min="12282" max="12282" width="4.85546875" style="2" customWidth="1"/>
    <col min="12283" max="12283" width="30.5703125" style="2" customWidth="1"/>
    <col min="12284" max="12284" width="33.85546875" style="2" customWidth="1"/>
    <col min="12285" max="12285" width="5.140625" style="2" customWidth="1"/>
    <col min="12286" max="12287" width="17.5703125" style="2" customWidth="1"/>
    <col min="12288" max="12531" width="9.140625" style="2"/>
    <col min="12532" max="12532" width="3.7109375" style="2" customWidth="1"/>
    <col min="12533" max="12533" width="96.85546875" style="2" customWidth="1"/>
    <col min="12534" max="12534" width="30.85546875" style="2" customWidth="1"/>
    <col min="12535" max="12535" width="12.5703125" style="2" customWidth="1"/>
    <col min="12536" max="12536" width="5.140625" style="2" customWidth="1"/>
    <col min="12537" max="12537" width="9.140625" style="2"/>
    <col min="12538" max="12538" width="4.85546875" style="2" customWidth="1"/>
    <col min="12539" max="12539" width="30.5703125" style="2" customWidth="1"/>
    <col min="12540" max="12540" width="33.85546875" style="2" customWidth="1"/>
    <col min="12541" max="12541" width="5.140625" style="2" customWidth="1"/>
    <col min="12542" max="12543" width="17.5703125" style="2" customWidth="1"/>
    <col min="12544" max="12787" width="9.140625" style="2"/>
    <col min="12788" max="12788" width="3.7109375" style="2" customWidth="1"/>
    <col min="12789" max="12789" width="96.85546875" style="2" customWidth="1"/>
    <col min="12790" max="12790" width="30.85546875" style="2" customWidth="1"/>
    <col min="12791" max="12791" width="12.5703125" style="2" customWidth="1"/>
    <col min="12792" max="12792" width="5.140625" style="2" customWidth="1"/>
    <col min="12793" max="12793" width="9.140625" style="2"/>
    <col min="12794" max="12794" width="4.85546875" style="2" customWidth="1"/>
    <col min="12795" max="12795" width="30.5703125" style="2" customWidth="1"/>
    <col min="12796" max="12796" width="33.85546875" style="2" customWidth="1"/>
    <col min="12797" max="12797" width="5.140625" style="2" customWidth="1"/>
    <col min="12798" max="12799" width="17.5703125" style="2" customWidth="1"/>
    <col min="12800" max="13043" width="9.140625" style="2"/>
    <col min="13044" max="13044" width="3.7109375" style="2" customWidth="1"/>
    <col min="13045" max="13045" width="96.85546875" style="2" customWidth="1"/>
    <col min="13046" max="13046" width="30.85546875" style="2" customWidth="1"/>
    <col min="13047" max="13047" width="12.5703125" style="2" customWidth="1"/>
    <col min="13048" max="13048" width="5.140625" style="2" customWidth="1"/>
    <col min="13049" max="13049" width="9.140625" style="2"/>
    <col min="13050" max="13050" width="4.85546875" style="2" customWidth="1"/>
    <col min="13051" max="13051" width="30.5703125" style="2" customWidth="1"/>
    <col min="13052" max="13052" width="33.85546875" style="2" customWidth="1"/>
    <col min="13053" max="13053" width="5.140625" style="2" customWidth="1"/>
    <col min="13054" max="13055" width="17.5703125" style="2" customWidth="1"/>
    <col min="13056" max="13299" width="9.140625" style="2"/>
    <col min="13300" max="13300" width="3.7109375" style="2" customWidth="1"/>
    <col min="13301" max="13301" width="96.85546875" style="2" customWidth="1"/>
    <col min="13302" max="13302" width="30.85546875" style="2" customWidth="1"/>
    <col min="13303" max="13303" width="12.5703125" style="2" customWidth="1"/>
    <col min="13304" max="13304" width="5.140625" style="2" customWidth="1"/>
    <col min="13305" max="13305" width="9.140625" style="2"/>
    <col min="13306" max="13306" width="4.85546875" style="2" customWidth="1"/>
    <col min="13307" max="13307" width="30.5703125" style="2" customWidth="1"/>
    <col min="13308" max="13308" width="33.85546875" style="2" customWidth="1"/>
    <col min="13309" max="13309" width="5.140625" style="2" customWidth="1"/>
    <col min="13310" max="13311" width="17.5703125" style="2" customWidth="1"/>
    <col min="13312" max="13555" width="9.140625" style="2"/>
    <col min="13556" max="13556" width="3.7109375" style="2" customWidth="1"/>
    <col min="13557" max="13557" width="96.85546875" style="2" customWidth="1"/>
    <col min="13558" max="13558" width="30.85546875" style="2" customWidth="1"/>
    <col min="13559" max="13559" width="12.5703125" style="2" customWidth="1"/>
    <col min="13560" max="13560" width="5.140625" style="2" customWidth="1"/>
    <col min="13561" max="13561" width="9.140625" style="2"/>
    <col min="13562" max="13562" width="4.85546875" style="2" customWidth="1"/>
    <col min="13563" max="13563" width="30.5703125" style="2" customWidth="1"/>
    <col min="13564" max="13564" width="33.85546875" style="2" customWidth="1"/>
    <col min="13565" max="13565" width="5.140625" style="2" customWidth="1"/>
    <col min="13566" max="13567" width="17.5703125" style="2" customWidth="1"/>
    <col min="13568" max="13811" width="9.140625" style="2"/>
    <col min="13812" max="13812" width="3.7109375" style="2" customWidth="1"/>
    <col min="13813" max="13813" width="96.85546875" style="2" customWidth="1"/>
    <col min="13814" max="13814" width="30.85546875" style="2" customWidth="1"/>
    <col min="13815" max="13815" width="12.5703125" style="2" customWidth="1"/>
    <col min="13816" max="13816" width="5.140625" style="2" customWidth="1"/>
    <col min="13817" max="13817" width="9.140625" style="2"/>
    <col min="13818" max="13818" width="4.85546875" style="2" customWidth="1"/>
    <col min="13819" max="13819" width="30.5703125" style="2" customWidth="1"/>
    <col min="13820" max="13820" width="33.85546875" style="2" customWidth="1"/>
    <col min="13821" max="13821" width="5.140625" style="2" customWidth="1"/>
    <col min="13822" max="13823" width="17.5703125" style="2" customWidth="1"/>
    <col min="13824" max="14067" width="9.140625" style="2"/>
    <col min="14068" max="14068" width="3.7109375" style="2" customWidth="1"/>
    <col min="14069" max="14069" width="96.85546875" style="2" customWidth="1"/>
    <col min="14070" max="14070" width="30.85546875" style="2" customWidth="1"/>
    <col min="14071" max="14071" width="12.5703125" style="2" customWidth="1"/>
    <col min="14072" max="14072" width="5.140625" style="2" customWidth="1"/>
    <col min="14073" max="14073" width="9.140625" style="2"/>
    <col min="14074" max="14074" width="4.85546875" style="2" customWidth="1"/>
    <col min="14075" max="14075" width="30.5703125" style="2" customWidth="1"/>
    <col min="14076" max="14076" width="33.85546875" style="2" customWidth="1"/>
    <col min="14077" max="14077" width="5.140625" style="2" customWidth="1"/>
    <col min="14078" max="14079" width="17.5703125" style="2" customWidth="1"/>
    <col min="14080" max="14323" width="9.140625" style="2"/>
    <col min="14324" max="14324" width="3.7109375" style="2" customWidth="1"/>
    <col min="14325" max="14325" width="96.85546875" style="2" customWidth="1"/>
    <col min="14326" max="14326" width="30.85546875" style="2" customWidth="1"/>
    <col min="14327" max="14327" width="12.5703125" style="2" customWidth="1"/>
    <col min="14328" max="14328" width="5.140625" style="2" customWidth="1"/>
    <col min="14329" max="14329" width="9.140625" style="2"/>
    <col min="14330" max="14330" width="4.85546875" style="2" customWidth="1"/>
    <col min="14331" max="14331" width="30.5703125" style="2" customWidth="1"/>
    <col min="14332" max="14332" width="33.85546875" style="2" customWidth="1"/>
    <col min="14333" max="14333" width="5.140625" style="2" customWidth="1"/>
    <col min="14334" max="14335" width="17.5703125" style="2" customWidth="1"/>
    <col min="14336" max="14579" width="9.140625" style="2"/>
    <col min="14580" max="14580" width="3.7109375" style="2" customWidth="1"/>
    <col min="14581" max="14581" width="96.85546875" style="2" customWidth="1"/>
    <col min="14582" max="14582" width="30.85546875" style="2" customWidth="1"/>
    <col min="14583" max="14583" width="12.5703125" style="2" customWidth="1"/>
    <col min="14584" max="14584" width="5.140625" style="2" customWidth="1"/>
    <col min="14585" max="14585" width="9.140625" style="2"/>
    <col min="14586" max="14586" width="4.85546875" style="2" customWidth="1"/>
    <col min="14587" max="14587" width="30.5703125" style="2" customWidth="1"/>
    <col min="14588" max="14588" width="33.85546875" style="2" customWidth="1"/>
    <col min="14589" max="14589" width="5.140625" style="2" customWidth="1"/>
    <col min="14590" max="14591" width="17.5703125" style="2" customWidth="1"/>
    <col min="14592" max="14835" width="9.140625" style="2"/>
    <col min="14836" max="14836" width="3.7109375" style="2" customWidth="1"/>
    <col min="14837" max="14837" width="96.85546875" style="2" customWidth="1"/>
    <col min="14838" max="14838" width="30.85546875" style="2" customWidth="1"/>
    <col min="14839" max="14839" width="12.5703125" style="2" customWidth="1"/>
    <col min="14840" max="14840" width="5.140625" style="2" customWidth="1"/>
    <col min="14841" max="14841" width="9.140625" style="2"/>
    <col min="14842" max="14842" width="4.85546875" style="2" customWidth="1"/>
    <col min="14843" max="14843" width="30.5703125" style="2" customWidth="1"/>
    <col min="14844" max="14844" width="33.85546875" style="2" customWidth="1"/>
    <col min="14845" max="14845" width="5.140625" style="2" customWidth="1"/>
    <col min="14846" max="14847" width="17.5703125" style="2" customWidth="1"/>
    <col min="14848" max="15091" width="9.140625" style="2"/>
    <col min="15092" max="15092" width="3.7109375" style="2" customWidth="1"/>
    <col min="15093" max="15093" width="96.85546875" style="2" customWidth="1"/>
    <col min="15094" max="15094" width="30.85546875" style="2" customWidth="1"/>
    <col min="15095" max="15095" width="12.5703125" style="2" customWidth="1"/>
    <col min="15096" max="15096" width="5.140625" style="2" customWidth="1"/>
    <col min="15097" max="15097" width="9.140625" style="2"/>
    <col min="15098" max="15098" width="4.85546875" style="2" customWidth="1"/>
    <col min="15099" max="15099" width="30.5703125" style="2" customWidth="1"/>
    <col min="15100" max="15100" width="33.85546875" style="2" customWidth="1"/>
    <col min="15101" max="15101" width="5.140625" style="2" customWidth="1"/>
    <col min="15102" max="15103" width="17.5703125" style="2" customWidth="1"/>
    <col min="15104" max="15347" width="9.140625" style="2"/>
    <col min="15348" max="15348" width="3.7109375" style="2" customWidth="1"/>
    <col min="15349" max="15349" width="96.85546875" style="2" customWidth="1"/>
    <col min="15350" max="15350" width="30.85546875" style="2" customWidth="1"/>
    <col min="15351" max="15351" width="12.5703125" style="2" customWidth="1"/>
    <col min="15352" max="15352" width="5.140625" style="2" customWidth="1"/>
    <col min="15353" max="15353" width="9.140625" style="2"/>
    <col min="15354" max="15354" width="4.85546875" style="2" customWidth="1"/>
    <col min="15355" max="15355" width="30.5703125" style="2" customWidth="1"/>
    <col min="15356" max="15356" width="33.85546875" style="2" customWidth="1"/>
    <col min="15357" max="15357" width="5.140625" style="2" customWidth="1"/>
    <col min="15358" max="15359" width="17.5703125" style="2" customWidth="1"/>
    <col min="15360" max="15603" width="9.140625" style="2"/>
    <col min="15604" max="15604" width="3.7109375" style="2" customWidth="1"/>
    <col min="15605" max="15605" width="96.85546875" style="2" customWidth="1"/>
    <col min="15606" max="15606" width="30.85546875" style="2" customWidth="1"/>
    <col min="15607" max="15607" width="12.5703125" style="2" customWidth="1"/>
    <col min="15608" max="15608" width="5.140625" style="2" customWidth="1"/>
    <col min="15609" max="15609" width="9.140625" style="2"/>
    <col min="15610" max="15610" width="4.85546875" style="2" customWidth="1"/>
    <col min="15611" max="15611" width="30.5703125" style="2" customWidth="1"/>
    <col min="15612" max="15612" width="33.85546875" style="2" customWidth="1"/>
    <col min="15613" max="15613" width="5.140625" style="2" customWidth="1"/>
    <col min="15614" max="15615" width="17.5703125" style="2" customWidth="1"/>
    <col min="15616" max="15859" width="9.140625" style="2"/>
    <col min="15860" max="15860" width="3.7109375" style="2" customWidth="1"/>
    <col min="15861" max="15861" width="96.85546875" style="2" customWidth="1"/>
    <col min="15862" max="15862" width="30.85546875" style="2" customWidth="1"/>
    <col min="15863" max="15863" width="12.5703125" style="2" customWidth="1"/>
    <col min="15864" max="15864" width="5.140625" style="2" customWidth="1"/>
    <col min="15865" max="15865" width="9.140625" style="2"/>
    <col min="15866" max="15866" width="4.85546875" style="2" customWidth="1"/>
    <col min="15867" max="15867" width="30.5703125" style="2" customWidth="1"/>
    <col min="15868" max="15868" width="33.85546875" style="2" customWidth="1"/>
    <col min="15869" max="15869" width="5.140625" style="2" customWidth="1"/>
    <col min="15870" max="15871" width="17.5703125" style="2" customWidth="1"/>
    <col min="15872" max="16115" width="9.140625" style="2"/>
    <col min="16116" max="16116" width="3.7109375" style="2" customWidth="1"/>
    <col min="16117" max="16117" width="96.85546875" style="2" customWidth="1"/>
    <col min="16118" max="16118" width="30.85546875" style="2" customWidth="1"/>
    <col min="16119" max="16119" width="12.5703125" style="2" customWidth="1"/>
    <col min="16120" max="16120" width="5.140625" style="2" customWidth="1"/>
    <col min="16121" max="16121" width="9.140625" style="2"/>
    <col min="16122" max="16122" width="4.85546875" style="2" customWidth="1"/>
    <col min="16123" max="16123" width="30.5703125" style="2" customWidth="1"/>
    <col min="16124" max="16124" width="33.85546875" style="2" customWidth="1"/>
    <col min="16125" max="16125" width="5.140625" style="2" customWidth="1"/>
    <col min="16126" max="16127" width="17.5703125" style="2" customWidth="1"/>
    <col min="16128" max="16384" width="9.140625" style="2"/>
  </cols>
  <sheetData>
    <row r="1" spans="1:3" ht="48" customHeight="1">
      <c r="A1" s="1"/>
      <c r="B1" s="144" t="s">
        <v>0</v>
      </c>
      <c r="C1" s="144"/>
    </row>
    <row r="2" spans="1:3">
      <c r="A2" s="1"/>
      <c r="B2" s="3" t="s">
        <v>1</v>
      </c>
      <c r="C2" s="4">
        <f ca="1">TODAY()</f>
        <v>44944</v>
      </c>
    </row>
    <row r="3" spans="1:3">
      <c r="A3" s="1"/>
      <c r="B3" s="5" t="s">
        <v>2</v>
      </c>
      <c r="C3" s="6"/>
    </row>
    <row r="4" spans="1:3" ht="25.5">
      <c r="A4" s="7"/>
      <c r="B4" s="8" t="str">
        <f>[5]И1!D13</f>
        <v>Субъект Российской Федерации</v>
      </c>
      <c r="C4" s="9" t="str">
        <f>[5]И1!E13</f>
        <v>Новосибирская область</v>
      </c>
    </row>
    <row r="5" spans="1:3" ht="15.95" customHeight="1">
      <c r="A5" s="7"/>
      <c r="B5" s="8" t="str">
        <f>[5]И1!D14</f>
        <v>Тип муниципального образования (выберите из списка)</v>
      </c>
      <c r="C5" s="9" t="str">
        <f>[5]И1!E14</f>
        <v>Скалинское МО</v>
      </c>
    </row>
    <row r="6" spans="1:3">
      <c r="A6" s="7"/>
      <c r="B6" s="8" t="str">
        <f>IF([5]И1!E15="","",[5]И1!D15)</f>
        <v/>
      </c>
      <c r="C6" s="6" t="str">
        <f>IF([5]И1!E15="","",[5]И1!E15)</f>
        <v/>
      </c>
    </row>
    <row r="7" spans="1:3">
      <c r="A7" s="7"/>
      <c r="B7" s="8" t="str">
        <f>[5]И1!D16</f>
        <v>Код ОКТМО</v>
      </c>
      <c r="C7" s="10" t="str">
        <f>[5]И1!E16</f>
        <v>50621428101</v>
      </c>
    </row>
    <row r="8" spans="1:3">
      <c r="A8" s="7"/>
      <c r="B8" s="11" t="str">
        <f>[5]И1!D17</f>
        <v>Система теплоснабжения</v>
      </c>
      <c r="C8" s="12">
        <f>[5]И1!E17</f>
        <v>0</v>
      </c>
    </row>
    <row r="9" spans="1:3">
      <c r="A9" s="7"/>
      <c r="B9" s="8" t="str">
        <f>[5]И1!D8</f>
        <v>Период регулирования (i)-й</v>
      </c>
      <c r="C9" s="13">
        <f>[5]И1!E8</f>
        <v>2023</v>
      </c>
    </row>
    <row r="10" spans="1:3">
      <c r="A10" s="7"/>
      <c r="B10" s="8" t="str">
        <f>[5]И1!D9</f>
        <v>Период регулирования (i-1)-й</v>
      </c>
      <c r="C10" s="13">
        <f>[5]И1!E9</f>
        <v>2022</v>
      </c>
    </row>
    <row r="11" spans="1:3">
      <c r="A11" s="7"/>
      <c r="B11" s="8" t="str">
        <f>[5]И1!D10</f>
        <v>Период регулирования (i-2)-й</v>
      </c>
      <c r="C11" s="13">
        <f>[5]И1!E10</f>
        <v>2021</v>
      </c>
    </row>
    <row r="12" spans="1:3">
      <c r="A12" s="7"/>
      <c r="B12" s="8" t="str">
        <f>[5]И1!D11</f>
        <v>Базовый год (б)</v>
      </c>
      <c r="C12" s="13">
        <f>[5]И1!E11</f>
        <v>2019</v>
      </c>
    </row>
    <row r="13" spans="1:3">
      <c r="A13" s="7"/>
      <c r="B13" s="8" t="str">
        <f>[5]И1!D18</f>
        <v>Вид топлива, использование которого преобладает в системе теплоснабжения</v>
      </c>
      <c r="C13" s="14" t="str">
        <f>[5]И1!E18</f>
        <v>Газ</v>
      </c>
    </row>
    <row r="14" spans="1:3" ht="26.25" customHeight="1" thickBot="1">
      <c r="A14" s="145" t="s">
        <v>3</v>
      </c>
      <c r="B14" s="145"/>
      <c r="C14" s="145"/>
    </row>
    <row r="15" spans="1:3">
      <c r="A15" s="15" t="s">
        <v>4</v>
      </c>
      <c r="B15" s="16" t="s">
        <v>5</v>
      </c>
      <c r="C15" s="17" t="s">
        <v>6</v>
      </c>
    </row>
    <row r="16" spans="1:3">
      <c r="A16" s="18">
        <v>1</v>
      </c>
      <c r="B16" s="19">
        <v>2</v>
      </c>
      <c r="C16" s="20">
        <v>3</v>
      </c>
    </row>
    <row r="17" spans="1:3">
      <c r="A17" s="21">
        <v>1</v>
      </c>
      <c r="B17" s="22" t="s">
        <v>7</v>
      </c>
      <c r="C17" s="23">
        <f>SUM(C18:C23)</f>
        <v>2949.9895167027794</v>
      </c>
    </row>
    <row r="18" spans="1:3" ht="42.75">
      <c r="A18" s="21" t="s">
        <v>8</v>
      </c>
      <c r="B18" s="24" t="s">
        <v>9</v>
      </c>
      <c r="C18" s="25">
        <f>[5]С1!F12</f>
        <v>912.75572352910331</v>
      </c>
    </row>
    <row r="19" spans="1:3" ht="42.75">
      <c r="A19" s="21" t="s">
        <v>10</v>
      </c>
      <c r="B19" s="24" t="s">
        <v>11</v>
      </c>
      <c r="C19" s="25">
        <f>[5]С2!F12</f>
        <v>1416.7967815079221</v>
      </c>
    </row>
    <row r="20" spans="1:3" ht="30">
      <c r="A20" s="21" t="s">
        <v>12</v>
      </c>
      <c r="B20" s="24" t="s">
        <v>13</v>
      </c>
      <c r="C20" s="25">
        <f>[5]С3!F12</f>
        <v>338.80382712889616</v>
      </c>
    </row>
    <row r="21" spans="1:3" ht="42.75">
      <c r="A21" s="21" t="s">
        <v>14</v>
      </c>
      <c r="B21" s="24" t="s">
        <v>15</v>
      </c>
      <c r="C21" s="25">
        <f>[5]С4!F12</f>
        <v>223.79025283680338</v>
      </c>
    </row>
    <row r="22" spans="1:3" ht="33" customHeight="1">
      <c r="A22" s="21" t="s">
        <v>16</v>
      </c>
      <c r="B22" s="24" t="s">
        <v>17</v>
      </c>
      <c r="C22" s="25">
        <f>[5]С5!F12</f>
        <v>57.8429317000545</v>
      </c>
    </row>
    <row r="23" spans="1:3" ht="45.75" customHeight="1" thickBot="1">
      <c r="A23" s="26" t="s">
        <v>18</v>
      </c>
      <c r="B23" s="27" t="s">
        <v>19</v>
      </c>
      <c r="C23" s="28">
        <f>[5]С6!F12</f>
        <v>0</v>
      </c>
    </row>
    <row r="24" spans="1:3" ht="13.5" thickBot="1">
      <c r="A24" s="1"/>
      <c r="C24" s="6"/>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21</v>
      </c>
      <c r="C28" s="33">
        <f>[5]С1.1!E16</f>
        <v>7900</v>
      </c>
    </row>
    <row r="29" spans="1:3" ht="42.75">
      <c r="A29" s="21" t="s">
        <v>10</v>
      </c>
      <c r="B29" s="32" t="s">
        <v>22</v>
      </c>
      <c r="C29" s="33">
        <f>[5]С1.1!E32</f>
        <v>5591.16</v>
      </c>
    </row>
    <row r="30" spans="1:3" ht="38.25">
      <c r="A30" s="21" t="s">
        <v>23</v>
      </c>
      <c r="B30" s="32" t="s">
        <v>24</v>
      </c>
      <c r="C30" s="34" t="str">
        <f>[5]С1.1!E25</f>
        <v>ООО "Газпром газораспределение Томск"</v>
      </c>
    </row>
    <row r="31" spans="1:3" ht="38.25">
      <c r="A31" s="21" t="s">
        <v>25</v>
      </c>
      <c r="B31" s="32"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[5]С1.1!E26</f>
        <v>4475.5</v>
      </c>
    </row>
    <row r="32" spans="1:3" ht="25.5">
      <c r="A32" s="21" t="s">
        <v>26</v>
      </c>
      <c r="B32" s="32"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[5]С1.1!E27</f>
        <v>952.13</v>
      </c>
    </row>
    <row r="33" spans="1:3" ht="25.5">
      <c r="A33" s="21" t="s">
        <v>27</v>
      </c>
      <c r="B33" s="32"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[5]С1.1!E28</f>
        <v>132.9</v>
      </c>
    </row>
    <row r="34" spans="1:3" ht="38.25">
      <c r="A34" s="21" t="s">
        <v>28</v>
      </c>
      <c r="B34" s="32"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[5]С1.1!E29</f>
        <v>30.63</v>
      </c>
    </row>
    <row r="35" spans="1:3" ht="17.25">
      <c r="A35" s="21" t="s">
        <v>12</v>
      </c>
      <c r="B35" s="32" t="s">
        <v>29</v>
      </c>
      <c r="C35" s="35">
        <f>[5]С1.1!E20</f>
        <v>0.1392500000000001</v>
      </c>
    </row>
    <row r="36" spans="1:3" ht="17.25">
      <c r="A36" s="21" t="s">
        <v>14</v>
      </c>
      <c r="B36" s="32" t="s">
        <v>30</v>
      </c>
      <c r="C36" s="35">
        <f>[5]С1.1!E21</f>
        <v>0</v>
      </c>
    </row>
    <row r="37" spans="1:3" ht="30">
      <c r="A37" s="21" t="s">
        <v>16</v>
      </c>
      <c r="B37" s="36" t="s">
        <v>31</v>
      </c>
      <c r="C37" s="37">
        <f>[5]С1!F13</f>
        <v>156.1</v>
      </c>
    </row>
    <row r="38" spans="1:3">
      <c r="A38" s="21" t="s">
        <v>18</v>
      </c>
      <c r="B38" s="36" t="s">
        <v>32</v>
      </c>
      <c r="C38" s="38">
        <f>[5]С1!F16</f>
        <v>7000</v>
      </c>
    </row>
    <row r="39" spans="1:3" ht="14.25">
      <c r="A39" s="39" t="s">
        <v>33</v>
      </c>
      <c r="B39" s="40" t="s">
        <v>34</v>
      </c>
      <c r="C39" s="41">
        <f>[5]С1!F17</f>
        <v>1.1285714285714286</v>
      </c>
    </row>
    <row r="40" spans="1:3" ht="15.75">
      <c r="A40" s="42" t="s">
        <v>35</v>
      </c>
      <c r="B40" s="43" t="s">
        <v>36</v>
      </c>
      <c r="C40" s="41">
        <f>[5]С1!F20</f>
        <v>22.307053372799995</v>
      </c>
    </row>
    <row r="41" spans="1:3" ht="15.75">
      <c r="A41" s="42" t="s">
        <v>37</v>
      </c>
      <c r="B41" s="44" t="s">
        <v>38</v>
      </c>
      <c r="C41" s="41">
        <f>[5]С1!F21</f>
        <v>21.531904799999996</v>
      </c>
    </row>
    <row r="42" spans="1:3" ht="14.25">
      <c r="A42" s="42" t="s">
        <v>39</v>
      </c>
      <c r="B42" s="45" t="s">
        <v>40</v>
      </c>
      <c r="C42" s="41">
        <f>[5]С1!F22</f>
        <v>1.036</v>
      </c>
    </row>
    <row r="43" spans="1:3" ht="53.25" thickBot="1">
      <c r="A43" s="26" t="s">
        <v>41</v>
      </c>
      <c r="B43" s="46" t="s">
        <v>42</v>
      </c>
      <c r="C43" s="47" t="str">
        <f>[5]С1!F23</f>
        <v>-</v>
      </c>
    </row>
    <row r="44" spans="1:3" ht="13.5" thickBot="1">
      <c r="A44" s="48"/>
      <c r="B44" s="49"/>
      <c r="C44" s="14"/>
    </row>
    <row r="45" spans="1:3" ht="30" customHeight="1">
      <c r="A45" s="50" t="s">
        <v>43</v>
      </c>
      <c r="B45" s="142" t="s">
        <v>44</v>
      </c>
      <c r="C45" s="142"/>
    </row>
    <row r="46" spans="1:3" ht="25.5">
      <c r="A46" s="21" t="s">
        <v>45</v>
      </c>
      <c r="B46" s="36" t="s">
        <v>46</v>
      </c>
      <c r="C46" s="51" t="str">
        <f>[5]С2.1!E12</f>
        <v>V</v>
      </c>
    </row>
    <row r="47" spans="1:3" ht="25.5">
      <c r="A47" s="21" t="s">
        <v>47</v>
      </c>
      <c r="B47" s="32" t="s">
        <v>48</v>
      </c>
      <c r="C47" s="51" t="str">
        <f>[5]С2.1!E13</f>
        <v>6 и менее баллов</v>
      </c>
    </row>
    <row r="48" spans="1:3" ht="25.5">
      <c r="A48" s="21" t="s">
        <v>49</v>
      </c>
      <c r="B48" s="32" t="s">
        <v>50</v>
      </c>
      <c r="C48" s="51" t="str">
        <f>[5]С2.1!E14</f>
        <v>от 200 до 500</v>
      </c>
    </row>
    <row r="49" spans="1:3" ht="25.5">
      <c r="A49" s="21" t="s">
        <v>51</v>
      </c>
      <c r="B49" s="32" t="s">
        <v>52</v>
      </c>
      <c r="C49" s="52" t="str">
        <f>[5]С2.1!E15</f>
        <v>нет</v>
      </c>
    </row>
    <row r="50" spans="1:3" ht="30">
      <c r="A50" s="21" t="s">
        <v>53</v>
      </c>
      <c r="B50" s="32" t="s">
        <v>54</v>
      </c>
      <c r="C50" s="33">
        <f>[5]С2!F18</f>
        <v>32402.627334033532</v>
      </c>
    </row>
    <row r="51" spans="1:3" ht="30">
      <c r="A51" s="21" t="s">
        <v>55</v>
      </c>
      <c r="B51" s="53" t="s">
        <v>56</v>
      </c>
      <c r="C51" s="33">
        <f>IF([5]С2!F19&gt;0,[5]С2!F19,[5]С2!F20)</f>
        <v>23441.524932855718</v>
      </c>
    </row>
    <row r="52" spans="1:3" ht="25.5">
      <c r="A52" s="21" t="s">
        <v>57</v>
      </c>
      <c r="B52" s="54" t="s">
        <v>58</v>
      </c>
      <c r="C52" s="33">
        <f>[5]С2.1!E20</f>
        <v>-37</v>
      </c>
    </row>
    <row r="53" spans="1:3" ht="25.5">
      <c r="A53" s="21" t="s">
        <v>59</v>
      </c>
      <c r="B53" s="54" t="s">
        <v>60</v>
      </c>
      <c r="C53" s="33" t="str">
        <f>[5]С2.1!E23</f>
        <v>нет</v>
      </c>
    </row>
    <row r="54" spans="1:3" ht="38.25">
      <c r="A54" s="21" t="s">
        <v>61</v>
      </c>
      <c r="B54" s="55" t="s">
        <v>62</v>
      </c>
      <c r="C54" s="33">
        <f>[5]С2.2!E10</f>
        <v>1287</v>
      </c>
    </row>
    <row r="55" spans="1:3" ht="25.5">
      <c r="A55" s="21" t="s">
        <v>63</v>
      </c>
      <c r="B55" s="56" t="s">
        <v>64</v>
      </c>
      <c r="C55" s="33">
        <f>[5]С2.2!E12</f>
        <v>5.97</v>
      </c>
    </row>
    <row r="56" spans="1:3" ht="52.5">
      <c r="A56" s="21" t="s">
        <v>65</v>
      </c>
      <c r="B56" s="57" t="s">
        <v>66</v>
      </c>
      <c r="C56" s="33">
        <f>[5]С2.2!E13</f>
        <v>1</v>
      </c>
    </row>
    <row r="57" spans="1:3" ht="27.75">
      <c r="A57" s="21" t="s">
        <v>67</v>
      </c>
      <c r="B57" s="56" t="s">
        <v>68</v>
      </c>
      <c r="C57" s="33">
        <f>[5]С2.2!E14</f>
        <v>12104</v>
      </c>
    </row>
    <row r="58" spans="1:3" ht="25.5">
      <c r="A58" s="21" t="s">
        <v>69</v>
      </c>
      <c r="B58" s="57" t="s">
        <v>70</v>
      </c>
      <c r="C58" s="35">
        <f>[5]С2.2!E15</f>
        <v>4.8000000000000001E-2</v>
      </c>
    </row>
    <row r="59" spans="1:3">
      <c r="A59" s="21" t="s">
        <v>71</v>
      </c>
      <c r="B59" s="57" t="s">
        <v>72</v>
      </c>
      <c r="C59" s="58">
        <f>[5]С2.2!E16</f>
        <v>1</v>
      </c>
    </row>
    <row r="60" spans="1:3" ht="15.75">
      <c r="A60" s="21" t="s">
        <v>73</v>
      </c>
      <c r="B60" s="59" t="s">
        <v>74</v>
      </c>
      <c r="C60" s="33">
        <f>[5]С2!F21</f>
        <v>1</v>
      </c>
    </row>
    <row r="61" spans="1:3" ht="30">
      <c r="A61" s="60" t="s">
        <v>75</v>
      </c>
      <c r="B61" s="32" t="s">
        <v>76</v>
      </c>
      <c r="C61" s="33">
        <f>[5]С2!F13</f>
        <v>97038.307983185223</v>
      </c>
    </row>
    <row r="62" spans="1:3" ht="30">
      <c r="A62" s="60" t="s">
        <v>77</v>
      </c>
      <c r="B62" s="61" t="s">
        <v>78</v>
      </c>
      <c r="C62" s="33">
        <f>[5]С2!F14</f>
        <v>64899</v>
      </c>
    </row>
    <row r="63" spans="1:3" ht="15.75">
      <c r="A63" s="60" t="s">
        <v>79</v>
      </c>
      <c r="B63" s="61" t="s">
        <v>80</v>
      </c>
      <c r="C63" s="41">
        <f>[5]С2!F15</f>
        <v>1.071</v>
      </c>
    </row>
    <row r="64" spans="1:3" ht="15.75">
      <c r="A64" s="60" t="s">
        <v>81</v>
      </c>
      <c r="B64" s="61" t="s">
        <v>82</v>
      </c>
      <c r="C64" s="62">
        <f>[5]С2!F16</f>
        <v>1</v>
      </c>
    </row>
    <row r="65" spans="1:3" ht="17.25">
      <c r="A65" s="60" t="s">
        <v>83</v>
      </c>
      <c r="B65" s="61" t="s">
        <v>84</v>
      </c>
      <c r="C65" s="63">
        <f>[5]С2!F17</f>
        <v>1.01</v>
      </c>
    </row>
    <row r="66" spans="1:3" s="66" customFormat="1" ht="14.25">
      <c r="A66" s="60" t="s">
        <v>85</v>
      </c>
      <c r="B66" s="64" t="s">
        <v>86</v>
      </c>
      <c r="C66" s="65">
        <f>[5]С2!F35</f>
        <v>10</v>
      </c>
    </row>
    <row r="67" spans="1:3" ht="30">
      <c r="A67" s="60" t="s">
        <v>87</v>
      </c>
      <c r="B67" s="67" t="s">
        <v>88</v>
      </c>
      <c r="C67" s="33">
        <f>[5]С2!F28</f>
        <v>186.92622068882517</v>
      </c>
    </row>
    <row r="68" spans="1:3" ht="17.25">
      <c r="A68" s="60" t="s">
        <v>89</v>
      </c>
      <c r="B68" s="53" t="s">
        <v>90</v>
      </c>
      <c r="C68" s="41">
        <f>[5]С2!F29</f>
        <v>0.27046175099999997</v>
      </c>
    </row>
    <row r="69" spans="1:3" ht="17.25">
      <c r="A69" s="60" t="s">
        <v>91</v>
      </c>
      <c r="B69" s="59" t="s">
        <v>92</v>
      </c>
      <c r="C69" s="65">
        <f>[5]С2!F30</f>
        <v>500</v>
      </c>
    </row>
    <row r="70" spans="1:3" ht="42.75">
      <c r="A70" s="60" t="s">
        <v>93</v>
      </c>
      <c r="B70" s="32" t="s">
        <v>94</v>
      </c>
      <c r="C70" s="33">
        <f>[5]С2!F22</f>
        <v>36585.255753162281</v>
      </c>
    </row>
    <row r="71" spans="1:3" ht="30">
      <c r="A71" s="60" t="s">
        <v>95</v>
      </c>
      <c r="B71" s="61" t="s">
        <v>96</v>
      </c>
      <c r="C71" s="33">
        <f>[5]С2!F23</f>
        <v>21</v>
      </c>
    </row>
    <row r="72" spans="1:3" ht="30">
      <c r="A72" s="60" t="s">
        <v>97</v>
      </c>
      <c r="B72" s="53" t="s">
        <v>98</v>
      </c>
      <c r="C72" s="33">
        <f>[5]С2.1!E28</f>
        <v>14036.09995</v>
      </c>
    </row>
    <row r="73" spans="1:3" ht="38.25">
      <c r="A73" s="60" t="s">
        <v>99</v>
      </c>
      <c r="B73" s="68" t="s">
        <v>100</v>
      </c>
      <c r="C73" s="52">
        <f>[5]С2.3!E21</f>
        <v>0</v>
      </c>
    </row>
    <row r="74" spans="1:3" ht="25.5">
      <c r="A74" s="60" t="s">
        <v>101</v>
      </c>
      <c r="B74" s="69" t="s">
        <v>102</v>
      </c>
      <c r="C74" s="70">
        <f>[5]С2.3!E11</f>
        <v>5.45</v>
      </c>
    </row>
    <row r="75" spans="1:3" ht="25.5">
      <c r="A75" s="60" t="s">
        <v>103</v>
      </c>
      <c r="B75" s="69" t="s">
        <v>104</v>
      </c>
      <c r="C75" s="65">
        <f>[5]С2.3!E13</f>
        <v>300</v>
      </c>
    </row>
    <row r="76" spans="1:3" ht="25.5">
      <c r="A76" s="60" t="s">
        <v>105</v>
      </c>
      <c r="B76" s="68" t="s">
        <v>106</v>
      </c>
      <c r="C76" s="71">
        <f>IF([5]С2.3!E22&gt;0,[5]С2.3!E22,[5]С2.3!E14)</f>
        <v>61211</v>
      </c>
    </row>
    <row r="77" spans="1:3" ht="38.25">
      <c r="A77" s="60" t="s">
        <v>107</v>
      </c>
      <c r="B77" s="68" t="s">
        <v>108</v>
      </c>
      <c r="C77" s="71">
        <f>IF([5]С2.3!E23&gt;0,[5]С2.3!E23,[5]С2.3!E15)</f>
        <v>45675</v>
      </c>
    </row>
    <row r="78" spans="1:3" ht="30">
      <c r="A78" s="60" t="s">
        <v>109</v>
      </c>
      <c r="B78" s="53" t="s">
        <v>110</v>
      </c>
      <c r="C78" s="33">
        <f>[5]С2.1!E29</f>
        <v>9518.3274000000001</v>
      </c>
    </row>
    <row r="79" spans="1:3" ht="38.25">
      <c r="A79" s="60" t="s">
        <v>111</v>
      </c>
      <c r="B79" s="68" t="s">
        <v>112</v>
      </c>
      <c r="C79" s="52">
        <f>[5]С2.3!E25</f>
        <v>0</v>
      </c>
    </row>
    <row r="80" spans="1:3" ht="25.5">
      <c r="A80" s="60" t="s">
        <v>113</v>
      </c>
      <c r="B80" s="69" t="s">
        <v>114</v>
      </c>
      <c r="C80" s="70">
        <f>[5]С2.3!E12</f>
        <v>0.2</v>
      </c>
    </row>
    <row r="81" spans="1:3" ht="25.5">
      <c r="A81" s="60" t="s">
        <v>115</v>
      </c>
      <c r="B81" s="69" t="s">
        <v>104</v>
      </c>
      <c r="C81" s="65">
        <f>[5]С2.3!E13</f>
        <v>300</v>
      </c>
    </row>
    <row r="82" spans="1:3" ht="25.5">
      <c r="A82" s="60" t="s">
        <v>116</v>
      </c>
      <c r="B82" s="72" t="s">
        <v>117</v>
      </c>
      <c r="C82" s="71">
        <f>IF([5]С2.3!E26&gt;0,[5]С2.3!E26,[5]С2.3!E16)</f>
        <v>65637</v>
      </c>
    </row>
    <row r="83" spans="1:3" ht="38.25">
      <c r="A83" s="60" t="s">
        <v>118</v>
      </c>
      <c r="B83" s="72" t="s">
        <v>119</v>
      </c>
      <c r="C83" s="71">
        <f>IF([5]С2.3!E27&gt;0,[5]С2.3!E27,[5]С2.3!E17)</f>
        <v>31684</v>
      </c>
    </row>
    <row r="84" spans="1:3" ht="30">
      <c r="A84" s="60" t="s">
        <v>120</v>
      </c>
      <c r="B84" s="61" t="s">
        <v>121</v>
      </c>
      <c r="C84" s="71">
        <f>IF([5]С2.1!E19&gt;0,[5]С2.1!E19,[5]С2!F26)</f>
        <v>2892</v>
      </c>
    </row>
    <row r="85" spans="1:3" ht="17.25">
      <c r="A85" s="60" t="s">
        <v>122</v>
      </c>
      <c r="B85" s="32" t="s">
        <v>123</v>
      </c>
      <c r="C85" s="35">
        <f>[5]С2!F31</f>
        <v>0.128978033685065</v>
      </c>
    </row>
    <row r="86" spans="1:3" ht="30">
      <c r="A86" s="60" t="s">
        <v>124</v>
      </c>
      <c r="B86" s="53" t="s">
        <v>125</v>
      </c>
      <c r="C86" s="73">
        <f>[5]С2!F32</f>
        <v>0.11668498168498169</v>
      </c>
    </row>
    <row r="87" spans="1:3" ht="17.25">
      <c r="A87" s="60" t="s">
        <v>126</v>
      </c>
      <c r="B87" s="74" t="s">
        <v>127</v>
      </c>
      <c r="C87" s="35">
        <f>[5]С2!F33</f>
        <v>0.13880000000000001</v>
      </c>
    </row>
    <row r="88" spans="1:3" s="66" customFormat="1" ht="18" thickBot="1">
      <c r="A88" s="75" t="s">
        <v>128</v>
      </c>
      <c r="B88" s="76" t="s">
        <v>129</v>
      </c>
      <c r="C88" s="77">
        <f>[5]С2!F34</f>
        <v>0.12640000000000001</v>
      </c>
    </row>
    <row r="89" spans="1:3" ht="13.5" thickBot="1">
      <c r="A89" s="48"/>
      <c r="B89" s="49"/>
      <c r="C89" s="14"/>
    </row>
    <row r="90" spans="1:3" s="66" customFormat="1" ht="30" customHeight="1">
      <c r="A90" s="78" t="s">
        <v>130</v>
      </c>
      <c r="B90" s="142" t="s">
        <v>131</v>
      </c>
      <c r="C90" s="142"/>
    </row>
    <row r="91" spans="1:3" s="66" customFormat="1" ht="30">
      <c r="A91" s="79" t="s">
        <v>132</v>
      </c>
      <c r="B91" s="32" t="s">
        <v>133</v>
      </c>
      <c r="C91" s="33">
        <f>[5]С3!F14</f>
        <v>4859.4801705873924</v>
      </c>
    </row>
    <row r="92" spans="1:3" s="66" customFormat="1" ht="42.75">
      <c r="A92" s="79" t="s">
        <v>134</v>
      </c>
      <c r="B92" s="53" t="s">
        <v>135</v>
      </c>
      <c r="C92" s="80">
        <f>[5]С3!F15</f>
        <v>0.2</v>
      </c>
    </row>
    <row r="93" spans="1:3" s="66" customFormat="1" ht="14.25">
      <c r="A93" s="79" t="s">
        <v>136</v>
      </c>
      <c r="B93" s="81" t="s">
        <v>137</v>
      </c>
      <c r="C93" s="65">
        <f>[5]С3!F18</f>
        <v>15</v>
      </c>
    </row>
    <row r="94" spans="1:3" s="66" customFormat="1" ht="17.25">
      <c r="A94" s="79" t="s">
        <v>138</v>
      </c>
      <c r="B94" s="32" t="s">
        <v>139</v>
      </c>
      <c r="C94" s="33">
        <f>[5]С3!F19</f>
        <v>2435.0508023655884</v>
      </c>
    </row>
    <row r="95" spans="1:3" s="66" customFormat="1" ht="55.5">
      <c r="A95" s="79" t="s">
        <v>140</v>
      </c>
      <c r="B95" s="53" t="s">
        <v>141</v>
      </c>
      <c r="C95" s="82">
        <f>[5]С3!F20</f>
        <v>2.1999999999999999E-2</v>
      </c>
    </row>
    <row r="96" spans="1:3" s="66" customFormat="1" ht="14.25">
      <c r="A96" s="79" t="s">
        <v>142</v>
      </c>
      <c r="B96" s="59" t="s">
        <v>86</v>
      </c>
      <c r="C96" s="65">
        <f>[5]С3!F21</f>
        <v>10</v>
      </c>
    </row>
    <row r="97" spans="1:3" s="66" customFormat="1" ht="17.25">
      <c r="A97" s="79" t="s">
        <v>143</v>
      </c>
      <c r="B97" s="32" t="s">
        <v>144</v>
      </c>
      <c r="C97" s="33">
        <f>[5]С3!F22</f>
        <v>0.56077866206647553</v>
      </c>
    </row>
    <row r="98" spans="1:3" s="66" customFormat="1" ht="55.5">
      <c r="A98" s="79" t="s">
        <v>145</v>
      </c>
      <c r="B98" s="53" t="s">
        <v>146</v>
      </c>
      <c r="C98" s="82">
        <f>[5]С3!F23</f>
        <v>3.0000000000000001E-3</v>
      </c>
    </row>
    <row r="99" spans="1:3" s="66" customFormat="1" ht="30.75" thickBot="1">
      <c r="A99" s="83" t="s">
        <v>147</v>
      </c>
      <c r="B99" s="84" t="s">
        <v>88</v>
      </c>
      <c r="C99" s="85">
        <f>[5]С3!F24</f>
        <v>186.92622068882517</v>
      </c>
    </row>
    <row r="100" spans="1:3" ht="13.5" thickBot="1">
      <c r="A100" s="48"/>
      <c r="B100" s="49"/>
      <c r="C100" s="14"/>
    </row>
    <row r="101" spans="1:3" ht="30" customHeight="1">
      <c r="A101" s="86" t="s">
        <v>148</v>
      </c>
      <c r="B101" s="142" t="s">
        <v>149</v>
      </c>
      <c r="C101" s="142"/>
    </row>
    <row r="102" spans="1:3" ht="30">
      <c r="A102" s="60" t="s">
        <v>150</v>
      </c>
      <c r="B102" s="32" t="s">
        <v>151</v>
      </c>
      <c r="C102" s="33">
        <f>[5]С4!F16</f>
        <v>832.33500000000004</v>
      </c>
    </row>
    <row r="103" spans="1:3" ht="30">
      <c r="A103" s="60" t="s">
        <v>152</v>
      </c>
      <c r="B103" s="59" t="s">
        <v>153</v>
      </c>
      <c r="C103" s="33">
        <f>[5]С4!F17</f>
        <v>43385</v>
      </c>
    </row>
    <row r="104" spans="1:3" ht="17.25">
      <c r="A104" s="60" t="s">
        <v>154</v>
      </c>
      <c r="B104" s="59" t="s">
        <v>155</v>
      </c>
      <c r="C104" s="41">
        <f>[5]С4!F18</f>
        <v>1.4999999999999999E-2</v>
      </c>
    </row>
    <row r="105" spans="1:3" ht="30">
      <c r="A105" s="60" t="s">
        <v>156</v>
      </c>
      <c r="B105" s="59" t="s">
        <v>157</v>
      </c>
      <c r="C105" s="33">
        <f>[5]С4!F19</f>
        <v>12104</v>
      </c>
    </row>
    <row r="106" spans="1:3" ht="31.5">
      <c r="A106" s="60" t="s">
        <v>158</v>
      </c>
      <c r="B106" s="59" t="s">
        <v>159</v>
      </c>
      <c r="C106" s="41">
        <f>[5]С4!F20</f>
        <v>1.4999999999999999E-2</v>
      </c>
    </row>
    <row r="107" spans="1:3" ht="30">
      <c r="A107" s="60" t="s">
        <v>160</v>
      </c>
      <c r="B107" s="32" t="s">
        <v>161</v>
      </c>
      <c r="C107" s="33">
        <f>[5]С4!F21</f>
        <v>1221.9019409821399</v>
      </c>
    </row>
    <row r="108" spans="1:3" ht="45.6" customHeight="1">
      <c r="A108" s="60" t="s">
        <v>162</v>
      </c>
      <c r="B108" s="53" t="s">
        <v>163</v>
      </c>
      <c r="C108" s="34" t="str">
        <f>IF([5]С4.2!F8="да",[5]С4.2!D21,[5]С4.2!D15)</f>
        <v>АО "Новосибирскэнергосбыт"</v>
      </c>
    </row>
    <row r="109" spans="1:3" ht="68.25" customHeight="1">
      <c r="A109" s="60" t="s">
        <v>164</v>
      </c>
      <c r="B109" s="53" t="s">
        <v>165</v>
      </c>
      <c r="C109" s="33">
        <f>[5]С4!F22</f>
        <v>3.6112641666666665</v>
      </c>
    </row>
    <row r="110" spans="1:3" ht="30">
      <c r="A110" s="60" t="s">
        <v>166</v>
      </c>
      <c r="B110" s="59" t="s">
        <v>167</v>
      </c>
      <c r="C110" s="65">
        <f>[5]С4!F23</f>
        <v>110</v>
      </c>
    </row>
    <row r="111" spans="1:3" ht="14.25">
      <c r="A111" s="60" t="s">
        <v>168</v>
      </c>
      <c r="B111" s="53" t="s">
        <v>169</v>
      </c>
      <c r="C111" s="33">
        <f>[5]С4!F24</f>
        <v>8497.1999999999989</v>
      </c>
    </row>
    <row r="112" spans="1:3" ht="14.25">
      <c r="A112" s="60" t="s">
        <v>170</v>
      </c>
      <c r="B112" s="59" t="s">
        <v>171</v>
      </c>
      <c r="C112" s="41">
        <f>[5]С4!F25</f>
        <v>0.36199999999999999</v>
      </c>
    </row>
    <row r="113" spans="1:3" ht="17.25">
      <c r="A113" s="60" t="s">
        <v>172</v>
      </c>
      <c r="B113" s="32" t="s">
        <v>173</v>
      </c>
      <c r="C113" s="33">
        <f>[5]С4!F26</f>
        <v>44.742230000000006</v>
      </c>
    </row>
    <row r="114" spans="1:3" ht="25.5">
      <c r="A114" s="60" t="s">
        <v>174</v>
      </c>
      <c r="B114" s="53" t="s">
        <v>100</v>
      </c>
      <c r="C114" s="34">
        <f>[5]С4.3!E16</f>
        <v>0</v>
      </c>
    </row>
    <row r="115" spans="1:3" ht="25.5">
      <c r="A115" s="60" t="s">
        <v>175</v>
      </c>
      <c r="B115" s="53" t="s">
        <v>176</v>
      </c>
      <c r="C115" s="33">
        <f>[5]С4.3!E17</f>
        <v>22.71</v>
      </c>
    </row>
    <row r="116" spans="1:3" ht="38.25">
      <c r="A116" s="60" t="s">
        <v>177</v>
      </c>
      <c r="B116" s="53" t="s">
        <v>112</v>
      </c>
      <c r="C116" s="34">
        <f>[5]С4.3!E18</f>
        <v>0</v>
      </c>
    </row>
    <row r="117" spans="1:3">
      <c r="A117" s="60" t="s">
        <v>178</v>
      </c>
      <c r="B117" s="53" t="s">
        <v>179</v>
      </c>
      <c r="C117" s="33">
        <f>[5]С4.3!E19</f>
        <v>11.87</v>
      </c>
    </row>
    <row r="118" spans="1:3">
      <c r="A118" s="60" t="s">
        <v>180</v>
      </c>
      <c r="B118" s="59" t="s">
        <v>181</v>
      </c>
      <c r="C118" s="65">
        <f>[5]С4.3!E11</f>
        <v>1871</v>
      </c>
    </row>
    <row r="119" spans="1:3">
      <c r="A119" s="60" t="s">
        <v>182</v>
      </c>
      <c r="B119" s="59" t="s">
        <v>183</v>
      </c>
      <c r="C119" s="52">
        <f>[5]С4.3!E12</f>
        <v>61</v>
      </c>
    </row>
    <row r="120" spans="1:3">
      <c r="A120" s="60" t="s">
        <v>184</v>
      </c>
      <c r="B120" s="59" t="s">
        <v>185</v>
      </c>
      <c r="C120" s="52">
        <f>[5]С4.3!E13</f>
        <v>73</v>
      </c>
    </row>
    <row r="121" spans="1:3" ht="30">
      <c r="A121" s="60" t="s">
        <v>186</v>
      </c>
      <c r="B121" s="32" t="s">
        <v>187</v>
      </c>
      <c r="C121" s="33">
        <f>[5]С4!F27</f>
        <v>1027.9066866081675</v>
      </c>
    </row>
    <row r="122" spans="1:3" ht="25.5">
      <c r="A122" s="60" t="s">
        <v>188</v>
      </c>
      <c r="B122" s="53" t="s">
        <v>189</v>
      </c>
      <c r="C122" s="33">
        <f>[5]С4!F28</f>
        <v>789.4828622182547</v>
      </c>
    </row>
    <row r="123" spans="1:3" ht="42.75">
      <c r="A123" s="60" t="s">
        <v>190</v>
      </c>
      <c r="B123" s="53" t="s">
        <v>191</v>
      </c>
      <c r="C123" s="33">
        <f>[5]С4!F29</f>
        <v>238.42382438991297</v>
      </c>
    </row>
    <row r="124" spans="1:3" ht="30.75" thickBot="1">
      <c r="A124" s="75" t="s">
        <v>192</v>
      </c>
      <c r="B124" s="87" t="s">
        <v>193</v>
      </c>
      <c r="C124" s="85">
        <f>[5]С4!F30</f>
        <v>496.41514316317966</v>
      </c>
    </row>
    <row r="125" spans="1:3" s="88" customFormat="1" ht="13.5" thickBot="1">
      <c r="A125" s="48"/>
      <c r="B125" s="49"/>
      <c r="C125" s="14"/>
    </row>
    <row r="126" spans="1:3" s="66" customFormat="1" ht="30" customHeight="1">
      <c r="A126" s="78" t="s">
        <v>194</v>
      </c>
      <c r="B126" s="142" t="s">
        <v>195</v>
      </c>
      <c r="C126" s="142"/>
    </row>
    <row r="127" spans="1:3" ht="30.6" customHeight="1" thickBot="1">
      <c r="A127" s="26" t="s">
        <v>196</v>
      </c>
      <c r="B127" s="87" t="s">
        <v>197</v>
      </c>
      <c r="C127" s="85">
        <f>[5]С5!F17</f>
        <v>0.02</v>
      </c>
    </row>
    <row r="128" spans="1:3" s="88" customFormat="1" ht="13.5" thickBot="1">
      <c r="A128" s="48"/>
      <c r="B128" s="49"/>
      <c r="C128" s="14"/>
    </row>
    <row r="129" spans="1:3" ht="42.75" customHeight="1">
      <c r="A129" s="86" t="s">
        <v>198</v>
      </c>
      <c r="B129" s="142" t="s">
        <v>199</v>
      </c>
      <c r="C129" s="142"/>
    </row>
    <row r="130" spans="1:3" ht="68.25">
      <c r="A130" s="60" t="s">
        <v>200</v>
      </c>
      <c r="B130" s="89" t="s">
        <v>201</v>
      </c>
      <c r="C130" s="33" t="str">
        <f>IF([5]С6.1!E11="нет",[5]С6!F13,"")</f>
        <v/>
      </c>
    </row>
    <row r="131" spans="1:3" ht="42.75">
      <c r="A131" s="60" t="s">
        <v>202</v>
      </c>
      <c r="B131" s="90" t="s">
        <v>203</v>
      </c>
      <c r="C131" s="91" t="str">
        <f>IF([5]С6.1!E12="нет",[5]С6.1!E17,"")</f>
        <v/>
      </c>
    </row>
    <row r="132" spans="1:3" ht="68.25">
      <c r="A132" s="60" t="s">
        <v>204</v>
      </c>
      <c r="B132" s="89" t="s">
        <v>205</v>
      </c>
      <c r="C132" s="92" t="str">
        <f>IF([5]С6.1!E18="нет",[5]С6!F19,"")</f>
        <v/>
      </c>
    </row>
    <row r="133" spans="1:3" ht="55.5">
      <c r="A133" s="60" t="s">
        <v>206</v>
      </c>
      <c r="B133" s="90" t="s">
        <v>207</v>
      </c>
      <c r="C133" s="35" t="str">
        <f>IF([5]С6.1!E18="нет",[5]С6.1!E19,"")</f>
        <v/>
      </c>
    </row>
    <row r="134" spans="1:3" ht="61.5" customHeight="1">
      <c r="A134" s="60" t="s">
        <v>208</v>
      </c>
      <c r="B134" s="90" t="s">
        <v>209</v>
      </c>
      <c r="C134" s="35" t="str">
        <f>IF([5]С6.1!E18="нет",[5]С6.1!E22,"")</f>
        <v/>
      </c>
    </row>
    <row r="135" spans="1:3" ht="69" thickBot="1">
      <c r="A135" s="75" t="s">
        <v>210</v>
      </c>
      <c r="B135" s="93" t="s">
        <v>211</v>
      </c>
      <c r="C135" s="77" t="str">
        <f>IF([5]С6.1!E18="нет",[5]С6.1!E23,"")</f>
        <v/>
      </c>
    </row>
    <row r="136" spans="1:3" s="88" customFormat="1" ht="13.5" thickBot="1">
      <c r="A136" s="48"/>
      <c r="B136" s="49"/>
      <c r="C136" s="14"/>
    </row>
    <row r="137" spans="1:3" ht="15.75">
      <c r="A137" s="86" t="s">
        <v>212</v>
      </c>
      <c r="B137" s="94" t="s">
        <v>213</v>
      </c>
      <c r="C137" s="95">
        <f>[5]С2!F39</f>
        <v>21.531904799999996</v>
      </c>
    </row>
    <row r="138" spans="1:3" ht="14.25">
      <c r="A138" s="60" t="s">
        <v>214</v>
      </c>
      <c r="B138" s="59" t="s">
        <v>215</v>
      </c>
      <c r="C138" s="33">
        <f>[5]С2!F40</f>
        <v>7</v>
      </c>
    </row>
    <row r="139" spans="1:3" ht="17.25">
      <c r="A139" s="60" t="s">
        <v>216</v>
      </c>
      <c r="B139" s="59" t="s">
        <v>217</v>
      </c>
      <c r="C139" s="33">
        <f>[5]С2!F42</f>
        <v>0.97</v>
      </c>
    </row>
    <row r="140" spans="1:3" ht="15" thickBot="1">
      <c r="A140" s="75" t="s">
        <v>218</v>
      </c>
      <c r="B140" s="76" t="s">
        <v>219</v>
      </c>
      <c r="C140" s="47">
        <f>[5]С2!F44</f>
        <v>0.36199999999999999</v>
      </c>
    </row>
    <row r="141" spans="1:3" s="88" customFormat="1" ht="13.5" thickBot="1">
      <c r="A141" s="48"/>
      <c r="B141" s="49"/>
      <c r="C141" s="14"/>
    </row>
    <row r="142" spans="1:3" ht="17.25">
      <c r="A142" s="86" t="s">
        <v>220</v>
      </c>
      <c r="B142" s="96" t="s">
        <v>221</v>
      </c>
      <c r="C142" s="97">
        <f>[5]С2!F37</f>
        <v>1.3822747209000001</v>
      </c>
    </row>
    <row r="143" spans="1:3" ht="17.25" customHeight="1" thickBot="1">
      <c r="A143" s="75" t="s">
        <v>222</v>
      </c>
      <c r="B143" s="143" t="s">
        <v>223</v>
      </c>
      <c r="C143" s="143"/>
    </row>
    <row r="144" spans="1:3">
      <c r="A144" s="99"/>
      <c r="B144" s="100" t="s">
        <v>224</v>
      </c>
      <c r="C144" s="101"/>
    </row>
    <row r="145" spans="1:3">
      <c r="A145" s="99"/>
      <c r="B145" s="102">
        <v>2020</v>
      </c>
      <c r="C145" s="103">
        <f>[5]С2.5!$E$11</f>
        <v>-2.9000000000000026E-2</v>
      </c>
    </row>
    <row r="146" spans="1:3">
      <c r="B146" s="102">
        <f>B145+1</f>
        <v>2021</v>
      </c>
      <c r="C146" s="104">
        <f>[5]С2.5!$F$11</f>
        <v>0.245</v>
      </c>
    </row>
    <row r="147" spans="1:3">
      <c r="B147" s="102">
        <f t="shared" ref="B147:B210" si="0">B146+1</f>
        <v>2022</v>
      </c>
      <c r="C147" s="105">
        <f>[5]С2.5!$G$11</f>
        <v>0.121</v>
      </c>
    </row>
    <row r="148" spans="1:3" ht="13.5" thickBot="1">
      <c r="B148" s="106">
        <f t="shared" si="0"/>
        <v>2023</v>
      </c>
      <c r="C148" s="107">
        <f>[5]С2.5!$H$11</f>
        <v>0.02</v>
      </c>
    </row>
    <row r="149" spans="1:3" ht="13.5" hidden="1" thickBot="1">
      <c r="B149" s="106">
        <f t="shared" si="0"/>
        <v>2024</v>
      </c>
      <c r="C149" s="107">
        <f>[5]С2.5!$I$11</f>
        <v>0</v>
      </c>
    </row>
    <row r="150" spans="1:3" ht="13.5" hidden="1" thickBot="1">
      <c r="B150" s="106">
        <f t="shared" si="0"/>
        <v>2025</v>
      </c>
      <c r="C150" s="107">
        <f>[5]С2.5!$J$11</f>
        <v>0</v>
      </c>
    </row>
    <row r="151" spans="1:3" ht="13.5" hidden="1" thickBot="1">
      <c r="B151" s="106">
        <f t="shared" si="0"/>
        <v>2026</v>
      </c>
      <c r="C151" s="107">
        <f>[5]С2.5!$K$11</f>
        <v>0</v>
      </c>
    </row>
    <row r="152" spans="1:3" ht="13.5" hidden="1" thickBot="1">
      <c r="B152" s="106">
        <f t="shared" si="0"/>
        <v>2027</v>
      </c>
      <c r="C152" s="107">
        <f>[5]С2.5!$L$11</f>
        <v>0</v>
      </c>
    </row>
    <row r="153" spans="1:3" ht="13.5" hidden="1" thickBot="1">
      <c r="B153" s="106">
        <f t="shared" si="0"/>
        <v>2028</v>
      </c>
      <c r="C153" s="107">
        <f>[5]С2.5!$M$11</f>
        <v>0</v>
      </c>
    </row>
    <row r="154" spans="1:3" ht="13.5" hidden="1" thickBot="1">
      <c r="B154" s="106">
        <f t="shared" si="0"/>
        <v>2029</v>
      </c>
      <c r="C154" s="107">
        <f>[5]С2.5!$N$11</f>
        <v>0</v>
      </c>
    </row>
    <row r="155" spans="1:3" ht="13.5" hidden="1" thickBot="1">
      <c r="B155" s="106">
        <f t="shared" si="0"/>
        <v>2030</v>
      </c>
      <c r="C155" s="107">
        <f>[5]С2.5!$O$11</f>
        <v>0</v>
      </c>
    </row>
    <row r="156" spans="1:3" ht="13.5" hidden="1" thickBot="1">
      <c r="B156" s="106">
        <f t="shared" si="0"/>
        <v>2031</v>
      </c>
      <c r="C156" s="107">
        <f>[5]С2.5!$P$11</f>
        <v>0</v>
      </c>
    </row>
    <row r="157" spans="1:3" ht="13.5" hidden="1" thickBot="1">
      <c r="B157" s="106">
        <f t="shared" si="0"/>
        <v>2032</v>
      </c>
      <c r="C157" s="107">
        <f>[5]С2.5!$Q$11</f>
        <v>0</v>
      </c>
    </row>
    <row r="158" spans="1:3" ht="13.5" hidden="1" thickBot="1">
      <c r="B158" s="106">
        <f t="shared" si="0"/>
        <v>2033</v>
      </c>
      <c r="C158" s="107">
        <f>[5]С2.5!$R$11</f>
        <v>0</v>
      </c>
    </row>
    <row r="159" spans="1:3" ht="13.5" hidden="1" thickBot="1">
      <c r="B159" s="106">
        <f t="shared" si="0"/>
        <v>2034</v>
      </c>
      <c r="C159" s="107">
        <f>[5]С2.5!$S$11</f>
        <v>0</v>
      </c>
    </row>
    <row r="160" spans="1:3" ht="13.5" hidden="1" thickBot="1">
      <c r="B160" s="106">
        <f t="shared" si="0"/>
        <v>2035</v>
      </c>
      <c r="C160" s="107">
        <f>[5]С2.5!$T$11</f>
        <v>0</v>
      </c>
    </row>
    <row r="161" spans="2:3" ht="13.5" hidden="1" thickBot="1">
      <c r="B161" s="106">
        <f t="shared" si="0"/>
        <v>2036</v>
      </c>
      <c r="C161" s="107">
        <f>[5]С2.5!$U$11</f>
        <v>0</v>
      </c>
    </row>
    <row r="162" spans="2:3" ht="13.5" hidden="1" thickBot="1">
      <c r="B162" s="106">
        <f t="shared" si="0"/>
        <v>2037</v>
      </c>
      <c r="C162" s="107">
        <f>[5]С2.5!$V$11</f>
        <v>0</v>
      </c>
    </row>
    <row r="163" spans="2:3" ht="13.5" hidden="1" thickBot="1">
      <c r="B163" s="106">
        <f t="shared" si="0"/>
        <v>2038</v>
      </c>
      <c r="C163" s="107">
        <f>[5]С2.5!$W$11</f>
        <v>0</v>
      </c>
    </row>
    <row r="164" spans="2:3" ht="13.5" hidden="1" thickBot="1">
      <c r="B164" s="106">
        <f t="shared" si="0"/>
        <v>2039</v>
      </c>
      <c r="C164" s="107">
        <f>[5]С2.5!$X$11</f>
        <v>0</v>
      </c>
    </row>
    <row r="165" spans="2:3" ht="13.5" hidden="1" thickBot="1">
      <c r="B165" s="106">
        <f t="shared" si="0"/>
        <v>2040</v>
      </c>
      <c r="C165" s="107">
        <f>[5]С2.5!$Y$11</f>
        <v>0</v>
      </c>
    </row>
    <row r="166" spans="2:3" ht="13.5" hidden="1" thickBot="1">
      <c r="B166" s="106">
        <f t="shared" si="0"/>
        <v>2041</v>
      </c>
      <c r="C166" s="107">
        <f>[5]С2.5!$Z$11</f>
        <v>0</v>
      </c>
    </row>
    <row r="167" spans="2:3" ht="13.5" hidden="1" thickBot="1">
      <c r="B167" s="106">
        <f t="shared" si="0"/>
        <v>2042</v>
      </c>
      <c r="C167" s="107">
        <f>[5]С2.5!$AA$11</f>
        <v>0</v>
      </c>
    </row>
    <row r="168" spans="2:3" ht="13.5" hidden="1" thickBot="1">
      <c r="B168" s="106">
        <f t="shared" si="0"/>
        <v>2043</v>
      </c>
      <c r="C168" s="107">
        <f>[5]С2.5!$AB$11</f>
        <v>0</v>
      </c>
    </row>
    <row r="169" spans="2:3" ht="13.5" hidden="1" thickBot="1">
      <c r="B169" s="106">
        <f t="shared" si="0"/>
        <v>2044</v>
      </c>
      <c r="C169" s="107">
        <f>[5]С2.5!$AC$11</f>
        <v>0</v>
      </c>
    </row>
    <row r="170" spans="2:3" ht="13.5" hidden="1" thickBot="1">
      <c r="B170" s="106">
        <f t="shared" si="0"/>
        <v>2045</v>
      </c>
      <c r="C170" s="107">
        <f>[5]С2.5!$AD$11</f>
        <v>0</v>
      </c>
    </row>
    <row r="171" spans="2:3" ht="13.5" hidden="1" thickBot="1">
      <c r="B171" s="106">
        <f t="shared" si="0"/>
        <v>2046</v>
      </c>
      <c r="C171" s="107">
        <f>[5]С2.5!$AE$11</f>
        <v>0</v>
      </c>
    </row>
    <row r="172" spans="2:3" ht="13.5" hidden="1" thickBot="1">
      <c r="B172" s="106">
        <f t="shared" si="0"/>
        <v>2047</v>
      </c>
      <c r="C172" s="107">
        <f>[5]С2.5!$AF$11</f>
        <v>0</v>
      </c>
    </row>
    <row r="173" spans="2:3" ht="13.5" hidden="1" thickBot="1">
      <c r="B173" s="106">
        <f t="shared" si="0"/>
        <v>2048</v>
      </c>
      <c r="C173" s="107">
        <f>[5]С2.5!$AG$11</f>
        <v>0</v>
      </c>
    </row>
    <row r="174" spans="2:3" ht="13.5" hidden="1" thickBot="1">
      <c r="B174" s="106">
        <f t="shared" si="0"/>
        <v>2049</v>
      </c>
      <c r="C174" s="107">
        <f>[5]С2.5!$AH$11</f>
        <v>0</v>
      </c>
    </row>
    <row r="175" spans="2:3" ht="13.5" hidden="1" thickBot="1">
      <c r="B175" s="106">
        <f t="shared" si="0"/>
        <v>2050</v>
      </c>
      <c r="C175" s="107">
        <f>[5]С2.5!$AI$11</f>
        <v>0</v>
      </c>
    </row>
    <row r="176" spans="2:3" ht="13.5" hidden="1" thickBot="1">
      <c r="B176" s="106">
        <f t="shared" si="0"/>
        <v>2051</v>
      </c>
      <c r="C176" s="107">
        <f>[5]С2.5!$AJ$11</f>
        <v>0</v>
      </c>
    </row>
    <row r="177" spans="2:3" ht="13.5" hidden="1" thickBot="1">
      <c r="B177" s="106">
        <f t="shared" si="0"/>
        <v>2052</v>
      </c>
      <c r="C177" s="107">
        <f>[5]С2.5!$AK$11</f>
        <v>0</v>
      </c>
    </row>
    <row r="178" spans="2:3" ht="13.5" hidden="1" thickBot="1">
      <c r="B178" s="106">
        <f t="shared" si="0"/>
        <v>2053</v>
      </c>
      <c r="C178" s="107">
        <f>[5]С2.5!$AL$11</f>
        <v>0</v>
      </c>
    </row>
    <row r="179" spans="2:3" ht="13.5" hidden="1" thickBot="1">
      <c r="B179" s="106">
        <f t="shared" si="0"/>
        <v>2054</v>
      </c>
      <c r="C179" s="107">
        <f>[5]С2.5!$AM$11</f>
        <v>0</v>
      </c>
    </row>
    <row r="180" spans="2:3" ht="13.5" hidden="1" thickBot="1">
      <c r="B180" s="106">
        <f t="shared" si="0"/>
        <v>2055</v>
      </c>
      <c r="C180" s="107">
        <f>[5]С2.5!$AN$11</f>
        <v>0</v>
      </c>
    </row>
    <row r="181" spans="2:3" ht="13.5" hidden="1" thickBot="1">
      <c r="B181" s="106">
        <f t="shared" si="0"/>
        <v>2056</v>
      </c>
      <c r="C181" s="107">
        <f>[5]С2.5!$AO$11</f>
        <v>0</v>
      </c>
    </row>
    <row r="182" spans="2:3" ht="13.5" hidden="1" thickBot="1">
      <c r="B182" s="106">
        <f t="shared" si="0"/>
        <v>2057</v>
      </c>
      <c r="C182" s="107">
        <f>[5]С2.5!$AP$11</f>
        <v>0</v>
      </c>
    </row>
    <row r="183" spans="2:3" ht="13.5" hidden="1" thickBot="1">
      <c r="B183" s="106">
        <f t="shared" si="0"/>
        <v>2058</v>
      </c>
      <c r="C183" s="107">
        <f>[5]С2.5!$AQ$11</f>
        <v>0</v>
      </c>
    </row>
    <row r="184" spans="2:3" ht="13.5" hidden="1" thickBot="1">
      <c r="B184" s="106">
        <f t="shared" si="0"/>
        <v>2059</v>
      </c>
      <c r="C184" s="107">
        <f>[5]С2.5!$AR$11</f>
        <v>0</v>
      </c>
    </row>
    <row r="185" spans="2:3" ht="13.5" hidden="1" thickBot="1">
      <c r="B185" s="106">
        <f t="shared" si="0"/>
        <v>2060</v>
      </c>
      <c r="C185" s="107">
        <f>[5]С2.5!$AS$11</f>
        <v>0</v>
      </c>
    </row>
    <row r="186" spans="2:3" ht="13.5" hidden="1" thickBot="1">
      <c r="B186" s="106">
        <f t="shared" si="0"/>
        <v>2061</v>
      </c>
      <c r="C186" s="107">
        <f>[5]С2.5!$AT$11</f>
        <v>0</v>
      </c>
    </row>
    <row r="187" spans="2:3" ht="13.5" hidden="1" thickBot="1">
      <c r="B187" s="106">
        <f t="shared" si="0"/>
        <v>2062</v>
      </c>
      <c r="C187" s="107">
        <f>[5]С2.5!$AU$11</f>
        <v>0</v>
      </c>
    </row>
    <row r="188" spans="2:3" ht="13.5" hidden="1" thickBot="1">
      <c r="B188" s="106">
        <f t="shared" si="0"/>
        <v>2063</v>
      </c>
      <c r="C188" s="107">
        <f>[5]С2.5!$AV$11</f>
        <v>0</v>
      </c>
    </row>
    <row r="189" spans="2:3" ht="13.5" hidden="1" thickBot="1">
      <c r="B189" s="106">
        <f t="shared" si="0"/>
        <v>2064</v>
      </c>
      <c r="C189" s="107">
        <f>[5]С2.5!$AW$11</f>
        <v>0</v>
      </c>
    </row>
    <row r="190" spans="2:3" ht="13.5" hidden="1" thickBot="1">
      <c r="B190" s="106">
        <f t="shared" si="0"/>
        <v>2065</v>
      </c>
      <c r="C190" s="107">
        <f>[5]С2.5!$AX$11</f>
        <v>0</v>
      </c>
    </row>
    <row r="191" spans="2:3" ht="13.5" hidden="1" thickBot="1">
      <c r="B191" s="106">
        <f t="shared" si="0"/>
        <v>2066</v>
      </c>
      <c r="C191" s="107">
        <f>[5]С2.5!$AY$11</f>
        <v>0</v>
      </c>
    </row>
    <row r="192" spans="2:3" ht="13.5" hidden="1" thickBot="1">
      <c r="B192" s="106">
        <f t="shared" si="0"/>
        <v>2067</v>
      </c>
      <c r="C192" s="107">
        <f>[5]С2.5!$AZ$11</f>
        <v>0</v>
      </c>
    </row>
    <row r="193" spans="2:3" ht="13.5" hidden="1" thickBot="1">
      <c r="B193" s="106">
        <f t="shared" si="0"/>
        <v>2068</v>
      </c>
      <c r="C193" s="107">
        <f>[5]С2.5!$BA$11</f>
        <v>0</v>
      </c>
    </row>
    <row r="194" spans="2:3" ht="13.5" hidden="1" thickBot="1">
      <c r="B194" s="106">
        <f t="shared" si="0"/>
        <v>2069</v>
      </c>
      <c r="C194" s="107">
        <f>[5]С2.5!$BB$11</f>
        <v>0</v>
      </c>
    </row>
    <row r="195" spans="2:3" ht="13.5" hidden="1" thickBot="1">
      <c r="B195" s="106">
        <f t="shared" si="0"/>
        <v>2070</v>
      </c>
      <c r="C195" s="107">
        <f>[5]С2.5!$BC$11</f>
        <v>0</v>
      </c>
    </row>
    <row r="196" spans="2:3" ht="13.5" hidden="1" thickBot="1">
      <c r="B196" s="106">
        <f t="shared" si="0"/>
        <v>2071</v>
      </c>
      <c r="C196" s="107">
        <f>[5]С2.5!$BD$11</f>
        <v>0</v>
      </c>
    </row>
    <row r="197" spans="2:3" ht="13.5" hidden="1" thickBot="1">
      <c r="B197" s="106">
        <f t="shared" si="0"/>
        <v>2072</v>
      </c>
      <c r="C197" s="107">
        <f>[5]С2.5!$BE$11</f>
        <v>0</v>
      </c>
    </row>
    <row r="198" spans="2:3" ht="13.5" hidden="1" thickBot="1">
      <c r="B198" s="106">
        <f t="shared" si="0"/>
        <v>2073</v>
      </c>
      <c r="C198" s="107">
        <f>[5]С2.5!$BF$11</f>
        <v>0</v>
      </c>
    </row>
    <row r="199" spans="2:3" ht="13.5" hidden="1" thickBot="1">
      <c r="B199" s="106">
        <f t="shared" si="0"/>
        <v>2074</v>
      </c>
      <c r="C199" s="107">
        <f>[5]С2.5!$BG$11</f>
        <v>0</v>
      </c>
    </row>
    <row r="200" spans="2:3" ht="13.5" hidden="1" thickBot="1">
      <c r="B200" s="106">
        <f t="shared" si="0"/>
        <v>2075</v>
      </c>
      <c r="C200" s="107">
        <f>[5]С2.5!$BH$11</f>
        <v>0</v>
      </c>
    </row>
    <row r="201" spans="2:3" ht="13.5" hidden="1" thickBot="1">
      <c r="B201" s="106">
        <f t="shared" si="0"/>
        <v>2076</v>
      </c>
      <c r="C201" s="107">
        <f>[5]С2.5!$BI$11</f>
        <v>0</v>
      </c>
    </row>
    <row r="202" spans="2:3" ht="13.5" hidden="1" thickBot="1">
      <c r="B202" s="106">
        <f t="shared" si="0"/>
        <v>2077</v>
      </c>
      <c r="C202" s="107">
        <f>[5]С2.5!$BJ$11</f>
        <v>0</v>
      </c>
    </row>
    <row r="203" spans="2:3" ht="13.5" hidden="1" thickBot="1">
      <c r="B203" s="106">
        <f t="shared" si="0"/>
        <v>2078</v>
      </c>
      <c r="C203" s="107">
        <f>[5]С2.5!$BK$11</f>
        <v>0</v>
      </c>
    </row>
    <row r="204" spans="2:3" ht="13.5" hidden="1" thickBot="1">
      <c r="B204" s="106">
        <f t="shared" si="0"/>
        <v>2079</v>
      </c>
      <c r="C204" s="107">
        <f>[5]С2.5!$BL$11</f>
        <v>0</v>
      </c>
    </row>
    <row r="205" spans="2:3" ht="13.5" hidden="1" thickBot="1">
      <c r="B205" s="106">
        <f t="shared" si="0"/>
        <v>2080</v>
      </c>
      <c r="C205" s="107">
        <f>[5]С2.5!$BM$11</f>
        <v>0</v>
      </c>
    </row>
    <row r="206" spans="2:3" ht="13.5" hidden="1" thickBot="1">
      <c r="B206" s="106">
        <f t="shared" si="0"/>
        <v>2081</v>
      </c>
      <c r="C206" s="107">
        <f>[5]С2.5!$BN$11</f>
        <v>0</v>
      </c>
    </row>
    <row r="207" spans="2:3" ht="13.5" hidden="1" thickBot="1">
      <c r="B207" s="106">
        <f t="shared" si="0"/>
        <v>2082</v>
      </c>
      <c r="C207" s="107">
        <f>[5]С2.5!$BO$11</f>
        <v>0</v>
      </c>
    </row>
    <row r="208" spans="2:3" ht="13.5" hidden="1" thickBot="1">
      <c r="B208" s="106">
        <f t="shared" si="0"/>
        <v>2083</v>
      </c>
      <c r="C208" s="107">
        <f>[5]С2.5!$BP$11</f>
        <v>0</v>
      </c>
    </row>
    <row r="209" spans="2:3" ht="13.5" hidden="1" thickBot="1">
      <c r="B209" s="106">
        <f t="shared" si="0"/>
        <v>2084</v>
      </c>
      <c r="C209" s="107">
        <f>[5]С2.5!$BQ$11</f>
        <v>0</v>
      </c>
    </row>
    <row r="210" spans="2:3" ht="13.5" hidden="1" thickBot="1">
      <c r="B210" s="106">
        <f t="shared" si="0"/>
        <v>2085</v>
      </c>
      <c r="C210" s="107">
        <f>[5]С2.5!$BR$11</f>
        <v>0</v>
      </c>
    </row>
    <row r="211" spans="2:3" ht="13.5" hidden="1" thickBot="1">
      <c r="B211" s="106">
        <f t="shared" ref="B211:B224" si="1">B210+1</f>
        <v>2086</v>
      </c>
      <c r="C211" s="107">
        <f>[5]С2.5!$BS$11</f>
        <v>0</v>
      </c>
    </row>
    <row r="212" spans="2:3" ht="13.5" hidden="1" thickBot="1">
      <c r="B212" s="106">
        <f t="shared" si="1"/>
        <v>2087</v>
      </c>
      <c r="C212" s="107">
        <f>[5]С2.5!$BT$11</f>
        <v>0</v>
      </c>
    </row>
    <row r="213" spans="2:3" ht="13.5" hidden="1" thickBot="1">
      <c r="B213" s="106">
        <f t="shared" si="1"/>
        <v>2088</v>
      </c>
      <c r="C213" s="107">
        <f>[5]С2.5!$BU$11</f>
        <v>0</v>
      </c>
    </row>
    <row r="214" spans="2:3" ht="13.5" hidden="1" thickBot="1">
      <c r="B214" s="106">
        <f t="shared" si="1"/>
        <v>2089</v>
      </c>
      <c r="C214" s="107">
        <f>[5]С2.5!$BV$11</f>
        <v>0</v>
      </c>
    </row>
    <row r="215" spans="2:3" ht="13.5" hidden="1" thickBot="1">
      <c r="B215" s="106">
        <f t="shared" si="1"/>
        <v>2090</v>
      </c>
      <c r="C215" s="107">
        <f>[5]С2.5!$BW$11</f>
        <v>0</v>
      </c>
    </row>
    <row r="216" spans="2:3" ht="13.5" hidden="1" thickBot="1">
      <c r="B216" s="106">
        <f t="shared" si="1"/>
        <v>2091</v>
      </c>
      <c r="C216" s="107">
        <f>[5]С2.5!$BX$11</f>
        <v>0</v>
      </c>
    </row>
    <row r="217" spans="2:3" ht="13.5" hidden="1" thickBot="1">
      <c r="B217" s="106">
        <f t="shared" si="1"/>
        <v>2092</v>
      </c>
      <c r="C217" s="107">
        <f>[5]С2.5!$BY$11</f>
        <v>0</v>
      </c>
    </row>
    <row r="218" spans="2:3" ht="13.5" hidden="1" thickBot="1">
      <c r="B218" s="106">
        <f t="shared" si="1"/>
        <v>2093</v>
      </c>
      <c r="C218" s="107">
        <f>[5]С2.5!$BZ$11</f>
        <v>0</v>
      </c>
    </row>
    <row r="219" spans="2:3" ht="13.5" hidden="1" thickBot="1">
      <c r="B219" s="106">
        <f t="shared" si="1"/>
        <v>2094</v>
      </c>
      <c r="C219" s="107">
        <f>[5]С2.5!$CA$11</f>
        <v>0</v>
      </c>
    </row>
    <row r="220" spans="2:3" ht="13.5" hidden="1" thickBot="1">
      <c r="B220" s="106">
        <f t="shared" si="1"/>
        <v>2095</v>
      </c>
      <c r="C220" s="107">
        <f>[5]С2.5!$CB$11</f>
        <v>0</v>
      </c>
    </row>
    <row r="221" spans="2:3" ht="13.5" hidden="1" thickBot="1">
      <c r="B221" s="106">
        <f t="shared" si="1"/>
        <v>2096</v>
      </c>
      <c r="C221" s="107">
        <f>[5]С2.5!$CC$11</f>
        <v>0</v>
      </c>
    </row>
    <row r="222" spans="2:3" ht="13.5" hidden="1" thickBot="1">
      <c r="B222" s="106">
        <f t="shared" si="1"/>
        <v>2097</v>
      </c>
      <c r="C222" s="107">
        <f>[5]С2.5!$CD$11</f>
        <v>0</v>
      </c>
    </row>
    <row r="223" spans="2:3" ht="13.5" hidden="1" thickBot="1">
      <c r="B223" s="106">
        <f t="shared" si="1"/>
        <v>2098</v>
      </c>
      <c r="C223" s="107">
        <f>[5]С2.5!$CE$11</f>
        <v>0</v>
      </c>
    </row>
    <row r="224" spans="2:3" ht="13.5" hidden="1" thickBot="1">
      <c r="B224" s="106">
        <f t="shared" si="1"/>
        <v>2099</v>
      </c>
      <c r="C224" s="107">
        <f>[5]С2.5!$CF$11</f>
        <v>0</v>
      </c>
    </row>
    <row r="225" spans="2:3" ht="13.5" hidden="1" thickBot="1">
      <c r="B225" s="108">
        <f>B162+1</f>
        <v>2038</v>
      </c>
      <c r="C225" s="109" t="e">
        <f>[5]С2.5!#REF!</f>
        <v>#REF!</v>
      </c>
    </row>
    <row r="226" spans="2:3">
      <c r="B226" s="110"/>
      <c r="C226" s="111"/>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E7" sqref="E7"/>
    </sheetView>
  </sheetViews>
  <sheetFormatPr defaultRowHeight="12.75"/>
  <cols>
    <col min="1" max="1" width="7.28515625" style="2" customWidth="1"/>
    <col min="2" max="2" width="100.7109375" style="2" customWidth="1"/>
    <col min="3" max="3" width="20.85546875" style="112" customWidth="1"/>
    <col min="4" max="153" width="9.140625" style="2"/>
    <col min="154" max="235" width="0" style="2" hidden="1" customWidth="1"/>
    <col min="236" max="244" width="9.140625" style="2"/>
    <col min="245" max="245" width="3.710937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710937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710937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710937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710937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710937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710937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710937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710937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710937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710937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710937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710937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710937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710937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710937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710937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710937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710937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710937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710937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710937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710937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710937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710937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710937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710937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710937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710937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710937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710937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710937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710937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710937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710937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710937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710937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710937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710937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710937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710937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710937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710937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710937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710937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710937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710937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710937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710937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710937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710937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710937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710937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710937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710937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710937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710937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710937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710937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710937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710937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710937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710937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c r="A1" s="1"/>
      <c r="B1" s="144" t="s">
        <v>0</v>
      </c>
      <c r="C1" s="144"/>
    </row>
    <row r="2" spans="1:3">
      <c r="A2" s="1"/>
      <c r="B2" s="3" t="s">
        <v>1</v>
      </c>
      <c r="C2" s="4">
        <f ca="1">TODAY()</f>
        <v>44944</v>
      </c>
    </row>
    <row r="3" spans="1:3">
      <c r="A3" s="1"/>
      <c r="B3" s="5" t="s">
        <v>2</v>
      </c>
      <c r="C3" s="6"/>
    </row>
    <row r="4" spans="1:3" ht="25.5">
      <c r="A4" s="7"/>
      <c r="B4" s="8" t="str">
        <f>[16]И1!D13</f>
        <v>Субъект Российской Федерации</v>
      </c>
      <c r="C4" s="9" t="str">
        <f>[16]И1!E13</f>
        <v>Новосибирская область</v>
      </c>
    </row>
    <row r="5" spans="1:3" ht="15.95" customHeight="1">
      <c r="A5" s="7"/>
      <c r="B5" s="8" t="str">
        <f>[16]И1!D14</f>
        <v>Тип муниципального образования (выберите из списка)</v>
      </c>
      <c r="C5" s="9" t="str">
        <f>[16]И1!E14</f>
        <v>Соколовское МО</v>
      </c>
    </row>
    <row r="6" spans="1:3">
      <c r="A6" s="7"/>
      <c r="B6" s="8" t="str">
        <f>IF([16]И1!E15="","",[16]И1!D15)</f>
        <v/>
      </c>
      <c r="C6" s="6" t="str">
        <f>IF([16]И1!E15="","",[16]И1!E15)</f>
        <v/>
      </c>
    </row>
    <row r="7" spans="1:3">
      <c r="A7" s="7"/>
      <c r="B7" s="8" t="str">
        <f>[16]И1!D16</f>
        <v>Код ОКТМО</v>
      </c>
      <c r="C7" s="10" t="str">
        <f>[16]И1!E16</f>
        <v>50621431101</v>
      </c>
    </row>
    <row r="8" spans="1:3">
      <c r="A8" s="7"/>
      <c r="B8" s="11" t="str">
        <f>[16]И1!D17</f>
        <v>Система теплоснабжения</v>
      </c>
      <c r="C8" s="12">
        <f>[16]И1!E17</f>
        <v>0</v>
      </c>
    </row>
    <row r="9" spans="1:3">
      <c r="A9" s="7"/>
      <c r="B9" s="8" t="str">
        <f>[16]И1!D8</f>
        <v>Период регулирования (i)-й</v>
      </c>
      <c r="C9" s="13">
        <f>[16]И1!E8</f>
        <v>2023</v>
      </c>
    </row>
    <row r="10" spans="1:3">
      <c r="A10" s="7"/>
      <c r="B10" s="8" t="str">
        <f>[16]И1!D9</f>
        <v>Период регулирования (i-1)-й</v>
      </c>
      <c r="C10" s="13">
        <f>[16]И1!E9</f>
        <v>2022</v>
      </c>
    </row>
    <row r="11" spans="1:3">
      <c r="A11" s="7"/>
      <c r="B11" s="8" t="str">
        <f>[16]И1!D10</f>
        <v>Период регулирования (i-2)-й</v>
      </c>
      <c r="C11" s="13">
        <f>[16]И1!E10</f>
        <v>2021</v>
      </c>
    </row>
    <row r="12" spans="1:3">
      <c r="A12" s="7"/>
      <c r="B12" s="8" t="str">
        <f>[16]И1!D11</f>
        <v>Базовый год (б)</v>
      </c>
      <c r="C12" s="13">
        <f>[16]И1!E11</f>
        <v>2019</v>
      </c>
    </row>
    <row r="13" spans="1:3">
      <c r="A13" s="7"/>
      <c r="B13" s="8" t="str">
        <f>[16]И1!D18</f>
        <v>Вид топлива, использование которого преобладает в системе теплоснабжения</v>
      </c>
      <c r="C13" s="14" t="str">
        <f>[16]И1!E18</f>
        <v>Газ</v>
      </c>
    </row>
    <row r="14" spans="1:3" ht="26.25" customHeight="1" thickBot="1">
      <c r="A14" s="145" t="s">
        <v>3</v>
      </c>
      <c r="B14" s="145"/>
      <c r="C14" s="145"/>
    </row>
    <row r="15" spans="1:3">
      <c r="A15" s="15" t="s">
        <v>4</v>
      </c>
      <c r="B15" s="16" t="s">
        <v>5</v>
      </c>
      <c r="C15" s="17" t="s">
        <v>6</v>
      </c>
    </row>
    <row r="16" spans="1:3">
      <c r="A16" s="18">
        <v>1</v>
      </c>
      <c r="B16" s="19">
        <v>2</v>
      </c>
      <c r="C16" s="20">
        <v>3</v>
      </c>
    </row>
    <row r="17" spans="1:3">
      <c r="A17" s="21">
        <v>1</v>
      </c>
      <c r="B17" s="22" t="s">
        <v>7</v>
      </c>
      <c r="C17" s="23">
        <f>SUM(C18:C23)</f>
        <v>2949.3412878918234</v>
      </c>
    </row>
    <row r="18" spans="1:3" ht="42.75">
      <c r="A18" s="21" t="s">
        <v>8</v>
      </c>
      <c r="B18" s="24" t="s">
        <v>9</v>
      </c>
      <c r="C18" s="25">
        <f>[16]С1!F12</f>
        <v>912.75572352910331</v>
      </c>
    </row>
    <row r="19" spans="1:3" ht="42.75">
      <c r="A19" s="21" t="s">
        <v>10</v>
      </c>
      <c r="B19" s="24" t="s">
        <v>11</v>
      </c>
      <c r="C19" s="25">
        <f>[16]С2!F12</f>
        <v>1416.7967815079221</v>
      </c>
    </row>
    <row r="20" spans="1:3" ht="30">
      <c r="A20" s="21" t="s">
        <v>12</v>
      </c>
      <c r="B20" s="24" t="s">
        <v>13</v>
      </c>
      <c r="C20" s="25">
        <f>[16]С3!F12</f>
        <v>338.80382712889616</v>
      </c>
    </row>
    <row r="21" spans="1:3" ht="42.75">
      <c r="A21" s="21" t="s">
        <v>14</v>
      </c>
      <c r="B21" s="24" t="s">
        <v>15</v>
      </c>
      <c r="C21" s="25">
        <f>[16]С4!F12</f>
        <v>223.15473439468997</v>
      </c>
    </row>
    <row r="22" spans="1:3" ht="33" customHeight="1">
      <c r="A22" s="21" t="s">
        <v>16</v>
      </c>
      <c r="B22" s="24" t="s">
        <v>17</v>
      </c>
      <c r="C22" s="25">
        <f>[16]С5!F12</f>
        <v>57.830221331212222</v>
      </c>
    </row>
    <row r="23" spans="1:3" ht="45.75" customHeight="1" thickBot="1">
      <c r="A23" s="26" t="s">
        <v>18</v>
      </c>
      <c r="B23" s="27" t="s">
        <v>19</v>
      </c>
      <c r="C23" s="28">
        <f>[16]С6!F12</f>
        <v>0</v>
      </c>
    </row>
    <row r="24" spans="1:3" ht="13.5" thickBot="1">
      <c r="A24" s="1"/>
      <c r="C24" s="6"/>
    </row>
    <row r="25" spans="1:3">
      <c r="A25" s="15" t="s">
        <v>4</v>
      </c>
      <c r="B25" s="29" t="s">
        <v>5</v>
      </c>
      <c r="C25" s="16" t="s">
        <v>6</v>
      </c>
    </row>
    <row r="26" spans="1:3">
      <c r="A26" s="18">
        <v>1</v>
      </c>
      <c r="B26" s="30">
        <v>2</v>
      </c>
      <c r="C26" s="31">
        <v>3</v>
      </c>
    </row>
    <row r="27" spans="1:3" ht="30" customHeight="1">
      <c r="A27" s="21">
        <v>1</v>
      </c>
      <c r="B27" s="146" t="s">
        <v>20</v>
      </c>
      <c r="C27" s="146"/>
    </row>
    <row r="28" spans="1:3">
      <c r="A28" s="21" t="s">
        <v>8</v>
      </c>
      <c r="B28" s="32" t="s">
        <v>21</v>
      </c>
      <c r="C28" s="33">
        <f>[16]С1.1!E16</f>
        <v>7900</v>
      </c>
    </row>
    <row r="29" spans="1:3" ht="42.75">
      <c r="A29" s="21" t="s">
        <v>10</v>
      </c>
      <c r="B29" s="32" t="s">
        <v>22</v>
      </c>
      <c r="C29" s="33">
        <f>[16]С1.1!E32</f>
        <v>5591.16</v>
      </c>
    </row>
    <row r="30" spans="1:3" ht="38.25">
      <c r="A30" s="21" t="s">
        <v>23</v>
      </c>
      <c r="B30" s="32" t="s">
        <v>24</v>
      </c>
      <c r="C30" s="34" t="str">
        <f>[16]С1.1!E25</f>
        <v>ООО "Газпром газораспределение Томск"</v>
      </c>
    </row>
    <row r="31" spans="1:3" ht="38.25">
      <c r="A31" s="21" t="s">
        <v>25</v>
      </c>
      <c r="B31" s="32" t="str">
        <f>[16]С1.1!D26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3">
        <f>[16]С1.1!E26</f>
        <v>4475.5</v>
      </c>
    </row>
    <row r="32" spans="1:3" ht="25.5">
      <c r="A32" s="21" t="s">
        <v>26</v>
      </c>
      <c r="B32" s="32" t="str">
        <f>[16]С1.1!D27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3">
        <f>[16]С1.1!E27</f>
        <v>952.13</v>
      </c>
    </row>
    <row r="33" spans="1:3" ht="25.5">
      <c r="A33" s="21" t="s">
        <v>27</v>
      </c>
      <c r="B33" s="32" t="str">
        <f>[16]С1.1!D28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3">
        <f>[16]С1.1!E28</f>
        <v>132.9</v>
      </c>
    </row>
    <row r="34" spans="1:3" ht="38.25">
      <c r="A34" s="21" t="s">
        <v>28</v>
      </c>
      <c r="B34" s="32" t="str">
        <f>[16]С1.1!D29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3">
        <f>[16]С1.1!E29</f>
        <v>30.63</v>
      </c>
    </row>
    <row r="35" spans="1:3" ht="17.25">
      <c r="A35" s="21" t="s">
        <v>12</v>
      </c>
      <c r="B35" s="32" t="s">
        <v>29</v>
      </c>
      <c r="C35" s="35">
        <f>[16]С1.1!E20</f>
        <v>0.1392500000000001</v>
      </c>
    </row>
    <row r="36" spans="1:3" ht="17.25">
      <c r="A36" s="21" t="s">
        <v>14</v>
      </c>
      <c r="B36" s="32" t="s">
        <v>30</v>
      </c>
      <c r="C36" s="35">
        <f>[16]С1.1!E21</f>
        <v>0</v>
      </c>
    </row>
    <row r="37" spans="1:3" ht="30">
      <c r="A37" s="21" t="s">
        <v>16</v>
      </c>
      <c r="B37" s="36" t="s">
        <v>31</v>
      </c>
      <c r="C37" s="37">
        <f>[16]С1!F13</f>
        <v>156.1</v>
      </c>
    </row>
    <row r="38" spans="1:3">
      <c r="A38" s="21" t="s">
        <v>18</v>
      </c>
      <c r="B38" s="36" t="s">
        <v>32</v>
      </c>
      <c r="C38" s="38">
        <f>[16]С1!F16</f>
        <v>7000</v>
      </c>
    </row>
    <row r="39" spans="1:3" ht="14.25">
      <c r="A39" s="39" t="s">
        <v>33</v>
      </c>
      <c r="B39" s="40" t="s">
        <v>34</v>
      </c>
      <c r="C39" s="41">
        <f>[16]С1!F17</f>
        <v>1.1285714285714286</v>
      </c>
    </row>
    <row r="40" spans="1:3" ht="15.75">
      <c r="A40" s="42" t="s">
        <v>35</v>
      </c>
      <c r="B40" s="43" t="s">
        <v>36</v>
      </c>
      <c r="C40" s="41">
        <f>[16]С1!F20</f>
        <v>22.307053372799995</v>
      </c>
    </row>
    <row r="41" spans="1:3" ht="15.75">
      <c r="A41" s="42" t="s">
        <v>37</v>
      </c>
      <c r="B41" s="44" t="s">
        <v>38</v>
      </c>
      <c r="C41" s="41">
        <f>[16]С1!F21</f>
        <v>21.531904799999996</v>
      </c>
    </row>
    <row r="42" spans="1:3" ht="14.25">
      <c r="A42" s="42" t="s">
        <v>39</v>
      </c>
      <c r="B42" s="45" t="s">
        <v>40</v>
      </c>
      <c r="C42" s="41">
        <f>[16]С1!F22</f>
        <v>1.036</v>
      </c>
    </row>
    <row r="43" spans="1:3" ht="53.25" thickBot="1">
      <c r="A43" s="26" t="s">
        <v>41</v>
      </c>
      <c r="B43" s="46" t="s">
        <v>42</v>
      </c>
      <c r="C43" s="47" t="str">
        <f>[16]С1!F23</f>
        <v>-</v>
      </c>
    </row>
    <row r="44" spans="1:3" ht="13.5" thickBot="1">
      <c r="A44" s="48"/>
      <c r="B44" s="49"/>
      <c r="C44" s="14"/>
    </row>
    <row r="45" spans="1:3" ht="30" customHeight="1">
      <c r="A45" s="50" t="s">
        <v>43</v>
      </c>
      <c r="B45" s="142" t="s">
        <v>44</v>
      </c>
      <c r="C45" s="142"/>
    </row>
    <row r="46" spans="1:3" ht="25.5">
      <c r="A46" s="21" t="s">
        <v>45</v>
      </c>
      <c r="B46" s="36" t="s">
        <v>46</v>
      </c>
      <c r="C46" s="51" t="str">
        <f>[16]С2.1!E12</f>
        <v>V</v>
      </c>
    </row>
    <row r="47" spans="1:3" ht="25.5">
      <c r="A47" s="21" t="s">
        <v>47</v>
      </c>
      <c r="B47" s="32" t="s">
        <v>48</v>
      </c>
      <c r="C47" s="51" t="str">
        <f>[16]С2.1!E13</f>
        <v>6 и менее баллов</v>
      </c>
    </row>
    <row r="48" spans="1:3" ht="25.5">
      <c r="A48" s="21" t="s">
        <v>49</v>
      </c>
      <c r="B48" s="32" t="s">
        <v>50</v>
      </c>
      <c r="C48" s="51" t="str">
        <f>[16]С2.1!E14</f>
        <v>от 200 до 500</v>
      </c>
    </row>
    <row r="49" spans="1:3" ht="25.5">
      <c r="A49" s="21" t="s">
        <v>51</v>
      </c>
      <c r="B49" s="32" t="s">
        <v>52</v>
      </c>
      <c r="C49" s="52" t="str">
        <f>[16]С2.1!E15</f>
        <v>нет</v>
      </c>
    </row>
    <row r="50" spans="1:3" ht="30">
      <c r="A50" s="21" t="s">
        <v>53</v>
      </c>
      <c r="B50" s="32" t="s">
        <v>54</v>
      </c>
      <c r="C50" s="33">
        <f>[16]С2!F18</f>
        <v>32402.627334033532</v>
      </c>
    </row>
    <row r="51" spans="1:3" ht="30">
      <c r="A51" s="21" t="s">
        <v>55</v>
      </c>
      <c r="B51" s="53" t="s">
        <v>56</v>
      </c>
      <c r="C51" s="33">
        <f>IF([16]С2!F19&gt;0,[16]С2!F19,[16]С2!F20)</f>
        <v>23441.524932855718</v>
      </c>
    </row>
    <row r="52" spans="1:3" ht="25.5">
      <c r="A52" s="21" t="s">
        <v>57</v>
      </c>
      <c r="B52" s="54" t="s">
        <v>58</v>
      </c>
      <c r="C52" s="33">
        <f>[16]С2.1!E20</f>
        <v>-37</v>
      </c>
    </row>
    <row r="53" spans="1:3" ht="25.5">
      <c r="A53" s="21" t="s">
        <v>59</v>
      </c>
      <c r="B53" s="54" t="s">
        <v>60</v>
      </c>
      <c r="C53" s="33" t="str">
        <f>[16]С2.1!E23</f>
        <v>нет</v>
      </c>
    </row>
    <row r="54" spans="1:3" ht="38.25">
      <c r="A54" s="21" t="s">
        <v>61</v>
      </c>
      <c r="B54" s="55" t="s">
        <v>62</v>
      </c>
      <c r="C54" s="33">
        <f>[16]С2.2!E10</f>
        <v>1287</v>
      </c>
    </row>
    <row r="55" spans="1:3" ht="25.5">
      <c r="A55" s="21" t="s">
        <v>63</v>
      </c>
      <c r="B55" s="56" t="s">
        <v>64</v>
      </c>
      <c r="C55" s="33">
        <f>[16]С2.2!E12</f>
        <v>5.97</v>
      </c>
    </row>
    <row r="56" spans="1:3" ht="52.5">
      <c r="A56" s="21" t="s">
        <v>65</v>
      </c>
      <c r="B56" s="57" t="s">
        <v>66</v>
      </c>
      <c r="C56" s="33">
        <f>[16]С2.2!E13</f>
        <v>1</v>
      </c>
    </row>
    <row r="57" spans="1:3" ht="27.75">
      <c r="A57" s="21" t="s">
        <v>67</v>
      </c>
      <c r="B57" s="56" t="s">
        <v>68</v>
      </c>
      <c r="C57" s="33">
        <f>[16]С2.2!E14</f>
        <v>12104</v>
      </c>
    </row>
    <row r="58" spans="1:3" ht="25.5">
      <c r="A58" s="21" t="s">
        <v>69</v>
      </c>
      <c r="B58" s="57" t="s">
        <v>70</v>
      </c>
      <c r="C58" s="35">
        <f>[16]С2.2!E15</f>
        <v>4.8000000000000001E-2</v>
      </c>
    </row>
    <row r="59" spans="1:3">
      <c r="A59" s="21" t="s">
        <v>71</v>
      </c>
      <c r="B59" s="57" t="s">
        <v>72</v>
      </c>
      <c r="C59" s="58">
        <f>[16]С2.2!E16</f>
        <v>1</v>
      </c>
    </row>
    <row r="60" spans="1:3" ht="15.75">
      <c r="A60" s="21" t="s">
        <v>73</v>
      </c>
      <c r="B60" s="59" t="s">
        <v>74</v>
      </c>
      <c r="C60" s="33">
        <f>[16]С2!F21</f>
        <v>1</v>
      </c>
    </row>
    <row r="61" spans="1:3" ht="30">
      <c r="A61" s="60" t="s">
        <v>75</v>
      </c>
      <c r="B61" s="32" t="s">
        <v>76</v>
      </c>
      <c r="C61" s="33">
        <f>[16]С2!F13</f>
        <v>97038.307983185223</v>
      </c>
    </row>
    <row r="62" spans="1:3" ht="30">
      <c r="A62" s="60" t="s">
        <v>77</v>
      </c>
      <c r="B62" s="61" t="s">
        <v>78</v>
      </c>
      <c r="C62" s="33">
        <f>[16]С2!F14</f>
        <v>64899</v>
      </c>
    </row>
    <row r="63" spans="1:3" ht="15.75">
      <c r="A63" s="60" t="s">
        <v>79</v>
      </c>
      <c r="B63" s="61" t="s">
        <v>80</v>
      </c>
      <c r="C63" s="41">
        <f>[16]С2!F15</f>
        <v>1.071</v>
      </c>
    </row>
    <row r="64" spans="1:3" ht="15.75">
      <c r="A64" s="60" t="s">
        <v>81</v>
      </c>
      <c r="B64" s="61" t="s">
        <v>82</v>
      </c>
      <c r="C64" s="62">
        <f>[16]С2!F16</f>
        <v>1</v>
      </c>
    </row>
    <row r="65" spans="1:3" ht="17.25">
      <c r="A65" s="60" t="s">
        <v>83</v>
      </c>
      <c r="B65" s="61" t="s">
        <v>84</v>
      </c>
      <c r="C65" s="63">
        <f>[16]С2!F17</f>
        <v>1.01</v>
      </c>
    </row>
    <row r="66" spans="1:3" s="66" customFormat="1" ht="14.25">
      <c r="A66" s="60" t="s">
        <v>85</v>
      </c>
      <c r="B66" s="64" t="s">
        <v>86</v>
      </c>
      <c r="C66" s="65">
        <f>[16]С2!F35</f>
        <v>10</v>
      </c>
    </row>
    <row r="67" spans="1:3" ht="30">
      <c r="A67" s="60" t="s">
        <v>87</v>
      </c>
      <c r="B67" s="67" t="s">
        <v>88</v>
      </c>
      <c r="C67" s="33">
        <f>[16]С2!F28</f>
        <v>186.92622068882517</v>
      </c>
    </row>
    <row r="68" spans="1:3" ht="17.25">
      <c r="A68" s="60" t="s">
        <v>89</v>
      </c>
      <c r="B68" s="53" t="s">
        <v>90</v>
      </c>
      <c r="C68" s="41">
        <f>[16]С2!F29</f>
        <v>0.27046175099999997</v>
      </c>
    </row>
    <row r="69" spans="1:3" ht="17.25">
      <c r="A69" s="60" t="s">
        <v>91</v>
      </c>
      <c r="B69" s="59" t="s">
        <v>92</v>
      </c>
      <c r="C69" s="65">
        <f>[16]С2!F30</f>
        <v>500</v>
      </c>
    </row>
    <row r="70" spans="1:3" ht="42.75">
      <c r="A70" s="60" t="s">
        <v>93</v>
      </c>
      <c r="B70" s="32" t="s">
        <v>94</v>
      </c>
      <c r="C70" s="33">
        <f>[16]С2!F22</f>
        <v>36585.255753162281</v>
      </c>
    </row>
    <row r="71" spans="1:3" ht="30">
      <c r="A71" s="60" t="s">
        <v>95</v>
      </c>
      <c r="B71" s="61" t="s">
        <v>96</v>
      </c>
      <c r="C71" s="33">
        <f>[16]С2!F23</f>
        <v>21</v>
      </c>
    </row>
    <row r="72" spans="1:3" ht="30">
      <c r="A72" s="60" t="s">
        <v>97</v>
      </c>
      <c r="B72" s="53" t="s">
        <v>98</v>
      </c>
      <c r="C72" s="33">
        <f>[16]С2.1!E28</f>
        <v>14036.09995</v>
      </c>
    </row>
    <row r="73" spans="1:3" ht="38.25">
      <c r="A73" s="60" t="s">
        <v>99</v>
      </c>
      <c r="B73" s="68" t="s">
        <v>100</v>
      </c>
      <c r="C73" s="52">
        <f>[16]С2.3!E21</f>
        <v>0</v>
      </c>
    </row>
    <row r="74" spans="1:3" ht="25.5">
      <c r="A74" s="60" t="s">
        <v>101</v>
      </c>
      <c r="B74" s="69" t="s">
        <v>102</v>
      </c>
      <c r="C74" s="70">
        <f>[16]С2.3!E11</f>
        <v>5.45</v>
      </c>
    </row>
    <row r="75" spans="1:3" ht="25.5">
      <c r="A75" s="60" t="s">
        <v>103</v>
      </c>
      <c r="B75" s="69" t="s">
        <v>104</v>
      </c>
      <c r="C75" s="65">
        <f>[16]С2.3!E13</f>
        <v>300</v>
      </c>
    </row>
    <row r="76" spans="1:3" ht="25.5">
      <c r="A76" s="60" t="s">
        <v>105</v>
      </c>
      <c r="B76" s="68" t="s">
        <v>106</v>
      </c>
      <c r="C76" s="71">
        <f>IF([16]С2.3!E22&gt;0,[16]С2.3!E22,[16]С2.3!E14)</f>
        <v>61211</v>
      </c>
    </row>
    <row r="77" spans="1:3" ht="38.25">
      <c r="A77" s="60" t="s">
        <v>107</v>
      </c>
      <c r="B77" s="68" t="s">
        <v>108</v>
      </c>
      <c r="C77" s="71">
        <f>IF([16]С2.3!E23&gt;0,[16]С2.3!E23,[16]С2.3!E15)</f>
        <v>45675</v>
      </c>
    </row>
    <row r="78" spans="1:3" ht="30">
      <c r="A78" s="60" t="s">
        <v>109</v>
      </c>
      <c r="B78" s="53" t="s">
        <v>110</v>
      </c>
      <c r="C78" s="33">
        <f>[16]С2.1!E29</f>
        <v>9518.3274000000001</v>
      </c>
    </row>
    <row r="79" spans="1:3" ht="38.25">
      <c r="A79" s="60" t="s">
        <v>111</v>
      </c>
      <c r="B79" s="68" t="s">
        <v>112</v>
      </c>
      <c r="C79" s="52">
        <f>[16]С2.3!E25</f>
        <v>0</v>
      </c>
    </row>
    <row r="80" spans="1:3" ht="25.5">
      <c r="A80" s="60" t="s">
        <v>113</v>
      </c>
      <c r="B80" s="69" t="s">
        <v>114</v>
      </c>
      <c r="C80" s="70">
        <f>[16]С2.3!E12</f>
        <v>0.2</v>
      </c>
    </row>
    <row r="81" spans="1:3" ht="25.5">
      <c r="A81" s="60" t="s">
        <v>115</v>
      </c>
      <c r="B81" s="69" t="s">
        <v>104</v>
      </c>
      <c r="C81" s="65">
        <f>[16]С2.3!E13</f>
        <v>300</v>
      </c>
    </row>
    <row r="82" spans="1:3" ht="25.5">
      <c r="A82" s="60" t="s">
        <v>116</v>
      </c>
      <c r="B82" s="72" t="s">
        <v>117</v>
      </c>
      <c r="C82" s="71">
        <f>IF([16]С2.3!E26&gt;0,[16]С2.3!E26,[16]С2.3!E16)</f>
        <v>65637</v>
      </c>
    </row>
    <row r="83" spans="1:3" ht="38.25">
      <c r="A83" s="60" t="s">
        <v>118</v>
      </c>
      <c r="B83" s="72" t="s">
        <v>119</v>
      </c>
      <c r="C83" s="71">
        <f>IF([16]С2.3!E27&gt;0,[16]С2.3!E27,[16]С2.3!E17)</f>
        <v>31684</v>
      </c>
    </row>
    <row r="84" spans="1:3" ht="30">
      <c r="A84" s="60" t="s">
        <v>120</v>
      </c>
      <c r="B84" s="61" t="s">
        <v>121</v>
      </c>
      <c r="C84" s="71">
        <f>IF([16]С2.1!E19&gt;0,[16]С2.1!E19,[16]С2!F26)</f>
        <v>2892</v>
      </c>
    </row>
    <row r="85" spans="1:3" ht="17.25">
      <c r="A85" s="60" t="s">
        <v>122</v>
      </c>
      <c r="B85" s="32" t="s">
        <v>123</v>
      </c>
      <c r="C85" s="35">
        <f>[16]С2!F31</f>
        <v>0.128978033685065</v>
      </c>
    </row>
    <row r="86" spans="1:3" ht="30">
      <c r="A86" s="60" t="s">
        <v>124</v>
      </c>
      <c r="B86" s="53" t="s">
        <v>125</v>
      </c>
      <c r="C86" s="73">
        <f>[16]С2!F32</f>
        <v>0.11668498168498169</v>
      </c>
    </row>
    <row r="87" spans="1:3" ht="17.25">
      <c r="A87" s="60" t="s">
        <v>126</v>
      </c>
      <c r="B87" s="74" t="s">
        <v>127</v>
      </c>
      <c r="C87" s="35">
        <f>[16]С2!F33</f>
        <v>0.13880000000000001</v>
      </c>
    </row>
    <row r="88" spans="1:3" s="66" customFormat="1" ht="18" thickBot="1">
      <c r="A88" s="75" t="s">
        <v>128</v>
      </c>
      <c r="B88" s="76" t="s">
        <v>129</v>
      </c>
      <c r="C88" s="77">
        <f>[16]С2!F34</f>
        <v>0.12640000000000001</v>
      </c>
    </row>
    <row r="89" spans="1:3" ht="13.5" thickBot="1">
      <c r="A89" s="48"/>
      <c r="B89" s="49"/>
      <c r="C89" s="14"/>
    </row>
    <row r="90" spans="1:3" s="66" customFormat="1" ht="30" customHeight="1">
      <c r="A90" s="78" t="s">
        <v>130</v>
      </c>
      <c r="B90" s="142" t="s">
        <v>131</v>
      </c>
      <c r="C90" s="142"/>
    </row>
    <row r="91" spans="1:3" s="66" customFormat="1" ht="30">
      <c r="A91" s="79" t="s">
        <v>132</v>
      </c>
      <c r="B91" s="32" t="s">
        <v>133</v>
      </c>
      <c r="C91" s="33">
        <f>[16]С3!F14</f>
        <v>4859.4801705873924</v>
      </c>
    </row>
    <row r="92" spans="1:3" s="66" customFormat="1" ht="42.75">
      <c r="A92" s="79" t="s">
        <v>134</v>
      </c>
      <c r="B92" s="53" t="s">
        <v>135</v>
      </c>
      <c r="C92" s="80">
        <f>[16]С3!F15</f>
        <v>0.2</v>
      </c>
    </row>
    <row r="93" spans="1:3" s="66" customFormat="1" ht="14.25">
      <c r="A93" s="79" t="s">
        <v>136</v>
      </c>
      <c r="B93" s="81" t="s">
        <v>137</v>
      </c>
      <c r="C93" s="65">
        <f>[16]С3!F18</f>
        <v>15</v>
      </c>
    </row>
    <row r="94" spans="1:3" s="66" customFormat="1" ht="17.25">
      <c r="A94" s="79" t="s">
        <v>138</v>
      </c>
      <c r="B94" s="32" t="s">
        <v>139</v>
      </c>
      <c r="C94" s="33">
        <f>[16]С3!F19</f>
        <v>2435.0508023655884</v>
      </c>
    </row>
    <row r="95" spans="1:3" s="66" customFormat="1" ht="55.5">
      <c r="A95" s="79" t="s">
        <v>140</v>
      </c>
      <c r="B95" s="53" t="s">
        <v>141</v>
      </c>
      <c r="C95" s="82">
        <f>[16]С3!F20</f>
        <v>2.1999999999999999E-2</v>
      </c>
    </row>
    <row r="96" spans="1:3" s="66" customFormat="1" ht="14.25">
      <c r="A96" s="79" t="s">
        <v>142</v>
      </c>
      <c r="B96" s="59" t="s">
        <v>86</v>
      </c>
      <c r="C96" s="65">
        <f>[16]С3!F21</f>
        <v>10</v>
      </c>
    </row>
    <row r="97" spans="1:3" s="66" customFormat="1" ht="17.25">
      <c r="A97" s="79" t="s">
        <v>143</v>
      </c>
      <c r="B97" s="32" t="s">
        <v>144</v>
      </c>
      <c r="C97" s="33">
        <f>[16]С3!F22</f>
        <v>0.56077866206647553</v>
      </c>
    </row>
    <row r="98" spans="1:3" s="66" customFormat="1" ht="55.5">
      <c r="A98" s="79" t="s">
        <v>145</v>
      </c>
      <c r="B98" s="53" t="s">
        <v>146</v>
      </c>
      <c r="C98" s="82">
        <f>[16]С3!F23</f>
        <v>3.0000000000000001E-3</v>
      </c>
    </row>
    <row r="99" spans="1:3" s="66" customFormat="1" ht="30.75" thickBot="1">
      <c r="A99" s="83" t="s">
        <v>147</v>
      </c>
      <c r="B99" s="84" t="s">
        <v>88</v>
      </c>
      <c r="C99" s="85">
        <f>[16]С3!F24</f>
        <v>186.92622068882517</v>
      </c>
    </row>
    <row r="100" spans="1:3" ht="13.5" thickBot="1">
      <c r="A100" s="48"/>
      <c r="B100" s="49"/>
      <c r="C100" s="14"/>
    </row>
    <row r="101" spans="1:3" ht="30" customHeight="1">
      <c r="A101" s="86" t="s">
        <v>148</v>
      </c>
      <c r="B101" s="142" t="s">
        <v>149</v>
      </c>
      <c r="C101" s="142"/>
    </row>
    <row r="102" spans="1:3" ht="30">
      <c r="A102" s="60" t="s">
        <v>150</v>
      </c>
      <c r="B102" s="32" t="s">
        <v>151</v>
      </c>
      <c r="C102" s="33">
        <f>[16]С4!F16</f>
        <v>832.33500000000004</v>
      </c>
    </row>
    <row r="103" spans="1:3" ht="30">
      <c r="A103" s="60" t="s">
        <v>152</v>
      </c>
      <c r="B103" s="59" t="s">
        <v>153</v>
      </c>
      <c r="C103" s="33">
        <f>[16]С4!F17</f>
        <v>43385</v>
      </c>
    </row>
    <row r="104" spans="1:3" ht="17.25">
      <c r="A104" s="60" t="s">
        <v>154</v>
      </c>
      <c r="B104" s="59" t="s">
        <v>155</v>
      </c>
      <c r="C104" s="41">
        <f>[16]С4!F18</f>
        <v>1.4999999999999999E-2</v>
      </c>
    </row>
    <row r="105" spans="1:3" ht="30">
      <c r="A105" s="60" t="s">
        <v>156</v>
      </c>
      <c r="B105" s="59" t="s">
        <v>157</v>
      </c>
      <c r="C105" s="33">
        <f>[16]С4!F19</f>
        <v>12104</v>
      </c>
    </row>
    <row r="106" spans="1:3" ht="31.5">
      <c r="A106" s="60" t="s">
        <v>158</v>
      </c>
      <c r="B106" s="59" t="s">
        <v>159</v>
      </c>
      <c r="C106" s="41">
        <f>[16]С4!F20</f>
        <v>1.4999999999999999E-2</v>
      </c>
    </row>
    <row r="107" spans="1:3" ht="30">
      <c r="A107" s="60" t="s">
        <v>160</v>
      </c>
      <c r="B107" s="32" t="s">
        <v>161</v>
      </c>
      <c r="C107" s="33">
        <f>[16]С4!F21</f>
        <v>1221.9019409821399</v>
      </c>
    </row>
    <row r="108" spans="1:3" ht="45.6" customHeight="1">
      <c r="A108" s="60" t="s">
        <v>162</v>
      </c>
      <c r="B108" s="53" t="s">
        <v>163</v>
      </c>
      <c r="C108" s="34" t="str">
        <f>IF([16]С4.2!F8="да",[16]С4.2!D21,[16]С4.2!D15)</f>
        <v>АО "Новосибирскэнергосбыт"</v>
      </c>
    </row>
    <row r="109" spans="1:3" ht="68.25" customHeight="1">
      <c r="A109" s="60" t="s">
        <v>164</v>
      </c>
      <c r="B109" s="53" t="s">
        <v>165</v>
      </c>
      <c r="C109" s="33">
        <f>[16]С4!F22</f>
        <v>3.6112641666666665</v>
      </c>
    </row>
    <row r="110" spans="1:3" ht="30">
      <c r="A110" s="60" t="s">
        <v>166</v>
      </c>
      <c r="B110" s="59" t="s">
        <v>167</v>
      </c>
      <c r="C110" s="65">
        <f>[16]С4!F23</f>
        <v>110</v>
      </c>
    </row>
    <row r="111" spans="1:3" ht="14.25">
      <c r="A111" s="60" t="s">
        <v>168</v>
      </c>
      <c r="B111" s="53" t="s">
        <v>169</v>
      </c>
      <c r="C111" s="33">
        <f>[16]С4!F24</f>
        <v>8497.1999999999989</v>
      </c>
    </row>
    <row r="112" spans="1:3" ht="14.25">
      <c r="A112" s="60" t="s">
        <v>170</v>
      </c>
      <c r="B112" s="59" t="s">
        <v>171</v>
      </c>
      <c r="C112" s="41">
        <f>[16]С4!F25</f>
        <v>0.36199999999999999</v>
      </c>
    </row>
    <row r="113" spans="1:3" ht="17.25">
      <c r="A113" s="60" t="s">
        <v>172</v>
      </c>
      <c r="B113" s="32" t="s">
        <v>173</v>
      </c>
      <c r="C113" s="33">
        <f>[16]С4!F26</f>
        <v>35.314070000000001</v>
      </c>
    </row>
    <row r="114" spans="1:3" ht="25.5">
      <c r="A114" s="60" t="s">
        <v>174</v>
      </c>
      <c r="B114" s="53" t="s">
        <v>100</v>
      </c>
      <c r="C114" s="34">
        <f>[16]С4.3!E16</f>
        <v>0</v>
      </c>
    </row>
    <row r="115" spans="1:3" ht="25.5">
      <c r="A115" s="60" t="s">
        <v>175</v>
      </c>
      <c r="B115" s="53" t="s">
        <v>176</v>
      </c>
      <c r="C115" s="33">
        <f>[16]С4.3!E17</f>
        <v>17.829999999999998</v>
      </c>
    </row>
    <row r="116" spans="1:3" ht="38.25">
      <c r="A116" s="60" t="s">
        <v>177</v>
      </c>
      <c r="B116" s="53" t="s">
        <v>112</v>
      </c>
      <c r="C116" s="34">
        <f>[16]С4.3!E18</f>
        <v>0</v>
      </c>
    </row>
    <row r="117" spans="1:3">
      <c r="A117" s="60" t="s">
        <v>178</v>
      </c>
      <c r="B117" s="53" t="s">
        <v>179</v>
      </c>
      <c r="C117" s="33">
        <f>[16]С4.3!E19</f>
        <v>11.87</v>
      </c>
    </row>
    <row r="118" spans="1:3">
      <c r="A118" s="60" t="s">
        <v>180</v>
      </c>
      <c r="B118" s="59" t="s">
        <v>181</v>
      </c>
      <c r="C118" s="65">
        <f>[16]С4.3!E11</f>
        <v>1871</v>
      </c>
    </row>
    <row r="119" spans="1:3">
      <c r="A119" s="60" t="s">
        <v>182</v>
      </c>
      <c r="B119" s="59" t="s">
        <v>183</v>
      </c>
      <c r="C119" s="52">
        <f>[16]С4.3!E12</f>
        <v>61</v>
      </c>
    </row>
    <row r="120" spans="1:3">
      <c r="A120" s="60" t="s">
        <v>184</v>
      </c>
      <c r="B120" s="59" t="s">
        <v>185</v>
      </c>
      <c r="C120" s="52">
        <f>[16]С4.3!E13</f>
        <v>73</v>
      </c>
    </row>
    <row r="121" spans="1:3" ht="30">
      <c r="A121" s="60" t="s">
        <v>186</v>
      </c>
      <c r="B121" s="32" t="s">
        <v>187</v>
      </c>
      <c r="C121" s="33">
        <f>[16]С4!F27</f>
        <v>1027.9066866081675</v>
      </c>
    </row>
    <row r="122" spans="1:3" ht="25.5">
      <c r="A122" s="60" t="s">
        <v>188</v>
      </c>
      <c r="B122" s="53" t="s">
        <v>189</v>
      </c>
      <c r="C122" s="33">
        <f>[16]С4!F28</f>
        <v>789.4828622182547</v>
      </c>
    </row>
    <row r="123" spans="1:3" ht="42.75">
      <c r="A123" s="60" t="s">
        <v>190</v>
      </c>
      <c r="B123" s="53" t="s">
        <v>191</v>
      </c>
      <c r="C123" s="33">
        <f>[16]С4!F29</f>
        <v>238.42382438991297</v>
      </c>
    </row>
    <row r="124" spans="1:3" ht="30.75" thickBot="1">
      <c r="A124" s="75" t="s">
        <v>192</v>
      </c>
      <c r="B124" s="87" t="s">
        <v>193</v>
      </c>
      <c r="C124" s="85">
        <f>[16]С4!F30</f>
        <v>495.76352780154957</v>
      </c>
    </row>
    <row r="125" spans="1:3" s="88" customFormat="1" ht="13.5" thickBot="1">
      <c r="A125" s="48"/>
      <c r="B125" s="49"/>
      <c r="C125" s="14"/>
    </row>
    <row r="126" spans="1:3" s="66" customFormat="1" ht="30" customHeight="1">
      <c r="A126" s="78" t="s">
        <v>194</v>
      </c>
      <c r="B126" s="142" t="s">
        <v>195</v>
      </c>
      <c r="C126" s="142"/>
    </row>
    <row r="127" spans="1:3" ht="30.6" customHeight="1" thickBot="1">
      <c r="A127" s="26" t="s">
        <v>196</v>
      </c>
      <c r="B127" s="87" t="s">
        <v>197</v>
      </c>
      <c r="C127" s="85">
        <f>[16]С5!F17</f>
        <v>0.02</v>
      </c>
    </row>
    <row r="128" spans="1:3" s="88" customFormat="1" ht="13.5" thickBot="1">
      <c r="A128" s="48"/>
      <c r="B128" s="49"/>
      <c r="C128" s="14"/>
    </row>
    <row r="129" spans="1:3" ht="42.75" customHeight="1">
      <c r="A129" s="86" t="s">
        <v>198</v>
      </c>
      <c r="B129" s="142" t="s">
        <v>199</v>
      </c>
      <c r="C129" s="142"/>
    </row>
    <row r="130" spans="1:3" ht="68.25">
      <c r="A130" s="60" t="s">
        <v>200</v>
      </c>
      <c r="B130" s="89" t="s">
        <v>201</v>
      </c>
      <c r="C130" s="33" t="str">
        <f>IF([16]С6.1!E11="нет",[16]С6!F13,"")</f>
        <v/>
      </c>
    </row>
    <row r="131" spans="1:3" ht="42.75">
      <c r="A131" s="60" t="s">
        <v>202</v>
      </c>
      <c r="B131" s="90" t="s">
        <v>203</v>
      </c>
      <c r="C131" s="91" t="str">
        <f>IF([16]С6.1!E12="нет",[16]С6.1!E17,"")</f>
        <v/>
      </c>
    </row>
    <row r="132" spans="1:3" ht="68.25">
      <c r="A132" s="60" t="s">
        <v>204</v>
      </c>
      <c r="B132" s="89" t="s">
        <v>205</v>
      </c>
      <c r="C132" s="92" t="str">
        <f>IF([16]С6.1!E18="нет",[16]С6!F19,"")</f>
        <v/>
      </c>
    </row>
    <row r="133" spans="1:3" ht="55.5">
      <c r="A133" s="60" t="s">
        <v>206</v>
      </c>
      <c r="B133" s="90" t="s">
        <v>207</v>
      </c>
      <c r="C133" s="35" t="str">
        <f>IF([16]С6.1!E18="нет",[16]С6.1!E19,"")</f>
        <v/>
      </c>
    </row>
    <row r="134" spans="1:3" ht="61.5" customHeight="1">
      <c r="A134" s="60" t="s">
        <v>208</v>
      </c>
      <c r="B134" s="90" t="s">
        <v>209</v>
      </c>
      <c r="C134" s="35" t="str">
        <f>IF([16]С6.1!E18="нет",[16]С6.1!E22,"")</f>
        <v/>
      </c>
    </row>
    <row r="135" spans="1:3" ht="69" thickBot="1">
      <c r="A135" s="75" t="s">
        <v>210</v>
      </c>
      <c r="B135" s="93" t="s">
        <v>211</v>
      </c>
      <c r="C135" s="77" t="str">
        <f>IF([16]С6.1!E18="нет",[16]С6.1!E23,"")</f>
        <v/>
      </c>
    </row>
    <row r="136" spans="1:3" s="88" customFormat="1" ht="13.5" thickBot="1">
      <c r="A136" s="48"/>
      <c r="B136" s="49"/>
      <c r="C136" s="14"/>
    </row>
    <row r="137" spans="1:3" ht="15.75">
      <c r="A137" s="86" t="s">
        <v>212</v>
      </c>
      <c r="B137" s="94" t="s">
        <v>213</v>
      </c>
      <c r="C137" s="95">
        <f>[16]С2!F39</f>
        <v>21.531904799999996</v>
      </c>
    </row>
    <row r="138" spans="1:3" ht="14.25">
      <c r="A138" s="60" t="s">
        <v>214</v>
      </c>
      <c r="B138" s="59" t="s">
        <v>215</v>
      </c>
      <c r="C138" s="33">
        <f>[16]С2!F40</f>
        <v>7</v>
      </c>
    </row>
    <row r="139" spans="1:3" ht="17.25">
      <c r="A139" s="60" t="s">
        <v>216</v>
      </c>
      <c r="B139" s="59" t="s">
        <v>217</v>
      </c>
      <c r="C139" s="33">
        <f>[16]С2!F42</f>
        <v>0.97</v>
      </c>
    </row>
    <row r="140" spans="1:3" ht="15" thickBot="1">
      <c r="A140" s="75" t="s">
        <v>218</v>
      </c>
      <c r="B140" s="76" t="s">
        <v>219</v>
      </c>
      <c r="C140" s="47">
        <f>[16]С2!F44</f>
        <v>0.36199999999999999</v>
      </c>
    </row>
    <row r="141" spans="1:3" s="88" customFormat="1" ht="13.5" thickBot="1">
      <c r="A141" s="48"/>
      <c r="B141" s="49"/>
      <c r="C141" s="14"/>
    </row>
    <row r="142" spans="1:3" ht="17.25">
      <c r="A142" s="86" t="s">
        <v>220</v>
      </c>
      <c r="B142" s="96" t="s">
        <v>221</v>
      </c>
      <c r="C142" s="97">
        <f>[16]С2!F37</f>
        <v>1.3822747209000001</v>
      </c>
    </row>
    <row r="143" spans="1:3" ht="17.25" customHeight="1" thickBot="1">
      <c r="A143" s="75" t="s">
        <v>222</v>
      </c>
      <c r="B143" s="143" t="s">
        <v>223</v>
      </c>
      <c r="C143" s="143"/>
    </row>
    <row r="144" spans="1:3">
      <c r="A144" s="99"/>
      <c r="B144" s="100" t="s">
        <v>224</v>
      </c>
      <c r="C144" s="101"/>
    </row>
    <row r="145" spans="1:3">
      <c r="A145" s="99"/>
      <c r="B145" s="102">
        <v>2020</v>
      </c>
      <c r="C145" s="103">
        <f>[16]С2.5!$E$11</f>
        <v>-2.9000000000000026E-2</v>
      </c>
    </row>
    <row r="146" spans="1:3">
      <c r="B146" s="102">
        <f>B145+1</f>
        <v>2021</v>
      </c>
      <c r="C146" s="104">
        <f>[16]С2.5!$F$11</f>
        <v>0.245</v>
      </c>
    </row>
    <row r="147" spans="1:3">
      <c r="B147" s="102">
        <f t="shared" ref="B147:B210" si="0">B146+1</f>
        <v>2022</v>
      </c>
      <c r="C147" s="105">
        <f>[16]С2.5!$G$11</f>
        <v>0.121</v>
      </c>
    </row>
    <row r="148" spans="1:3" ht="13.5" thickBot="1">
      <c r="B148" s="106">
        <f t="shared" si="0"/>
        <v>2023</v>
      </c>
      <c r="C148" s="107">
        <f>[16]С2.5!$H$11</f>
        <v>0.02</v>
      </c>
    </row>
    <row r="149" spans="1:3" ht="13.5" hidden="1" thickBot="1">
      <c r="B149" s="106">
        <f t="shared" si="0"/>
        <v>2024</v>
      </c>
      <c r="C149" s="107">
        <f>[16]С2.5!$I$11</f>
        <v>0</v>
      </c>
    </row>
    <row r="150" spans="1:3" ht="13.5" hidden="1" thickBot="1">
      <c r="B150" s="106">
        <f t="shared" si="0"/>
        <v>2025</v>
      </c>
      <c r="C150" s="107">
        <f>[16]С2.5!$J$11</f>
        <v>0</v>
      </c>
    </row>
    <row r="151" spans="1:3" ht="13.5" hidden="1" thickBot="1">
      <c r="B151" s="106">
        <f t="shared" si="0"/>
        <v>2026</v>
      </c>
      <c r="C151" s="107">
        <f>[16]С2.5!$K$11</f>
        <v>0</v>
      </c>
    </row>
    <row r="152" spans="1:3" ht="13.5" hidden="1" thickBot="1">
      <c r="B152" s="106">
        <f t="shared" si="0"/>
        <v>2027</v>
      </c>
      <c r="C152" s="107">
        <f>[16]С2.5!$L$11</f>
        <v>0</v>
      </c>
    </row>
    <row r="153" spans="1:3" ht="13.5" hidden="1" thickBot="1">
      <c r="B153" s="106">
        <f t="shared" si="0"/>
        <v>2028</v>
      </c>
      <c r="C153" s="107">
        <f>[16]С2.5!$M$11</f>
        <v>0</v>
      </c>
    </row>
    <row r="154" spans="1:3" ht="13.5" hidden="1" thickBot="1">
      <c r="B154" s="106">
        <f t="shared" si="0"/>
        <v>2029</v>
      </c>
      <c r="C154" s="107">
        <f>[16]С2.5!$N$11</f>
        <v>0</v>
      </c>
    </row>
    <row r="155" spans="1:3" ht="13.5" hidden="1" thickBot="1">
      <c r="B155" s="106">
        <f t="shared" si="0"/>
        <v>2030</v>
      </c>
      <c r="C155" s="107">
        <f>[16]С2.5!$O$11</f>
        <v>0</v>
      </c>
    </row>
    <row r="156" spans="1:3" ht="13.5" hidden="1" thickBot="1">
      <c r="B156" s="106">
        <f t="shared" si="0"/>
        <v>2031</v>
      </c>
      <c r="C156" s="107">
        <f>[16]С2.5!$P$11</f>
        <v>0</v>
      </c>
    </row>
    <row r="157" spans="1:3" ht="13.5" hidden="1" thickBot="1">
      <c r="B157" s="106">
        <f t="shared" si="0"/>
        <v>2032</v>
      </c>
      <c r="C157" s="107">
        <f>[16]С2.5!$Q$11</f>
        <v>0</v>
      </c>
    </row>
    <row r="158" spans="1:3" ht="13.5" hidden="1" thickBot="1">
      <c r="B158" s="106">
        <f t="shared" si="0"/>
        <v>2033</v>
      </c>
      <c r="C158" s="107">
        <f>[16]С2.5!$R$11</f>
        <v>0</v>
      </c>
    </row>
    <row r="159" spans="1:3" ht="13.5" hidden="1" thickBot="1">
      <c r="B159" s="106">
        <f t="shared" si="0"/>
        <v>2034</v>
      </c>
      <c r="C159" s="107">
        <f>[16]С2.5!$S$11</f>
        <v>0</v>
      </c>
    </row>
    <row r="160" spans="1:3" ht="13.5" hidden="1" thickBot="1">
      <c r="B160" s="106">
        <f t="shared" si="0"/>
        <v>2035</v>
      </c>
      <c r="C160" s="107">
        <f>[16]С2.5!$T$11</f>
        <v>0</v>
      </c>
    </row>
    <row r="161" spans="2:3" ht="13.5" hidden="1" thickBot="1">
      <c r="B161" s="106">
        <f t="shared" si="0"/>
        <v>2036</v>
      </c>
      <c r="C161" s="107">
        <f>[16]С2.5!$U$11</f>
        <v>0</v>
      </c>
    </row>
    <row r="162" spans="2:3" ht="13.5" hidden="1" thickBot="1">
      <c r="B162" s="106">
        <f t="shared" si="0"/>
        <v>2037</v>
      </c>
      <c r="C162" s="107">
        <f>[16]С2.5!$V$11</f>
        <v>0</v>
      </c>
    </row>
    <row r="163" spans="2:3" ht="13.5" hidden="1" thickBot="1">
      <c r="B163" s="106">
        <f t="shared" si="0"/>
        <v>2038</v>
      </c>
      <c r="C163" s="107">
        <f>[16]С2.5!$W$11</f>
        <v>0</v>
      </c>
    </row>
    <row r="164" spans="2:3" ht="13.5" hidden="1" thickBot="1">
      <c r="B164" s="106">
        <f t="shared" si="0"/>
        <v>2039</v>
      </c>
      <c r="C164" s="107">
        <f>[16]С2.5!$X$11</f>
        <v>0</v>
      </c>
    </row>
    <row r="165" spans="2:3" ht="13.5" hidden="1" thickBot="1">
      <c r="B165" s="106">
        <f t="shared" si="0"/>
        <v>2040</v>
      </c>
      <c r="C165" s="107">
        <f>[16]С2.5!$Y$11</f>
        <v>0</v>
      </c>
    </row>
    <row r="166" spans="2:3" ht="13.5" hidden="1" thickBot="1">
      <c r="B166" s="106">
        <f t="shared" si="0"/>
        <v>2041</v>
      </c>
      <c r="C166" s="107">
        <f>[16]С2.5!$Z$11</f>
        <v>0</v>
      </c>
    </row>
    <row r="167" spans="2:3" ht="13.5" hidden="1" thickBot="1">
      <c r="B167" s="106">
        <f t="shared" si="0"/>
        <v>2042</v>
      </c>
      <c r="C167" s="107">
        <f>[16]С2.5!$AA$11</f>
        <v>0</v>
      </c>
    </row>
    <row r="168" spans="2:3" ht="13.5" hidden="1" thickBot="1">
      <c r="B168" s="106">
        <f t="shared" si="0"/>
        <v>2043</v>
      </c>
      <c r="C168" s="107">
        <f>[16]С2.5!$AB$11</f>
        <v>0</v>
      </c>
    </row>
    <row r="169" spans="2:3" ht="13.5" hidden="1" thickBot="1">
      <c r="B169" s="106">
        <f t="shared" si="0"/>
        <v>2044</v>
      </c>
      <c r="C169" s="107">
        <f>[16]С2.5!$AC$11</f>
        <v>0</v>
      </c>
    </row>
    <row r="170" spans="2:3" ht="13.5" hidden="1" thickBot="1">
      <c r="B170" s="106">
        <f t="shared" si="0"/>
        <v>2045</v>
      </c>
      <c r="C170" s="107">
        <f>[16]С2.5!$AD$11</f>
        <v>0</v>
      </c>
    </row>
    <row r="171" spans="2:3" ht="13.5" hidden="1" thickBot="1">
      <c r="B171" s="106">
        <f t="shared" si="0"/>
        <v>2046</v>
      </c>
      <c r="C171" s="107">
        <f>[16]С2.5!$AE$11</f>
        <v>0</v>
      </c>
    </row>
    <row r="172" spans="2:3" ht="13.5" hidden="1" thickBot="1">
      <c r="B172" s="106">
        <f t="shared" si="0"/>
        <v>2047</v>
      </c>
      <c r="C172" s="107">
        <f>[16]С2.5!$AF$11</f>
        <v>0</v>
      </c>
    </row>
    <row r="173" spans="2:3" ht="13.5" hidden="1" thickBot="1">
      <c r="B173" s="106">
        <f t="shared" si="0"/>
        <v>2048</v>
      </c>
      <c r="C173" s="107">
        <f>[16]С2.5!$AG$11</f>
        <v>0</v>
      </c>
    </row>
    <row r="174" spans="2:3" ht="13.5" hidden="1" thickBot="1">
      <c r="B174" s="106">
        <f t="shared" si="0"/>
        <v>2049</v>
      </c>
      <c r="C174" s="107">
        <f>[16]С2.5!$AH$11</f>
        <v>0</v>
      </c>
    </row>
    <row r="175" spans="2:3" ht="13.5" hidden="1" thickBot="1">
      <c r="B175" s="106">
        <f t="shared" si="0"/>
        <v>2050</v>
      </c>
      <c r="C175" s="107">
        <f>[16]С2.5!$AI$11</f>
        <v>0</v>
      </c>
    </row>
    <row r="176" spans="2:3" ht="13.5" hidden="1" thickBot="1">
      <c r="B176" s="106">
        <f t="shared" si="0"/>
        <v>2051</v>
      </c>
      <c r="C176" s="107">
        <f>[16]С2.5!$AJ$11</f>
        <v>0</v>
      </c>
    </row>
    <row r="177" spans="2:3" ht="13.5" hidden="1" thickBot="1">
      <c r="B177" s="106">
        <f t="shared" si="0"/>
        <v>2052</v>
      </c>
      <c r="C177" s="107">
        <f>[16]С2.5!$AK$11</f>
        <v>0</v>
      </c>
    </row>
    <row r="178" spans="2:3" ht="13.5" hidden="1" thickBot="1">
      <c r="B178" s="106">
        <f t="shared" si="0"/>
        <v>2053</v>
      </c>
      <c r="C178" s="107">
        <f>[16]С2.5!$AL$11</f>
        <v>0</v>
      </c>
    </row>
    <row r="179" spans="2:3" ht="13.5" hidden="1" thickBot="1">
      <c r="B179" s="106">
        <f t="shared" si="0"/>
        <v>2054</v>
      </c>
      <c r="C179" s="107">
        <f>[16]С2.5!$AM$11</f>
        <v>0</v>
      </c>
    </row>
    <row r="180" spans="2:3" ht="13.5" hidden="1" thickBot="1">
      <c r="B180" s="106">
        <f t="shared" si="0"/>
        <v>2055</v>
      </c>
      <c r="C180" s="107">
        <f>[16]С2.5!$AN$11</f>
        <v>0</v>
      </c>
    </row>
    <row r="181" spans="2:3" ht="13.5" hidden="1" thickBot="1">
      <c r="B181" s="106">
        <f t="shared" si="0"/>
        <v>2056</v>
      </c>
      <c r="C181" s="107">
        <f>[16]С2.5!$AO$11</f>
        <v>0</v>
      </c>
    </row>
    <row r="182" spans="2:3" ht="13.5" hidden="1" thickBot="1">
      <c r="B182" s="106">
        <f t="shared" si="0"/>
        <v>2057</v>
      </c>
      <c r="C182" s="107">
        <f>[16]С2.5!$AP$11</f>
        <v>0</v>
      </c>
    </row>
    <row r="183" spans="2:3" ht="13.5" hidden="1" thickBot="1">
      <c r="B183" s="106">
        <f t="shared" si="0"/>
        <v>2058</v>
      </c>
      <c r="C183" s="107">
        <f>[16]С2.5!$AQ$11</f>
        <v>0</v>
      </c>
    </row>
    <row r="184" spans="2:3" ht="13.5" hidden="1" thickBot="1">
      <c r="B184" s="106">
        <f t="shared" si="0"/>
        <v>2059</v>
      </c>
      <c r="C184" s="107">
        <f>[16]С2.5!$AR$11</f>
        <v>0</v>
      </c>
    </row>
    <row r="185" spans="2:3" ht="13.5" hidden="1" thickBot="1">
      <c r="B185" s="106">
        <f t="shared" si="0"/>
        <v>2060</v>
      </c>
      <c r="C185" s="107">
        <f>[16]С2.5!$AS$11</f>
        <v>0</v>
      </c>
    </row>
    <row r="186" spans="2:3" ht="13.5" hidden="1" thickBot="1">
      <c r="B186" s="106">
        <f t="shared" si="0"/>
        <v>2061</v>
      </c>
      <c r="C186" s="107">
        <f>[16]С2.5!$AT$11</f>
        <v>0</v>
      </c>
    </row>
    <row r="187" spans="2:3" ht="13.5" hidden="1" thickBot="1">
      <c r="B187" s="106">
        <f t="shared" si="0"/>
        <v>2062</v>
      </c>
      <c r="C187" s="107">
        <f>[16]С2.5!$AU$11</f>
        <v>0</v>
      </c>
    </row>
    <row r="188" spans="2:3" ht="13.5" hidden="1" thickBot="1">
      <c r="B188" s="106">
        <f t="shared" si="0"/>
        <v>2063</v>
      </c>
      <c r="C188" s="107">
        <f>[16]С2.5!$AV$11</f>
        <v>0</v>
      </c>
    </row>
    <row r="189" spans="2:3" ht="13.5" hidden="1" thickBot="1">
      <c r="B189" s="106">
        <f t="shared" si="0"/>
        <v>2064</v>
      </c>
      <c r="C189" s="107">
        <f>[16]С2.5!$AW$11</f>
        <v>0</v>
      </c>
    </row>
    <row r="190" spans="2:3" ht="13.5" hidden="1" thickBot="1">
      <c r="B190" s="106">
        <f t="shared" si="0"/>
        <v>2065</v>
      </c>
      <c r="C190" s="107">
        <f>[16]С2.5!$AX$11</f>
        <v>0</v>
      </c>
    </row>
    <row r="191" spans="2:3" ht="13.5" hidden="1" thickBot="1">
      <c r="B191" s="106">
        <f t="shared" si="0"/>
        <v>2066</v>
      </c>
      <c r="C191" s="107">
        <f>[16]С2.5!$AY$11</f>
        <v>0</v>
      </c>
    </row>
    <row r="192" spans="2:3" ht="13.5" hidden="1" thickBot="1">
      <c r="B192" s="106">
        <f t="shared" si="0"/>
        <v>2067</v>
      </c>
      <c r="C192" s="107">
        <f>[16]С2.5!$AZ$11</f>
        <v>0</v>
      </c>
    </row>
    <row r="193" spans="2:3" ht="13.5" hidden="1" thickBot="1">
      <c r="B193" s="106">
        <f t="shared" si="0"/>
        <v>2068</v>
      </c>
      <c r="C193" s="107">
        <f>[16]С2.5!$BA$11</f>
        <v>0</v>
      </c>
    </row>
    <row r="194" spans="2:3" ht="13.5" hidden="1" thickBot="1">
      <c r="B194" s="106">
        <f t="shared" si="0"/>
        <v>2069</v>
      </c>
      <c r="C194" s="107">
        <f>[16]С2.5!$BB$11</f>
        <v>0</v>
      </c>
    </row>
    <row r="195" spans="2:3" ht="13.5" hidden="1" thickBot="1">
      <c r="B195" s="106">
        <f t="shared" si="0"/>
        <v>2070</v>
      </c>
      <c r="C195" s="107">
        <f>[16]С2.5!$BC$11</f>
        <v>0</v>
      </c>
    </row>
    <row r="196" spans="2:3" ht="13.5" hidden="1" thickBot="1">
      <c r="B196" s="106">
        <f t="shared" si="0"/>
        <v>2071</v>
      </c>
      <c r="C196" s="107">
        <f>[16]С2.5!$BD$11</f>
        <v>0</v>
      </c>
    </row>
    <row r="197" spans="2:3" ht="13.5" hidden="1" thickBot="1">
      <c r="B197" s="106">
        <f t="shared" si="0"/>
        <v>2072</v>
      </c>
      <c r="C197" s="107">
        <f>[16]С2.5!$BE$11</f>
        <v>0</v>
      </c>
    </row>
    <row r="198" spans="2:3" ht="13.5" hidden="1" thickBot="1">
      <c r="B198" s="106">
        <f t="shared" si="0"/>
        <v>2073</v>
      </c>
      <c r="C198" s="107">
        <f>[16]С2.5!$BF$11</f>
        <v>0</v>
      </c>
    </row>
    <row r="199" spans="2:3" ht="13.5" hidden="1" thickBot="1">
      <c r="B199" s="106">
        <f t="shared" si="0"/>
        <v>2074</v>
      </c>
      <c r="C199" s="107">
        <f>[16]С2.5!$BG$11</f>
        <v>0</v>
      </c>
    </row>
    <row r="200" spans="2:3" ht="13.5" hidden="1" thickBot="1">
      <c r="B200" s="106">
        <f t="shared" si="0"/>
        <v>2075</v>
      </c>
      <c r="C200" s="107">
        <f>[16]С2.5!$BH$11</f>
        <v>0</v>
      </c>
    </row>
    <row r="201" spans="2:3" ht="13.5" hidden="1" thickBot="1">
      <c r="B201" s="106">
        <f t="shared" si="0"/>
        <v>2076</v>
      </c>
      <c r="C201" s="107">
        <f>[16]С2.5!$BI$11</f>
        <v>0</v>
      </c>
    </row>
    <row r="202" spans="2:3" ht="13.5" hidden="1" thickBot="1">
      <c r="B202" s="106">
        <f t="shared" si="0"/>
        <v>2077</v>
      </c>
      <c r="C202" s="107">
        <f>[16]С2.5!$BJ$11</f>
        <v>0</v>
      </c>
    </row>
    <row r="203" spans="2:3" ht="13.5" hidden="1" thickBot="1">
      <c r="B203" s="106">
        <f t="shared" si="0"/>
        <v>2078</v>
      </c>
      <c r="C203" s="107">
        <f>[16]С2.5!$BK$11</f>
        <v>0</v>
      </c>
    </row>
    <row r="204" spans="2:3" ht="13.5" hidden="1" thickBot="1">
      <c r="B204" s="106">
        <f t="shared" si="0"/>
        <v>2079</v>
      </c>
      <c r="C204" s="107">
        <f>[16]С2.5!$BL$11</f>
        <v>0</v>
      </c>
    </row>
    <row r="205" spans="2:3" ht="13.5" hidden="1" thickBot="1">
      <c r="B205" s="106">
        <f t="shared" si="0"/>
        <v>2080</v>
      </c>
      <c r="C205" s="107">
        <f>[16]С2.5!$BM$11</f>
        <v>0</v>
      </c>
    </row>
    <row r="206" spans="2:3" ht="13.5" hidden="1" thickBot="1">
      <c r="B206" s="106">
        <f t="shared" si="0"/>
        <v>2081</v>
      </c>
      <c r="C206" s="107">
        <f>[16]С2.5!$BN$11</f>
        <v>0</v>
      </c>
    </row>
    <row r="207" spans="2:3" ht="13.5" hidden="1" thickBot="1">
      <c r="B207" s="106">
        <f t="shared" si="0"/>
        <v>2082</v>
      </c>
      <c r="C207" s="107">
        <f>[16]С2.5!$BO$11</f>
        <v>0</v>
      </c>
    </row>
    <row r="208" spans="2:3" ht="13.5" hidden="1" thickBot="1">
      <c r="B208" s="106">
        <f t="shared" si="0"/>
        <v>2083</v>
      </c>
      <c r="C208" s="107">
        <f>[16]С2.5!$BP$11</f>
        <v>0</v>
      </c>
    </row>
    <row r="209" spans="2:3" ht="13.5" hidden="1" thickBot="1">
      <c r="B209" s="106">
        <f t="shared" si="0"/>
        <v>2084</v>
      </c>
      <c r="C209" s="107">
        <f>[16]С2.5!$BQ$11</f>
        <v>0</v>
      </c>
    </row>
    <row r="210" spans="2:3" ht="13.5" hidden="1" thickBot="1">
      <c r="B210" s="106">
        <f t="shared" si="0"/>
        <v>2085</v>
      </c>
      <c r="C210" s="107">
        <f>[16]С2.5!$BR$11</f>
        <v>0</v>
      </c>
    </row>
    <row r="211" spans="2:3" ht="13.5" hidden="1" thickBot="1">
      <c r="B211" s="106">
        <f t="shared" ref="B211:B224" si="1">B210+1</f>
        <v>2086</v>
      </c>
      <c r="C211" s="107">
        <f>[16]С2.5!$BS$11</f>
        <v>0</v>
      </c>
    </row>
    <row r="212" spans="2:3" ht="13.5" hidden="1" thickBot="1">
      <c r="B212" s="106">
        <f t="shared" si="1"/>
        <v>2087</v>
      </c>
      <c r="C212" s="107">
        <f>[16]С2.5!$BT$11</f>
        <v>0</v>
      </c>
    </row>
    <row r="213" spans="2:3" ht="13.5" hidden="1" thickBot="1">
      <c r="B213" s="106">
        <f t="shared" si="1"/>
        <v>2088</v>
      </c>
      <c r="C213" s="107">
        <f>[16]С2.5!$BU$11</f>
        <v>0</v>
      </c>
    </row>
    <row r="214" spans="2:3" ht="13.5" hidden="1" thickBot="1">
      <c r="B214" s="106">
        <f t="shared" si="1"/>
        <v>2089</v>
      </c>
      <c r="C214" s="107">
        <f>[16]С2.5!$BV$11</f>
        <v>0</v>
      </c>
    </row>
    <row r="215" spans="2:3" ht="13.5" hidden="1" thickBot="1">
      <c r="B215" s="106">
        <f t="shared" si="1"/>
        <v>2090</v>
      </c>
      <c r="C215" s="107">
        <f>[16]С2.5!$BW$11</f>
        <v>0</v>
      </c>
    </row>
    <row r="216" spans="2:3" ht="13.5" hidden="1" thickBot="1">
      <c r="B216" s="106">
        <f t="shared" si="1"/>
        <v>2091</v>
      </c>
      <c r="C216" s="107">
        <f>[16]С2.5!$BX$11</f>
        <v>0</v>
      </c>
    </row>
    <row r="217" spans="2:3" ht="13.5" hidden="1" thickBot="1">
      <c r="B217" s="106">
        <f t="shared" si="1"/>
        <v>2092</v>
      </c>
      <c r="C217" s="107">
        <f>[16]С2.5!$BY$11</f>
        <v>0</v>
      </c>
    </row>
    <row r="218" spans="2:3" ht="13.5" hidden="1" thickBot="1">
      <c r="B218" s="106">
        <f t="shared" si="1"/>
        <v>2093</v>
      </c>
      <c r="C218" s="107">
        <f>[16]С2.5!$BZ$11</f>
        <v>0</v>
      </c>
    </row>
    <row r="219" spans="2:3" ht="13.5" hidden="1" thickBot="1">
      <c r="B219" s="106">
        <f t="shared" si="1"/>
        <v>2094</v>
      </c>
      <c r="C219" s="107">
        <f>[16]С2.5!$CA$11</f>
        <v>0</v>
      </c>
    </row>
    <row r="220" spans="2:3" ht="13.5" hidden="1" thickBot="1">
      <c r="B220" s="106">
        <f t="shared" si="1"/>
        <v>2095</v>
      </c>
      <c r="C220" s="107">
        <f>[16]С2.5!$CB$11</f>
        <v>0</v>
      </c>
    </row>
    <row r="221" spans="2:3" ht="13.5" hidden="1" thickBot="1">
      <c r="B221" s="106">
        <f t="shared" si="1"/>
        <v>2096</v>
      </c>
      <c r="C221" s="107">
        <f>[16]С2.5!$CC$11</f>
        <v>0</v>
      </c>
    </row>
    <row r="222" spans="2:3" ht="13.5" hidden="1" thickBot="1">
      <c r="B222" s="106">
        <f t="shared" si="1"/>
        <v>2097</v>
      </c>
      <c r="C222" s="107">
        <f>[16]С2.5!$CD$11</f>
        <v>0</v>
      </c>
    </row>
    <row r="223" spans="2:3" ht="13.5" hidden="1" thickBot="1">
      <c r="B223" s="106">
        <f t="shared" si="1"/>
        <v>2098</v>
      </c>
      <c r="C223" s="107">
        <f>[16]С2.5!$CE$11</f>
        <v>0</v>
      </c>
    </row>
    <row r="224" spans="2:3" ht="13.5" hidden="1" thickBot="1">
      <c r="B224" s="106">
        <f t="shared" si="1"/>
        <v>2099</v>
      </c>
      <c r="C224" s="107">
        <f>[16]С2.5!$CF$11</f>
        <v>0</v>
      </c>
    </row>
    <row r="225" spans="2:3" ht="13.5" hidden="1" thickBot="1">
      <c r="B225" s="108">
        <f>B162+1</f>
        <v>2038</v>
      </c>
      <c r="C225" s="109" t="e">
        <f>[16]С2.5!#REF!</f>
        <v>#REF!</v>
      </c>
    </row>
    <row r="226" spans="2:3">
      <c r="B226" s="110"/>
      <c r="C226" s="111"/>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рп Колывань газ.</vt:lpstr>
      <vt:lpstr>рп Колывань уголь</vt:lpstr>
      <vt:lpstr>Вьюнский сс</vt:lpstr>
      <vt:lpstr>Калининский сс</vt:lpstr>
      <vt:lpstr>Кандауровский сс</vt:lpstr>
      <vt:lpstr>Королевский сс</vt:lpstr>
      <vt:lpstr>Новотроицкий сс</vt:lpstr>
      <vt:lpstr>Новытырышкинский сс</vt:lpstr>
      <vt:lpstr>Пихтовский сс</vt:lpstr>
      <vt:lpstr>Пономаревский сс</vt:lpstr>
      <vt:lpstr>Сидоровский сс</vt:lpstr>
      <vt:lpstr>Скалинский сс</vt:lpstr>
      <vt:lpstr>Соколовский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Панжена</dc:creator>
  <cp:lastModifiedBy>Панжена</cp:lastModifiedBy>
  <dcterms:created xsi:type="dcterms:W3CDTF">2023-01-18T04:53:10Z</dcterms:created>
  <dcterms:modified xsi:type="dcterms:W3CDTF">2023-01-18T05:26:55Z</dcterms:modified>
</cp:coreProperties>
</file>