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drawings/drawing13.xml" ContentType="application/vnd.openxmlformats-officedocument.drawing+xml"/>
  <Override PartName="/xl/ctrlProps/ctrlProp13.xml" ContentType="application/vnd.ms-excel.controlproperties+xml"/>
  <Override PartName="/xl/drawings/drawing14.xml" ContentType="application/vnd.openxmlformats-officedocument.drawing+xml"/>
  <Override PartName="/xl/ctrlProps/ctrlProp14.xml" ContentType="application/vnd.ms-excel.controlproperties+xml"/>
  <Override PartName="/xl/drawings/drawing15.xml" ContentType="application/vnd.openxmlformats-officedocument.drawing+xml"/>
  <Override PartName="/xl/ctrlProps/ctrlProp15.xml" ContentType="application/vnd.ms-excel.controlproperties+xml"/>
  <Override PartName="/xl/drawings/drawing16.xml" ContentType="application/vnd.openxmlformats-officedocument.drawing+xml"/>
  <Override PartName="/xl/ctrlProps/ctrlProp16.xml" ContentType="application/vnd.ms-excel.controlproperties+xml"/>
  <Override PartName="/xl/drawings/drawing17.xml" ContentType="application/vnd.openxmlformats-officedocument.drawing+xml"/>
  <Override PartName="/xl/ctrlProps/ctrlProp17.xml" ContentType="application/vnd.ms-excel.controlproperties+xml"/>
  <Override PartName="/xl/drawings/drawing18.xml" ContentType="application/vnd.openxmlformats-officedocument.drawing+xml"/>
  <Override PartName="/xl/ctrlProps/ctrlProp18.xml" ContentType="application/vnd.ms-excel.controlproperties+xml"/>
  <Override PartName="/xl/drawings/drawing19.xml" ContentType="application/vnd.openxmlformats-officedocument.drawing+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27795" windowHeight="13620" tabRatio="802"/>
  </bookViews>
  <sheets>
    <sheet name="р.п. Краснозерское" sheetId="2" r:id="rId1"/>
    <sheet name="Аксенихинский" sheetId="1" r:id="rId2"/>
    <sheet name="Веселовский" sheetId="3" r:id="rId3"/>
    <sheet name="Зубковский" sheetId="4" r:id="rId4"/>
    <sheet name="Казанакский" sheetId="5" r:id="rId5"/>
    <sheet name="Кайгородской" sheetId="6" r:id="rId6"/>
    <sheet name="Колыбельский" sheetId="7" r:id="rId7"/>
    <sheet name="Коневский" sheetId="8" r:id="rId8"/>
    <sheet name="Лобинский" sheetId="9" r:id="rId9"/>
    <sheet name="Лотошанский" sheetId="20" r:id="rId10"/>
    <sheet name="Майский" sheetId="10" r:id="rId11"/>
    <sheet name="Мохнатологовский" sheetId="11" r:id="rId12"/>
    <sheet name="Нижнечеремошенский" sheetId="12" r:id="rId13"/>
    <sheet name="Октябрьский" sheetId="13" r:id="rId14"/>
    <sheet name="Орехово- Логовской" sheetId="14" r:id="rId15"/>
    <sheet name="Половинский" sheetId="15" r:id="rId16"/>
    <sheet name="Полойский" sheetId="16" r:id="rId17"/>
    <sheet name="Садовский" sheetId="17" r:id="rId18"/>
    <sheet name="Светловский"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calcPr calcId="145621"/>
</workbook>
</file>

<file path=xl/calcChain.xml><?xml version="1.0" encoding="utf-8"?>
<calcChain xmlns="http://schemas.openxmlformats.org/spreadsheetml/2006/main">
  <c r="C223" i="20" l="1"/>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C193" i="20"/>
  <c r="C192" i="20"/>
  <c r="C191" i="20"/>
  <c r="C190" i="20"/>
  <c r="C189" i="20"/>
  <c r="C188" i="20"/>
  <c r="C187" i="20"/>
  <c r="C186" i="20"/>
  <c r="C185" i="20"/>
  <c r="C184" i="20"/>
  <c r="C183" i="20"/>
  <c r="C182" i="20"/>
  <c r="C181" i="20"/>
  <c r="C180" i="20"/>
  <c r="C179" i="20"/>
  <c r="C178" i="20"/>
  <c r="C177" i="20"/>
  <c r="C176" i="20"/>
  <c r="C175" i="20"/>
  <c r="C174" i="20"/>
  <c r="C173" i="20"/>
  <c r="C172" i="20"/>
  <c r="C171" i="20"/>
  <c r="C170" i="20"/>
  <c r="C169" i="20"/>
  <c r="C168" i="20"/>
  <c r="C167" i="20"/>
  <c r="C166" i="20"/>
  <c r="C165" i="20"/>
  <c r="C164" i="20"/>
  <c r="C163" i="20"/>
  <c r="C162" i="20"/>
  <c r="C161" i="20"/>
  <c r="C160" i="20"/>
  <c r="C159" i="20"/>
  <c r="C158" i="20"/>
  <c r="C157" i="20"/>
  <c r="C156" i="20"/>
  <c r="C155" i="20"/>
  <c r="C154" i="20"/>
  <c r="C153" i="20"/>
  <c r="C152" i="20"/>
  <c r="C151" i="20"/>
  <c r="C150" i="20"/>
  <c r="C149" i="20"/>
  <c r="C148" i="20"/>
  <c r="C147" i="20"/>
  <c r="C146" i="20"/>
  <c r="C145" i="20"/>
  <c r="C144" i="20"/>
  <c r="B144" i="20"/>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209" i="20" s="1"/>
  <c r="B210" i="20" s="1"/>
  <c r="B211" i="20" s="1"/>
  <c r="B212" i="20" s="1"/>
  <c r="B213" i="20" s="1"/>
  <c r="B214" i="20" s="1"/>
  <c r="B215" i="20" s="1"/>
  <c r="B216" i="20" s="1"/>
  <c r="B217" i="20" s="1"/>
  <c r="B218" i="20" s="1"/>
  <c r="B219" i="20" s="1"/>
  <c r="B220" i="20" s="1"/>
  <c r="B221" i="20" s="1"/>
  <c r="B222" i="20" s="1"/>
  <c r="B223" i="20" s="1"/>
  <c r="C143" i="20"/>
  <c r="C140" i="20"/>
  <c r="C138" i="20"/>
  <c r="C137" i="20"/>
  <c r="C136" i="20"/>
  <c r="C135" i="20"/>
  <c r="C125"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3" i="20"/>
  <c r="C92" i="20"/>
  <c r="C91" i="20"/>
  <c r="C90" i="20"/>
  <c r="C89" i="20"/>
  <c r="C88" i="20"/>
  <c r="C87" i="20"/>
  <c r="C86" i="20"/>
  <c r="C85" i="20"/>
  <c r="C82" i="20"/>
  <c r="C81" i="20"/>
  <c r="C80" i="20"/>
  <c r="C79" i="20"/>
  <c r="C78" i="20"/>
  <c r="C77" i="20"/>
  <c r="C76" i="20"/>
  <c r="C75" i="20"/>
  <c r="C74" i="20"/>
  <c r="C73"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38" i="20"/>
  <c r="C37" i="20"/>
  <c r="C36" i="20"/>
  <c r="C35" i="20"/>
  <c r="C34" i="20"/>
  <c r="C33" i="20"/>
  <c r="C32" i="20"/>
  <c r="C31" i="20"/>
  <c r="C30" i="20"/>
  <c r="C29" i="20"/>
  <c r="C28" i="20"/>
  <c r="C23" i="20"/>
  <c r="C22" i="20"/>
  <c r="C21" i="20"/>
  <c r="C20" i="20"/>
  <c r="C19" i="20"/>
  <c r="C18" i="20"/>
  <c r="C17" i="20"/>
  <c r="C13" i="20"/>
  <c r="B13" i="20"/>
  <c r="C12" i="20"/>
  <c r="B12" i="20"/>
  <c r="C11" i="20"/>
  <c r="B11" i="20"/>
  <c r="C10" i="20"/>
  <c r="B10" i="20"/>
  <c r="C9" i="20"/>
  <c r="B9" i="20"/>
  <c r="C8" i="20"/>
  <c r="B8" i="20"/>
  <c r="C7" i="20"/>
  <c r="B7" i="20"/>
  <c r="C6" i="20"/>
  <c r="B6" i="20"/>
  <c r="C5" i="20"/>
  <c r="B5" i="20"/>
  <c r="C4" i="20"/>
  <c r="B4" i="20"/>
  <c r="C2" i="20"/>
  <c r="C223" i="18" l="1"/>
  <c r="C222" i="18"/>
  <c r="C221" i="18"/>
  <c r="C220" i="18"/>
  <c r="C219" i="18"/>
  <c r="C218" i="18"/>
  <c r="C217" i="18"/>
  <c r="C216" i="18"/>
  <c r="C215" i="18"/>
  <c r="C214" i="18"/>
  <c r="C213" i="18"/>
  <c r="C212" i="18"/>
  <c r="C211" i="18"/>
  <c r="C210" i="18"/>
  <c r="C209" i="18"/>
  <c r="C208" i="18"/>
  <c r="C207" i="18"/>
  <c r="C206" i="18"/>
  <c r="C205" i="18"/>
  <c r="C204" i="18"/>
  <c r="C203" i="18"/>
  <c r="C202" i="18"/>
  <c r="C201" i="18"/>
  <c r="C200" i="18"/>
  <c r="C199" i="18"/>
  <c r="C198" i="18"/>
  <c r="C197" i="18"/>
  <c r="C196" i="18"/>
  <c r="C195" i="18"/>
  <c r="C194" i="18"/>
  <c r="C193" i="18"/>
  <c r="C192" i="18"/>
  <c r="C191" i="18"/>
  <c r="C190" i="18"/>
  <c r="C189" i="18"/>
  <c r="C188" i="18"/>
  <c r="C187" i="18"/>
  <c r="C186" i="18"/>
  <c r="C185" i="18"/>
  <c r="C184" i="18"/>
  <c r="C183" i="18"/>
  <c r="C182" i="18"/>
  <c r="C181" i="18"/>
  <c r="C180" i="18"/>
  <c r="C179" i="18"/>
  <c r="C178" i="18"/>
  <c r="C177" i="18"/>
  <c r="C176" i="18"/>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C152" i="18"/>
  <c r="C151" i="18"/>
  <c r="C150" i="18"/>
  <c r="C149" i="18"/>
  <c r="C148" i="18"/>
  <c r="C147" i="18"/>
  <c r="C146" i="18"/>
  <c r="C145" i="18"/>
  <c r="C144" i="18"/>
  <c r="B144" i="18"/>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B213" i="18" s="1"/>
  <c r="B214" i="18" s="1"/>
  <c r="B215" i="18" s="1"/>
  <c r="B216" i="18" s="1"/>
  <c r="B217" i="18" s="1"/>
  <c r="B218" i="18" s="1"/>
  <c r="B219" i="18" s="1"/>
  <c r="B220" i="18" s="1"/>
  <c r="B221" i="18" s="1"/>
  <c r="B222" i="18" s="1"/>
  <c r="B223" i="18" s="1"/>
  <c r="C143" i="18"/>
  <c r="C140" i="18"/>
  <c r="C138" i="18"/>
  <c r="C137" i="18"/>
  <c r="C136" i="18"/>
  <c r="C135" i="18"/>
  <c r="C125" i="18"/>
  <c r="C122" i="18"/>
  <c r="C121" i="18"/>
  <c r="C120" i="18"/>
  <c r="C119" i="18"/>
  <c r="C118" i="18"/>
  <c r="C117" i="18"/>
  <c r="C116" i="18"/>
  <c r="C115" i="18"/>
  <c r="C114" i="18"/>
  <c r="C113" i="18"/>
  <c r="C112" i="18"/>
  <c r="C111" i="18"/>
  <c r="C110" i="18"/>
  <c r="C109" i="18"/>
  <c r="C108" i="18"/>
  <c r="C107" i="18"/>
  <c r="C106" i="18"/>
  <c r="C105" i="18"/>
  <c r="C104" i="18"/>
  <c r="C103" i="18"/>
  <c r="C102" i="18"/>
  <c r="C101" i="18"/>
  <c r="C100" i="18"/>
  <c r="C99" i="18"/>
  <c r="C98" i="18"/>
  <c r="C97" i="18"/>
  <c r="C96" i="18"/>
  <c r="C93" i="18"/>
  <c r="C92" i="18"/>
  <c r="C91" i="18"/>
  <c r="C90" i="18"/>
  <c r="C89" i="18"/>
  <c r="C88" i="18"/>
  <c r="C87" i="18"/>
  <c r="C86" i="18"/>
  <c r="C85" i="18"/>
  <c r="C82" i="18"/>
  <c r="C81" i="18"/>
  <c r="C80" i="18"/>
  <c r="C79" i="18"/>
  <c r="C78" i="18"/>
  <c r="C77" i="18"/>
  <c r="C76" i="18"/>
  <c r="C75" i="18"/>
  <c r="C74" i="18"/>
  <c r="C73" i="18"/>
  <c r="C72" i="18"/>
  <c r="C71" i="18"/>
  <c r="C70" i="18"/>
  <c r="C69" i="18"/>
  <c r="C68" i="18"/>
  <c r="C67" i="18"/>
  <c r="C66" i="18"/>
  <c r="C65" i="18"/>
  <c r="C64" i="18"/>
  <c r="C63" i="18"/>
  <c r="C62" i="18"/>
  <c r="C61" i="18"/>
  <c r="C60" i="18"/>
  <c r="C59" i="18"/>
  <c r="C58" i="18"/>
  <c r="C57" i="18"/>
  <c r="C56" i="18"/>
  <c r="C55" i="18"/>
  <c r="C54" i="18"/>
  <c r="C53" i="18"/>
  <c r="C52" i="18"/>
  <c r="C51" i="18"/>
  <c r="C50" i="18"/>
  <c r="C49" i="18"/>
  <c r="C48" i="18"/>
  <c r="C47" i="18"/>
  <c r="C46" i="18"/>
  <c r="C45" i="18"/>
  <c r="C44" i="18"/>
  <c r="C43" i="18"/>
  <c r="C42" i="18"/>
  <c r="C41" i="18"/>
  <c r="C38" i="18"/>
  <c r="C37" i="18"/>
  <c r="C36" i="18"/>
  <c r="C35" i="18"/>
  <c r="C34" i="18"/>
  <c r="C33" i="18"/>
  <c r="C32" i="18"/>
  <c r="C31" i="18"/>
  <c r="C30" i="18"/>
  <c r="C29" i="18"/>
  <c r="C28" i="18"/>
  <c r="C23" i="18"/>
  <c r="C22" i="18"/>
  <c r="C21" i="18"/>
  <c r="C20" i="18"/>
  <c r="C19" i="18"/>
  <c r="C18" i="18"/>
  <c r="C17" i="18" s="1"/>
  <c r="C13" i="18"/>
  <c r="B13" i="18"/>
  <c r="C12" i="18"/>
  <c r="B12" i="18"/>
  <c r="C11" i="18"/>
  <c r="B11" i="18"/>
  <c r="C10" i="18"/>
  <c r="B10" i="18"/>
  <c r="C9" i="18"/>
  <c r="B9" i="18"/>
  <c r="C8" i="18"/>
  <c r="B8" i="18"/>
  <c r="C7" i="18"/>
  <c r="B7" i="18"/>
  <c r="C6" i="18"/>
  <c r="B6" i="18"/>
  <c r="C5" i="18"/>
  <c r="B5" i="18"/>
  <c r="C4" i="18"/>
  <c r="B4" i="18"/>
  <c r="C2" i="18"/>
  <c r="C223" i="17" l="1"/>
  <c r="C222" i="17"/>
  <c r="C221" i="17"/>
  <c r="C220" i="17"/>
  <c r="C219" i="17"/>
  <c r="C218" i="17"/>
  <c r="C217" i="17"/>
  <c r="C216" i="17"/>
  <c r="C215" i="17"/>
  <c r="C214" i="17"/>
  <c r="C213" i="17"/>
  <c r="C212" i="17"/>
  <c r="C211" i="17"/>
  <c r="C210" i="17"/>
  <c r="C209" i="17"/>
  <c r="C208" i="17"/>
  <c r="C207" i="17"/>
  <c r="C206" i="17"/>
  <c r="C205" i="17"/>
  <c r="C204" i="17"/>
  <c r="C203" i="17"/>
  <c r="C202" i="17"/>
  <c r="C201" i="17"/>
  <c r="C200" i="17"/>
  <c r="C199" i="17"/>
  <c r="C198" i="17"/>
  <c r="C197" i="17"/>
  <c r="C196" i="17"/>
  <c r="C195" i="17"/>
  <c r="C194" i="17"/>
  <c r="C193" i="17"/>
  <c r="C192" i="17"/>
  <c r="C191" i="17"/>
  <c r="C190" i="17"/>
  <c r="C189" i="17"/>
  <c r="C188" i="17"/>
  <c r="C187" i="17"/>
  <c r="C186" i="17"/>
  <c r="C185" i="17"/>
  <c r="C184" i="17"/>
  <c r="C183" i="17"/>
  <c r="C182" i="17"/>
  <c r="C181" i="17"/>
  <c r="C180" i="17"/>
  <c r="C179" i="17"/>
  <c r="C178" i="17"/>
  <c r="C177" i="17"/>
  <c r="C176" i="17"/>
  <c r="C175" i="17"/>
  <c r="C174" i="17"/>
  <c r="C173" i="17"/>
  <c r="C172" i="17"/>
  <c r="C171" i="17"/>
  <c r="C170" i="17"/>
  <c r="C169" i="17"/>
  <c r="C168" i="17"/>
  <c r="C167" i="17"/>
  <c r="C166" i="17"/>
  <c r="C165" i="17"/>
  <c r="C164" i="17"/>
  <c r="C163" i="17"/>
  <c r="C162" i="17"/>
  <c r="C161" i="17"/>
  <c r="C160" i="17"/>
  <c r="C159" i="17"/>
  <c r="C158" i="17"/>
  <c r="C157" i="17"/>
  <c r="C156" i="17"/>
  <c r="C155" i="17"/>
  <c r="C154" i="17"/>
  <c r="C153" i="17"/>
  <c r="C152" i="17"/>
  <c r="C151" i="17"/>
  <c r="C150" i="17"/>
  <c r="C149" i="17"/>
  <c r="C148" i="17"/>
  <c r="C147" i="17"/>
  <c r="C146" i="17"/>
  <c r="C145" i="17"/>
  <c r="C144" i="17"/>
  <c r="B144" i="17"/>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185" i="17" s="1"/>
  <c r="B186" i="17" s="1"/>
  <c r="B187" i="17" s="1"/>
  <c r="B188" i="17" s="1"/>
  <c r="B189" i="17" s="1"/>
  <c r="B190" i="17" s="1"/>
  <c r="B191" i="17" s="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223" i="17" s="1"/>
  <c r="C143" i="17"/>
  <c r="C140" i="17"/>
  <c r="C138" i="17"/>
  <c r="C137" i="17"/>
  <c r="C136" i="17"/>
  <c r="C135" i="17"/>
  <c r="C125" i="17"/>
  <c r="C122" i="17"/>
  <c r="C121" i="17"/>
  <c r="C120" i="17"/>
  <c r="C119" i="17"/>
  <c r="C118" i="17"/>
  <c r="C117" i="17"/>
  <c r="C116" i="17"/>
  <c r="C115" i="17"/>
  <c r="C114" i="17"/>
  <c r="C113" i="17"/>
  <c r="C112" i="17"/>
  <c r="C111" i="17"/>
  <c r="C110" i="17"/>
  <c r="C109" i="17"/>
  <c r="C108" i="17"/>
  <c r="C107" i="17"/>
  <c r="C106" i="17"/>
  <c r="C105" i="17"/>
  <c r="C104" i="17"/>
  <c r="C103" i="17"/>
  <c r="C102" i="17"/>
  <c r="C101" i="17"/>
  <c r="C100" i="17"/>
  <c r="C99" i="17"/>
  <c r="C98" i="17"/>
  <c r="C97" i="17"/>
  <c r="C96" i="17"/>
  <c r="C93" i="17"/>
  <c r="C92" i="17"/>
  <c r="C91" i="17"/>
  <c r="C90" i="17"/>
  <c r="C89" i="17"/>
  <c r="C88" i="17"/>
  <c r="C87" i="17"/>
  <c r="C86" i="17"/>
  <c r="C85"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38" i="17"/>
  <c r="C37" i="17"/>
  <c r="C36" i="17"/>
  <c r="C35" i="17"/>
  <c r="C34" i="17"/>
  <c r="C33" i="17"/>
  <c r="C32" i="17"/>
  <c r="C31" i="17"/>
  <c r="C30" i="17"/>
  <c r="C29" i="17"/>
  <c r="C28" i="17"/>
  <c r="C23" i="17"/>
  <c r="C22" i="17"/>
  <c r="C21" i="17"/>
  <c r="C20" i="17"/>
  <c r="C19" i="17"/>
  <c r="C18" i="17"/>
  <c r="C17" i="17" s="1"/>
  <c r="C13" i="17"/>
  <c r="B13" i="17"/>
  <c r="C12" i="17"/>
  <c r="B12" i="17"/>
  <c r="C11" i="17"/>
  <c r="B11" i="17"/>
  <c r="C10" i="17"/>
  <c r="B10" i="17"/>
  <c r="C9" i="17"/>
  <c r="B9" i="17"/>
  <c r="C8" i="17"/>
  <c r="B8" i="17"/>
  <c r="C7" i="17"/>
  <c r="B7" i="17"/>
  <c r="C6" i="17"/>
  <c r="B6" i="17"/>
  <c r="C5" i="17"/>
  <c r="B5" i="17"/>
  <c r="C4" i="17"/>
  <c r="B4" i="17"/>
  <c r="C2" i="17"/>
  <c r="C223" i="16" l="1"/>
  <c r="C222" i="16"/>
  <c r="C221" i="16"/>
  <c r="C220" i="16"/>
  <c r="C219" i="16"/>
  <c r="C218" i="16"/>
  <c r="C217" i="16"/>
  <c r="C216" i="16"/>
  <c r="C215" i="16"/>
  <c r="C214" i="16"/>
  <c r="C213" i="16"/>
  <c r="C212" i="16"/>
  <c r="C211" i="16"/>
  <c r="C210" i="16"/>
  <c r="C209" i="16"/>
  <c r="C208" i="16"/>
  <c r="C207" i="16"/>
  <c r="C206" i="16"/>
  <c r="C205" i="16"/>
  <c r="C204" i="16"/>
  <c r="C203" i="16"/>
  <c r="C202" i="16"/>
  <c r="C201" i="16"/>
  <c r="C200" i="16"/>
  <c r="C199" i="16"/>
  <c r="C198" i="16"/>
  <c r="C197" i="16"/>
  <c r="C196" i="16"/>
  <c r="C195" i="16"/>
  <c r="C194" i="16"/>
  <c r="C193" i="16"/>
  <c r="C192" i="16"/>
  <c r="C191" i="16"/>
  <c r="C190" i="16"/>
  <c r="C189" i="16"/>
  <c r="C188" i="16"/>
  <c r="C187" i="16"/>
  <c r="C186" i="16"/>
  <c r="C185" i="16"/>
  <c r="C184" i="16"/>
  <c r="C183" i="16"/>
  <c r="C182" i="16"/>
  <c r="C181" i="16"/>
  <c r="C180" i="16"/>
  <c r="C179" i="16"/>
  <c r="C178" i="16"/>
  <c r="C177" i="16"/>
  <c r="C176" i="16"/>
  <c r="C175" i="16"/>
  <c r="C174" i="16"/>
  <c r="C173" i="16"/>
  <c r="C172" i="16"/>
  <c r="C171" i="16"/>
  <c r="C170" i="16"/>
  <c r="C169" i="16"/>
  <c r="C168" i="16"/>
  <c r="C167" i="16"/>
  <c r="C166" i="16"/>
  <c r="C165" i="16"/>
  <c r="C164" i="16"/>
  <c r="C163" i="16"/>
  <c r="C162" i="16"/>
  <c r="C161" i="16"/>
  <c r="C160" i="16"/>
  <c r="C159" i="16"/>
  <c r="C158" i="16"/>
  <c r="C157" i="16"/>
  <c r="C156" i="16"/>
  <c r="C155" i="16"/>
  <c r="C154" i="16"/>
  <c r="C153" i="16"/>
  <c r="C152" i="16"/>
  <c r="C151" i="16"/>
  <c r="C150" i="16"/>
  <c r="C149" i="16"/>
  <c r="C148" i="16"/>
  <c r="C147" i="16"/>
  <c r="C146" i="16"/>
  <c r="C145" i="16"/>
  <c r="C144" i="16"/>
  <c r="B144" i="16"/>
  <c r="B145" i="16" s="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C143" i="16"/>
  <c r="C140" i="16"/>
  <c r="C138" i="16"/>
  <c r="C137" i="16"/>
  <c r="C136" i="16"/>
  <c r="C135" i="16"/>
  <c r="C125" i="16"/>
  <c r="C122" i="16"/>
  <c r="C121" i="16"/>
  <c r="C120" i="16"/>
  <c r="C119" i="16"/>
  <c r="C118" i="16"/>
  <c r="C117" i="16"/>
  <c r="C116" i="16"/>
  <c r="C115" i="16"/>
  <c r="C114" i="16"/>
  <c r="C113" i="16"/>
  <c r="C112" i="16"/>
  <c r="C111" i="16"/>
  <c r="C110" i="16"/>
  <c r="C109" i="16"/>
  <c r="C108" i="16"/>
  <c r="C107" i="16"/>
  <c r="C106" i="16"/>
  <c r="C105" i="16"/>
  <c r="C104" i="16"/>
  <c r="C103" i="16"/>
  <c r="C102" i="16"/>
  <c r="C101" i="16"/>
  <c r="C100" i="16"/>
  <c r="C99" i="16"/>
  <c r="C98" i="16"/>
  <c r="C97" i="16"/>
  <c r="C96" i="16"/>
  <c r="C93" i="16"/>
  <c r="C92" i="16"/>
  <c r="C91" i="16"/>
  <c r="C90" i="16"/>
  <c r="C89" i="16"/>
  <c r="C88" i="16"/>
  <c r="C87" i="16"/>
  <c r="C86" i="16"/>
  <c r="C85" i="16"/>
  <c r="C82" i="16"/>
  <c r="C81" i="16"/>
  <c r="C80" i="16"/>
  <c r="C79" i="16"/>
  <c r="C78" i="16"/>
  <c r="C77" i="16"/>
  <c r="C76" i="16"/>
  <c r="C75" i="16"/>
  <c r="C74" i="16"/>
  <c r="C73" i="16"/>
  <c r="C72" i="16"/>
  <c r="C71" i="16"/>
  <c r="C70" i="16"/>
  <c r="C69" i="16"/>
  <c r="C68" i="16"/>
  <c r="C67" i="16"/>
  <c r="C66" i="16"/>
  <c r="C65" i="16"/>
  <c r="C64" i="16"/>
  <c r="C63" i="16"/>
  <c r="C62" i="16"/>
  <c r="C61" i="16"/>
  <c r="C60" i="16"/>
  <c r="C59" i="16"/>
  <c r="C58" i="16"/>
  <c r="C57" i="16"/>
  <c r="C56" i="16"/>
  <c r="C55" i="16"/>
  <c r="C54" i="16"/>
  <c r="C53" i="16"/>
  <c r="C52" i="16"/>
  <c r="C51" i="16"/>
  <c r="C50" i="16"/>
  <c r="C49" i="16"/>
  <c r="C48" i="16"/>
  <c r="C47" i="16"/>
  <c r="C46" i="16"/>
  <c r="C45" i="16"/>
  <c r="C44" i="16"/>
  <c r="C43" i="16"/>
  <c r="C42" i="16"/>
  <c r="C41" i="16"/>
  <c r="C38" i="16"/>
  <c r="C37" i="16"/>
  <c r="C36" i="16"/>
  <c r="C35" i="16"/>
  <c r="C34" i="16"/>
  <c r="C33" i="16"/>
  <c r="C32" i="16"/>
  <c r="C31" i="16"/>
  <c r="C30" i="16"/>
  <c r="C29" i="16"/>
  <c r="C28" i="16"/>
  <c r="C23" i="16"/>
  <c r="C22" i="16"/>
  <c r="C21" i="16"/>
  <c r="C20" i="16"/>
  <c r="C19" i="16"/>
  <c r="C18" i="16"/>
  <c r="C17" i="16" s="1"/>
  <c r="C13" i="16"/>
  <c r="B13" i="16"/>
  <c r="C12" i="16"/>
  <c r="B12" i="16"/>
  <c r="C11" i="16"/>
  <c r="B11" i="16"/>
  <c r="C10" i="16"/>
  <c r="B10" i="16"/>
  <c r="C9" i="16"/>
  <c r="B9" i="16"/>
  <c r="C8" i="16"/>
  <c r="B8" i="16"/>
  <c r="C7" i="16"/>
  <c r="B7" i="16"/>
  <c r="C6" i="16"/>
  <c r="B6" i="16"/>
  <c r="C5" i="16"/>
  <c r="B5" i="16"/>
  <c r="C4" i="16"/>
  <c r="B4" i="16"/>
  <c r="C2" i="16"/>
  <c r="C223" i="15" l="1"/>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C145" i="15"/>
  <c r="C144" i="15"/>
  <c r="B144" i="15"/>
  <c r="B145" i="15" s="1"/>
  <c r="B146" i="15" s="1"/>
  <c r="B147" i="15" s="1"/>
  <c r="B148" i="15" s="1"/>
  <c r="B149" i="15" s="1"/>
  <c r="B150" i="15" s="1"/>
  <c r="B151" i="15" s="1"/>
  <c r="B152" i="15" s="1"/>
  <c r="B153" i="15" s="1"/>
  <c r="B154" i="15" s="1"/>
  <c r="B155" i="15" s="1"/>
  <c r="B156" i="15" s="1"/>
  <c r="B157" i="15" s="1"/>
  <c r="B158" i="15" s="1"/>
  <c r="B159" i="15" s="1"/>
  <c r="B160" i="15" s="1"/>
  <c r="B161" i="15" s="1"/>
  <c r="B162" i="15" s="1"/>
  <c r="B163" i="15" s="1"/>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 r="B209" i="15" s="1"/>
  <c r="B210" i="15" s="1"/>
  <c r="B211" i="15" s="1"/>
  <c r="B212" i="15" s="1"/>
  <c r="B213" i="15" s="1"/>
  <c r="B214" i="15" s="1"/>
  <c r="B215" i="15" s="1"/>
  <c r="B216" i="15" s="1"/>
  <c r="B217" i="15" s="1"/>
  <c r="B218" i="15" s="1"/>
  <c r="B219" i="15" s="1"/>
  <c r="B220" i="15" s="1"/>
  <c r="B221" i="15" s="1"/>
  <c r="B222" i="15" s="1"/>
  <c r="B223" i="15" s="1"/>
  <c r="C143" i="15"/>
  <c r="C140" i="15"/>
  <c r="C138" i="15"/>
  <c r="C137" i="15"/>
  <c r="C136" i="15"/>
  <c r="C135" i="15"/>
  <c r="C125" i="15"/>
  <c r="C122" i="15"/>
  <c r="C121" i="15"/>
  <c r="C120" i="15"/>
  <c r="C119" i="15"/>
  <c r="C118" i="15"/>
  <c r="C117" i="15"/>
  <c r="C116" i="15"/>
  <c r="C115" i="15"/>
  <c r="C114" i="15"/>
  <c r="C113" i="15"/>
  <c r="C112" i="15"/>
  <c r="C111" i="15"/>
  <c r="C110" i="15"/>
  <c r="C109" i="15"/>
  <c r="C108" i="15"/>
  <c r="C107" i="15"/>
  <c r="C106" i="15"/>
  <c r="C105" i="15"/>
  <c r="C104" i="15"/>
  <c r="C103" i="15"/>
  <c r="C102" i="15"/>
  <c r="C101" i="15"/>
  <c r="C100" i="15"/>
  <c r="C99" i="15"/>
  <c r="C98" i="15"/>
  <c r="C97" i="15"/>
  <c r="C96" i="15"/>
  <c r="C93" i="15"/>
  <c r="C92" i="15"/>
  <c r="C91" i="15"/>
  <c r="C90" i="15"/>
  <c r="C89" i="15"/>
  <c r="C88" i="15"/>
  <c r="C87" i="15"/>
  <c r="C86" i="15"/>
  <c r="C85"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5" i="15"/>
  <c r="C44" i="15"/>
  <c r="C43" i="15"/>
  <c r="C42" i="15"/>
  <c r="C41" i="15"/>
  <c r="C38" i="15"/>
  <c r="C37" i="15"/>
  <c r="C36" i="15"/>
  <c r="C35" i="15"/>
  <c r="C34" i="15"/>
  <c r="C33" i="15"/>
  <c r="C32" i="15"/>
  <c r="C31" i="15"/>
  <c r="C30" i="15"/>
  <c r="C29" i="15"/>
  <c r="C28" i="15"/>
  <c r="C23" i="15"/>
  <c r="C22" i="15"/>
  <c r="C21" i="15"/>
  <c r="C20" i="15"/>
  <c r="C19" i="15"/>
  <c r="C18" i="15"/>
  <c r="C17" i="15" s="1"/>
  <c r="C13" i="15"/>
  <c r="B13" i="15"/>
  <c r="C12" i="15"/>
  <c r="B12" i="15"/>
  <c r="C11" i="15"/>
  <c r="B11" i="15"/>
  <c r="C10" i="15"/>
  <c r="B10" i="15"/>
  <c r="C9" i="15"/>
  <c r="B9" i="15"/>
  <c r="C8" i="15"/>
  <c r="B8" i="15"/>
  <c r="C7" i="15"/>
  <c r="B7" i="15"/>
  <c r="C6" i="15"/>
  <c r="B6" i="15"/>
  <c r="C5" i="15"/>
  <c r="B5" i="15"/>
  <c r="C4" i="15"/>
  <c r="B4" i="15"/>
  <c r="C2" i="15"/>
  <c r="C223" i="14" l="1"/>
  <c r="C222" i="14"/>
  <c r="C221" i="14"/>
  <c r="C220" i="14"/>
  <c r="C219" i="14"/>
  <c r="C218" i="14"/>
  <c r="C217" i="14"/>
  <c r="C216" i="14"/>
  <c r="C215" i="14"/>
  <c r="C214" i="14"/>
  <c r="C213" i="14"/>
  <c r="C212" i="14"/>
  <c r="C211" i="14"/>
  <c r="C210" i="14"/>
  <c r="C209" i="14"/>
  <c r="C208" i="14"/>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B144" i="14"/>
  <c r="B145" i="14" s="1"/>
  <c r="B146" i="14" s="1"/>
  <c r="B147" i="14" s="1"/>
  <c r="B148" i="14" s="1"/>
  <c r="B149" i="14" s="1"/>
  <c r="B150" i="14" s="1"/>
  <c r="B151" i="14" s="1"/>
  <c r="B152" i="14" s="1"/>
  <c r="B153" i="14" s="1"/>
  <c r="B154" i="14" s="1"/>
  <c r="B155" i="14" s="1"/>
  <c r="B156" i="14" s="1"/>
  <c r="B157" i="14" s="1"/>
  <c r="B158" i="14" s="1"/>
  <c r="B159" i="14" s="1"/>
  <c r="B160" i="14" s="1"/>
  <c r="B161" i="14" s="1"/>
  <c r="B162" i="14" s="1"/>
  <c r="B163" i="14" s="1"/>
  <c r="B164" i="14" s="1"/>
  <c r="B165" i="14" s="1"/>
  <c r="B166" i="14" s="1"/>
  <c r="B167" i="14" s="1"/>
  <c r="B168" i="14" s="1"/>
  <c r="B169" i="14" s="1"/>
  <c r="B170" i="14" s="1"/>
  <c r="B171" i="14" s="1"/>
  <c r="B172" i="14" s="1"/>
  <c r="B173" i="14" s="1"/>
  <c r="B174" i="14" s="1"/>
  <c r="B175" i="14" s="1"/>
  <c r="B176" i="14" s="1"/>
  <c r="B177" i="14" s="1"/>
  <c r="B178" i="14" s="1"/>
  <c r="B179" i="14" s="1"/>
  <c r="B180" i="14" s="1"/>
  <c r="B181" i="14" s="1"/>
  <c r="B182" i="14" s="1"/>
  <c r="B183" i="14" s="1"/>
  <c r="B184" i="14" s="1"/>
  <c r="B185" i="14" s="1"/>
  <c r="B186" i="14" s="1"/>
  <c r="B187" i="14" s="1"/>
  <c r="B188" i="14" s="1"/>
  <c r="B189" i="14" s="1"/>
  <c r="B190" i="14" s="1"/>
  <c r="B191" i="14" s="1"/>
  <c r="B192" i="14" s="1"/>
  <c r="B193" i="14" s="1"/>
  <c r="B194" i="14" s="1"/>
  <c r="B195" i="14" s="1"/>
  <c r="B196" i="14" s="1"/>
  <c r="B197" i="14" s="1"/>
  <c r="B198" i="14" s="1"/>
  <c r="B199" i="14" s="1"/>
  <c r="B200" i="14" s="1"/>
  <c r="B201" i="14" s="1"/>
  <c r="B202" i="14" s="1"/>
  <c r="B203" i="14" s="1"/>
  <c r="B204" i="14" s="1"/>
  <c r="B205" i="14" s="1"/>
  <c r="B206" i="14" s="1"/>
  <c r="B207" i="14" s="1"/>
  <c r="B208" i="14" s="1"/>
  <c r="B209" i="14" s="1"/>
  <c r="B210" i="14" s="1"/>
  <c r="B211" i="14" s="1"/>
  <c r="B212" i="14" s="1"/>
  <c r="B213" i="14" s="1"/>
  <c r="B214" i="14" s="1"/>
  <c r="B215" i="14" s="1"/>
  <c r="B216" i="14" s="1"/>
  <c r="B217" i="14" s="1"/>
  <c r="B218" i="14" s="1"/>
  <c r="B219" i="14" s="1"/>
  <c r="B220" i="14" s="1"/>
  <c r="B221" i="14" s="1"/>
  <c r="B222" i="14" s="1"/>
  <c r="B223" i="14" s="1"/>
  <c r="C143" i="14"/>
  <c r="C140" i="14"/>
  <c r="C138" i="14"/>
  <c r="C137" i="14"/>
  <c r="C136" i="14"/>
  <c r="C135" i="14"/>
  <c r="C125"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3" i="14"/>
  <c r="C92" i="14"/>
  <c r="C91" i="14"/>
  <c r="C90" i="14"/>
  <c r="C89" i="14"/>
  <c r="C88" i="14"/>
  <c r="C87" i="14"/>
  <c r="C86" i="14"/>
  <c r="C85"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38" i="14"/>
  <c r="C37" i="14"/>
  <c r="C36" i="14"/>
  <c r="C35" i="14"/>
  <c r="C34" i="14"/>
  <c r="C33" i="14"/>
  <c r="C32" i="14"/>
  <c r="C31" i="14"/>
  <c r="C30" i="14"/>
  <c r="C29" i="14"/>
  <c r="C28" i="14"/>
  <c r="C23" i="14"/>
  <c r="C22" i="14"/>
  <c r="C21" i="14"/>
  <c r="C20" i="14"/>
  <c r="C19" i="14"/>
  <c r="C18" i="14"/>
  <c r="C17" i="14"/>
  <c r="C13" i="14"/>
  <c r="B13" i="14"/>
  <c r="C12" i="14"/>
  <c r="B12" i="14"/>
  <c r="C11" i="14"/>
  <c r="B11" i="14"/>
  <c r="C10" i="14"/>
  <c r="B10" i="14"/>
  <c r="C9" i="14"/>
  <c r="B9" i="14"/>
  <c r="C8" i="14"/>
  <c r="B8" i="14"/>
  <c r="C7" i="14"/>
  <c r="B7" i="14"/>
  <c r="C6" i="14"/>
  <c r="B6" i="14"/>
  <c r="C5" i="14"/>
  <c r="B5" i="14"/>
  <c r="C4" i="14"/>
  <c r="B4" i="14"/>
  <c r="C2" i="14"/>
  <c r="C223" i="13" l="1"/>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B144" i="13"/>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C143" i="13"/>
  <c r="C140" i="13"/>
  <c r="C138" i="13"/>
  <c r="C137" i="13"/>
  <c r="C136" i="13"/>
  <c r="C135" i="13"/>
  <c r="C125" i="13"/>
  <c r="C122" i="13"/>
  <c r="C121" i="13"/>
  <c r="C120" i="13"/>
  <c r="C119" i="13"/>
  <c r="C118" i="13"/>
  <c r="C117" i="13"/>
  <c r="C116" i="13"/>
  <c r="C115" i="13"/>
  <c r="C114" i="13"/>
  <c r="C113" i="13"/>
  <c r="C112" i="13"/>
  <c r="C111" i="13"/>
  <c r="C110" i="13"/>
  <c r="C109" i="13"/>
  <c r="C108" i="13"/>
  <c r="C107" i="13"/>
  <c r="C106" i="13"/>
  <c r="C105" i="13"/>
  <c r="C104" i="13"/>
  <c r="C103" i="13"/>
  <c r="C102" i="13"/>
  <c r="C101" i="13"/>
  <c r="C100" i="13"/>
  <c r="C99" i="13"/>
  <c r="C98" i="13"/>
  <c r="C97" i="13"/>
  <c r="C96" i="13"/>
  <c r="C93" i="13"/>
  <c r="C92" i="13"/>
  <c r="C91" i="13"/>
  <c r="C90" i="13"/>
  <c r="C89" i="13"/>
  <c r="C88" i="13"/>
  <c r="C87" i="13"/>
  <c r="C86" i="13"/>
  <c r="C85"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38" i="13"/>
  <c r="C37" i="13"/>
  <c r="C36" i="13"/>
  <c r="C35" i="13"/>
  <c r="C34" i="13"/>
  <c r="C33" i="13"/>
  <c r="C32" i="13"/>
  <c r="C31" i="13"/>
  <c r="C30" i="13"/>
  <c r="C29" i="13"/>
  <c r="C28" i="13"/>
  <c r="C23" i="13"/>
  <c r="C22" i="13"/>
  <c r="C21" i="13"/>
  <c r="C20" i="13"/>
  <c r="C19" i="13"/>
  <c r="C18" i="13"/>
  <c r="C17" i="13" s="1"/>
  <c r="C13" i="13"/>
  <c r="B13" i="13"/>
  <c r="C12" i="13"/>
  <c r="B12" i="13"/>
  <c r="C11" i="13"/>
  <c r="B11" i="13"/>
  <c r="C10" i="13"/>
  <c r="B10" i="13"/>
  <c r="C9" i="13"/>
  <c r="B9" i="13"/>
  <c r="C8" i="13"/>
  <c r="B8" i="13"/>
  <c r="C7" i="13"/>
  <c r="B7" i="13"/>
  <c r="C6" i="13"/>
  <c r="B6" i="13"/>
  <c r="C5" i="13"/>
  <c r="B5" i="13"/>
  <c r="C4" i="13"/>
  <c r="B4" i="13"/>
  <c r="C2" i="13"/>
  <c r="C223" i="12" l="1"/>
  <c r="C222" i="12"/>
  <c r="C221" i="12"/>
  <c r="C220" i="12"/>
  <c r="C219" i="12"/>
  <c r="C218" i="12"/>
  <c r="C217" i="12"/>
  <c r="C216" i="12"/>
  <c r="C215" i="12"/>
  <c r="C214" i="12"/>
  <c r="C213" i="12"/>
  <c r="C212" i="12"/>
  <c r="C211" i="12"/>
  <c r="C210" i="12"/>
  <c r="C209" i="12"/>
  <c r="C208" i="12"/>
  <c r="C207" i="12"/>
  <c r="C206" i="12"/>
  <c r="C205" i="12"/>
  <c r="C204" i="12"/>
  <c r="C203" i="12"/>
  <c r="C202" i="12"/>
  <c r="C201" i="12"/>
  <c r="C200" i="12"/>
  <c r="C199" i="12"/>
  <c r="C198" i="12"/>
  <c r="C197" i="12"/>
  <c r="C196" i="12"/>
  <c r="C195" i="12"/>
  <c r="C194" i="12"/>
  <c r="C193" i="12"/>
  <c r="C192" i="12"/>
  <c r="C191" i="12"/>
  <c r="C190" i="12"/>
  <c r="C189"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58" i="12"/>
  <c r="C157" i="12"/>
  <c r="C156" i="12"/>
  <c r="C155" i="12"/>
  <c r="C154" i="12"/>
  <c r="C153" i="12"/>
  <c r="C152" i="12"/>
  <c r="C151" i="12"/>
  <c r="C150" i="12"/>
  <c r="C149" i="12"/>
  <c r="C148" i="12"/>
  <c r="C147" i="12"/>
  <c r="C146" i="12"/>
  <c r="C145" i="12"/>
  <c r="C144" i="12"/>
  <c r="B144" i="12"/>
  <c r="B145" i="12" s="1"/>
  <c r="B146" i="12" s="1"/>
  <c r="B147" i="12" s="1"/>
  <c r="B148" i="12" s="1"/>
  <c r="B149" i="12" s="1"/>
  <c r="B150" i="12" s="1"/>
  <c r="B151" i="12" s="1"/>
  <c r="B152" i="12" s="1"/>
  <c r="B153" i="12" s="1"/>
  <c r="B154" i="12" s="1"/>
  <c r="B155" i="12" s="1"/>
  <c r="B156" i="12" s="1"/>
  <c r="B157" i="12" s="1"/>
  <c r="B158" i="12" s="1"/>
  <c r="B159" i="12" s="1"/>
  <c r="B160" i="12" s="1"/>
  <c r="B161" i="12" s="1"/>
  <c r="B162" i="12" s="1"/>
  <c r="B163" i="12" s="1"/>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C143" i="12"/>
  <c r="C140" i="12"/>
  <c r="C138" i="12"/>
  <c r="C137" i="12"/>
  <c r="C136" i="12"/>
  <c r="C135" i="12"/>
  <c r="C125" i="12"/>
  <c r="C122" i="12"/>
  <c r="C121" i="12"/>
  <c r="C120" i="12"/>
  <c r="C119" i="12"/>
  <c r="C118" i="12"/>
  <c r="C117" i="12"/>
  <c r="C116" i="12"/>
  <c r="C115" i="12"/>
  <c r="C114" i="12"/>
  <c r="C113" i="12"/>
  <c r="C112" i="12"/>
  <c r="C111" i="12"/>
  <c r="C110" i="12"/>
  <c r="C109" i="12"/>
  <c r="C108" i="12"/>
  <c r="C107" i="12"/>
  <c r="C106" i="12"/>
  <c r="C105" i="12"/>
  <c r="C104" i="12"/>
  <c r="C103" i="12"/>
  <c r="C102" i="12"/>
  <c r="C101" i="12"/>
  <c r="C100" i="12"/>
  <c r="C99" i="12"/>
  <c r="C98" i="12"/>
  <c r="C97" i="12"/>
  <c r="C96" i="12"/>
  <c r="C93" i="12"/>
  <c r="C92" i="12"/>
  <c r="C91" i="12"/>
  <c r="C90" i="12"/>
  <c r="C89" i="12"/>
  <c r="C88" i="12"/>
  <c r="C87" i="12"/>
  <c r="C86" i="12"/>
  <c r="C85"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5" i="12"/>
  <c r="C44" i="12"/>
  <c r="C43" i="12"/>
  <c r="C42" i="12"/>
  <c r="C41" i="12"/>
  <c r="C38" i="12"/>
  <c r="C37" i="12"/>
  <c r="C36" i="12"/>
  <c r="C35" i="12"/>
  <c r="C34" i="12"/>
  <c r="C33" i="12"/>
  <c r="C32" i="12"/>
  <c r="C31" i="12"/>
  <c r="C30" i="12"/>
  <c r="C29" i="12"/>
  <c r="C28" i="12"/>
  <c r="C23" i="12"/>
  <c r="C22" i="12"/>
  <c r="C21" i="12"/>
  <c r="C20" i="12"/>
  <c r="C19" i="12"/>
  <c r="C18" i="12"/>
  <c r="C17" i="12" s="1"/>
  <c r="C13" i="12"/>
  <c r="B13" i="12"/>
  <c r="C12" i="12"/>
  <c r="B12" i="12"/>
  <c r="C11" i="12"/>
  <c r="B11" i="12"/>
  <c r="C10" i="12"/>
  <c r="B10" i="12"/>
  <c r="C9" i="12"/>
  <c r="B9" i="12"/>
  <c r="C8" i="12"/>
  <c r="B8" i="12"/>
  <c r="C7" i="12"/>
  <c r="B7" i="12"/>
  <c r="C6" i="12"/>
  <c r="B6" i="12"/>
  <c r="C5" i="12"/>
  <c r="B5" i="12"/>
  <c r="C4" i="12"/>
  <c r="B4" i="12"/>
  <c r="C2" i="12"/>
  <c r="C223" i="11" l="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B144" i="1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C143" i="11"/>
  <c r="C140" i="11"/>
  <c r="C138" i="11"/>
  <c r="C137" i="11"/>
  <c r="C136" i="11"/>
  <c r="C135" i="11"/>
  <c r="C125"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3" i="11"/>
  <c r="C92" i="11"/>
  <c r="C91" i="11"/>
  <c r="C90" i="11"/>
  <c r="C89" i="11"/>
  <c r="C88" i="11"/>
  <c r="C87" i="11"/>
  <c r="C86" i="11"/>
  <c r="C85"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38" i="11"/>
  <c r="C37" i="11"/>
  <c r="C36" i="11"/>
  <c r="C35" i="11"/>
  <c r="C34" i="11"/>
  <c r="C33" i="11"/>
  <c r="C32" i="11"/>
  <c r="C31" i="11"/>
  <c r="C30" i="11"/>
  <c r="C29" i="11"/>
  <c r="C28" i="11"/>
  <c r="C23" i="11"/>
  <c r="C22" i="11"/>
  <c r="C21" i="11"/>
  <c r="C20" i="11"/>
  <c r="C19" i="11"/>
  <c r="C18" i="11"/>
  <c r="C17" i="11" s="1"/>
  <c r="C13" i="11"/>
  <c r="B13" i="11"/>
  <c r="C12" i="11"/>
  <c r="B12" i="11"/>
  <c r="C11" i="11"/>
  <c r="B11" i="11"/>
  <c r="C10" i="11"/>
  <c r="B10" i="11"/>
  <c r="C9" i="11"/>
  <c r="B9" i="11"/>
  <c r="C8" i="11"/>
  <c r="B8" i="11"/>
  <c r="C7" i="11"/>
  <c r="B7" i="11"/>
  <c r="C6" i="11"/>
  <c r="B6" i="11"/>
  <c r="C5" i="11"/>
  <c r="B5" i="11"/>
  <c r="C4" i="11"/>
  <c r="B4" i="11"/>
  <c r="C2" i="11"/>
  <c r="C223" i="10" l="1"/>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4" i="10"/>
  <c r="C193" i="10"/>
  <c r="C192" i="10"/>
  <c r="C191" i="10"/>
  <c r="C190" i="10"/>
  <c r="C189" i="10"/>
  <c r="C188" i="10"/>
  <c r="C187" i="10"/>
  <c r="C186" i="10"/>
  <c r="C185" i="10"/>
  <c r="C184" i="10"/>
  <c r="C183" i="10"/>
  <c r="C182" i="10"/>
  <c r="C181" i="10"/>
  <c r="C180" i="10"/>
  <c r="C179" i="10"/>
  <c r="C178" i="10"/>
  <c r="C177" i="10"/>
  <c r="C176" i="10"/>
  <c r="C175" i="10"/>
  <c r="C174" i="10"/>
  <c r="C173" i="10"/>
  <c r="C172" i="10"/>
  <c r="C171" i="10"/>
  <c r="C170" i="10"/>
  <c r="C169" i="10"/>
  <c r="C168" i="10"/>
  <c r="C167" i="10"/>
  <c r="C166" i="10"/>
  <c r="C165" i="10"/>
  <c r="C164" i="10"/>
  <c r="C163" i="10"/>
  <c r="C162" i="10"/>
  <c r="C161" i="10"/>
  <c r="C160" i="10"/>
  <c r="C159" i="10"/>
  <c r="C158" i="10"/>
  <c r="C157" i="10"/>
  <c r="C156" i="10"/>
  <c r="C155" i="10"/>
  <c r="C154" i="10"/>
  <c r="C153" i="10"/>
  <c r="C152" i="10"/>
  <c r="C151" i="10"/>
  <c r="C150" i="10"/>
  <c r="C149" i="10"/>
  <c r="C148" i="10"/>
  <c r="C147" i="10"/>
  <c r="C146" i="10"/>
  <c r="C145" i="10"/>
  <c r="C144" i="10"/>
  <c r="B144" i="10"/>
  <c r="B145" i="10" s="1"/>
  <c r="B146" i="10" s="1"/>
  <c r="B147" i="10" s="1"/>
  <c r="B148" i="10" s="1"/>
  <c r="B149" i="10" s="1"/>
  <c r="B150" i="10" s="1"/>
  <c r="B151" i="10" s="1"/>
  <c r="B152" i="10" s="1"/>
  <c r="B153" i="10" s="1"/>
  <c r="B154" i="10" s="1"/>
  <c r="B155" i="10" s="1"/>
  <c r="B156" i="10" s="1"/>
  <c r="B157" i="10" s="1"/>
  <c r="B158" i="10" s="1"/>
  <c r="B159" i="10" s="1"/>
  <c r="B160" i="10" s="1"/>
  <c r="B161" i="10" s="1"/>
  <c r="B162" i="10" s="1"/>
  <c r="B163" i="10" s="1"/>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C143" i="10"/>
  <c r="C140" i="10"/>
  <c r="C138" i="10"/>
  <c r="C137" i="10"/>
  <c r="C136" i="10"/>
  <c r="C135" i="10"/>
  <c r="C125" i="10"/>
  <c r="C122" i="10"/>
  <c r="C121" i="10"/>
  <c r="C120" i="10"/>
  <c r="C119" i="10"/>
  <c r="C118" i="10"/>
  <c r="C117" i="10"/>
  <c r="C116" i="10"/>
  <c r="C115" i="10"/>
  <c r="C114" i="10"/>
  <c r="C113" i="10"/>
  <c r="C112" i="10"/>
  <c r="C111" i="10"/>
  <c r="C110" i="10"/>
  <c r="C109" i="10"/>
  <c r="C108" i="10"/>
  <c r="C107" i="10"/>
  <c r="C106" i="10"/>
  <c r="C105" i="10"/>
  <c r="C104" i="10"/>
  <c r="C103" i="10"/>
  <c r="C102" i="10"/>
  <c r="C101" i="10"/>
  <c r="C100" i="10"/>
  <c r="C99" i="10"/>
  <c r="C98" i="10"/>
  <c r="C97" i="10"/>
  <c r="C96" i="10"/>
  <c r="C93" i="10"/>
  <c r="C92" i="10"/>
  <c r="C91" i="10"/>
  <c r="C90" i="10"/>
  <c r="C89" i="10"/>
  <c r="C88" i="10"/>
  <c r="C87" i="10"/>
  <c r="C86" i="10"/>
  <c r="C85"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38" i="10"/>
  <c r="C37" i="10"/>
  <c r="C36" i="10"/>
  <c r="C35" i="10"/>
  <c r="C34" i="10"/>
  <c r="C33" i="10"/>
  <c r="C32" i="10"/>
  <c r="C31" i="10"/>
  <c r="C30" i="10"/>
  <c r="C29" i="10"/>
  <c r="C28" i="10"/>
  <c r="C23" i="10"/>
  <c r="C22" i="10"/>
  <c r="C21" i="10"/>
  <c r="C20" i="10"/>
  <c r="C19" i="10"/>
  <c r="C18" i="10"/>
  <c r="C17" i="10" s="1"/>
  <c r="C13" i="10"/>
  <c r="B13" i="10"/>
  <c r="C12" i="10"/>
  <c r="B12" i="10"/>
  <c r="C11" i="10"/>
  <c r="B11" i="10"/>
  <c r="C10" i="10"/>
  <c r="B10" i="10"/>
  <c r="C9" i="10"/>
  <c r="B9" i="10"/>
  <c r="C8" i="10"/>
  <c r="B8" i="10"/>
  <c r="C7" i="10"/>
  <c r="B7" i="10"/>
  <c r="C6" i="10"/>
  <c r="B6" i="10"/>
  <c r="C5" i="10"/>
  <c r="B5" i="10"/>
  <c r="C4" i="10"/>
  <c r="B4" i="10"/>
  <c r="C2" i="10"/>
  <c r="C223" i="9" l="1"/>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B144" i="9"/>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C143" i="9"/>
  <c r="C140" i="9"/>
  <c r="C138" i="9"/>
  <c r="C137" i="9"/>
  <c r="C136" i="9"/>
  <c r="C135" i="9"/>
  <c r="C125"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3" i="9"/>
  <c r="C92" i="9"/>
  <c r="C91" i="9"/>
  <c r="C90" i="9"/>
  <c r="C89" i="9"/>
  <c r="C88" i="9"/>
  <c r="C87" i="9"/>
  <c r="C86" i="9"/>
  <c r="C85"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38" i="9"/>
  <c r="C37" i="9"/>
  <c r="C36" i="9"/>
  <c r="C35" i="9"/>
  <c r="C34" i="9"/>
  <c r="C33" i="9"/>
  <c r="C32" i="9"/>
  <c r="C31" i="9"/>
  <c r="C30" i="9"/>
  <c r="C29" i="9"/>
  <c r="C28" i="9"/>
  <c r="C23" i="9"/>
  <c r="C22" i="9"/>
  <c r="C21" i="9"/>
  <c r="C20" i="9"/>
  <c r="C19" i="9"/>
  <c r="C18" i="9"/>
  <c r="C17" i="9" s="1"/>
  <c r="C13" i="9"/>
  <c r="B13" i="9"/>
  <c r="C12" i="9"/>
  <c r="B12" i="9"/>
  <c r="C11" i="9"/>
  <c r="B11" i="9"/>
  <c r="C10" i="9"/>
  <c r="B10" i="9"/>
  <c r="C9" i="9"/>
  <c r="B9" i="9"/>
  <c r="C8" i="9"/>
  <c r="B8" i="9"/>
  <c r="C7" i="9"/>
  <c r="B7" i="9"/>
  <c r="C6" i="9"/>
  <c r="B6" i="9"/>
  <c r="C5" i="9"/>
  <c r="B5" i="9"/>
  <c r="C4" i="9"/>
  <c r="B4" i="9"/>
  <c r="C2" i="9"/>
  <c r="C223" i="8" l="1"/>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B144" i="8"/>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C143" i="8"/>
  <c r="C140" i="8"/>
  <c r="C138" i="8"/>
  <c r="C137" i="8"/>
  <c r="C136" i="8"/>
  <c r="C135" i="8"/>
  <c r="C125"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3" i="8"/>
  <c r="C92" i="8"/>
  <c r="C91" i="8"/>
  <c r="C90" i="8"/>
  <c r="C89" i="8"/>
  <c r="C88" i="8"/>
  <c r="C87" i="8"/>
  <c r="C86" i="8"/>
  <c r="C85"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38" i="8"/>
  <c r="C37" i="8"/>
  <c r="C36" i="8"/>
  <c r="C35" i="8"/>
  <c r="C34" i="8"/>
  <c r="C33" i="8"/>
  <c r="C32" i="8"/>
  <c r="C31" i="8"/>
  <c r="C30" i="8"/>
  <c r="C29" i="8"/>
  <c r="C28" i="8"/>
  <c r="C23" i="8"/>
  <c r="C22" i="8"/>
  <c r="C21" i="8"/>
  <c r="C20" i="8"/>
  <c r="C19" i="8"/>
  <c r="C18" i="8"/>
  <c r="C17" i="8" s="1"/>
  <c r="C13" i="8"/>
  <c r="B13" i="8"/>
  <c r="C12" i="8"/>
  <c r="B12" i="8"/>
  <c r="C11" i="8"/>
  <c r="B11" i="8"/>
  <c r="C10" i="8"/>
  <c r="B10" i="8"/>
  <c r="C9" i="8"/>
  <c r="B9" i="8"/>
  <c r="C8" i="8"/>
  <c r="B8" i="8"/>
  <c r="C7" i="8"/>
  <c r="B7" i="8"/>
  <c r="C6" i="8"/>
  <c r="B6" i="8"/>
  <c r="C5" i="8"/>
  <c r="B5" i="8"/>
  <c r="C4" i="8"/>
  <c r="B4" i="8"/>
  <c r="C2" i="8"/>
  <c r="C223" i="7" l="1"/>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B144" i="7"/>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C143" i="7"/>
  <c r="C140" i="7"/>
  <c r="C138" i="7"/>
  <c r="C137" i="7"/>
  <c r="C136" i="7"/>
  <c r="C135" i="7"/>
  <c r="C125"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3" i="7"/>
  <c r="C92" i="7"/>
  <c r="C91" i="7"/>
  <c r="C90" i="7"/>
  <c r="C89" i="7"/>
  <c r="C88" i="7"/>
  <c r="C87" i="7"/>
  <c r="C86" i="7"/>
  <c r="C85"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38" i="7"/>
  <c r="C37" i="7"/>
  <c r="C36" i="7"/>
  <c r="C35" i="7"/>
  <c r="C34" i="7"/>
  <c r="C33" i="7"/>
  <c r="C32" i="7"/>
  <c r="C31" i="7"/>
  <c r="C30" i="7"/>
  <c r="C29" i="7"/>
  <c r="C28" i="7"/>
  <c r="C23" i="7"/>
  <c r="C22" i="7"/>
  <c r="C21" i="7"/>
  <c r="C20" i="7"/>
  <c r="C19" i="7"/>
  <c r="C18" i="7"/>
  <c r="C17" i="7" s="1"/>
  <c r="C13" i="7"/>
  <c r="B13" i="7"/>
  <c r="C12" i="7"/>
  <c r="B12" i="7"/>
  <c r="C11" i="7"/>
  <c r="B11" i="7"/>
  <c r="C10" i="7"/>
  <c r="B10" i="7"/>
  <c r="C9" i="7"/>
  <c r="B9" i="7"/>
  <c r="C8" i="7"/>
  <c r="B8" i="7"/>
  <c r="C7" i="7"/>
  <c r="B7" i="7"/>
  <c r="C6" i="7"/>
  <c r="B6" i="7"/>
  <c r="C5" i="7"/>
  <c r="B5" i="7"/>
  <c r="C4" i="7"/>
  <c r="B4" i="7"/>
  <c r="C2" i="7"/>
  <c r="C223" i="6" l="1"/>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C145" i="6"/>
  <c r="C144" i="6"/>
  <c r="B144" i="6"/>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C143" i="6"/>
  <c r="C140" i="6"/>
  <c r="C138" i="6"/>
  <c r="C137" i="6"/>
  <c r="C136" i="6"/>
  <c r="C135" i="6"/>
  <c r="C125"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3" i="6"/>
  <c r="C92" i="6"/>
  <c r="C91" i="6"/>
  <c r="C90" i="6"/>
  <c r="C89" i="6"/>
  <c r="C88" i="6"/>
  <c r="C87" i="6"/>
  <c r="C86" i="6"/>
  <c r="C85"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38" i="6"/>
  <c r="C37" i="6"/>
  <c r="C36" i="6"/>
  <c r="C35" i="6"/>
  <c r="C34" i="6"/>
  <c r="C33" i="6"/>
  <c r="C32" i="6"/>
  <c r="C31" i="6"/>
  <c r="C30" i="6"/>
  <c r="C29" i="6"/>
  <c r="C28" i="6"/>
  <c r="C23" i="6"/>
  <c r="C22" i="6"/>
  <c r="C21" i="6"/>
  <c r="C20" i="6"/>
  <c r="C19" i="6"/>
  <c r="C18" i="6"/>
  <c r="C17" i="6" s="1"/>
  <c r="C13" i="6"/>
  <c r="B13" i="6"/>
  <c r="C12" i="6"/>
  <c r="B12" i="6"/>
  <c r="C11" i="6"/>
  <c r="B11" i="6"/>
  <c r="C10" i="6"/>
  <c r="B10" i="6"/>
  <c r="C9" i="6"/>
  <c r="B9" i="6"/>
  <c r="C8" i="6"/>
  <c r="B8" i="6"/>
  <c r="C7" i="6"/>
  <c r="B7" i="6"/>
  <c r="C6" i="6"/>
  <c r="B6" i="6"/>
  <c r="C5" i="6"/>
  <c r="B5" i="6"/>
  <c r="C4" i="6"/>
  <c r="B4" i="6"/>
  <c r="C2" i="6"/>
  <c r="C223" i="5" l="1"/>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B144" i="5"/>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C143" i="5"/>
  <c r="C140" i="5"/>
  <c r="C138" i="5"/>
  <c r="C137" i="5"/>
  <c r="C136" i="5"/>
  <c r="C135" i="5"/>
  <c r="C125"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3" i="5"/>
  <c r="C92" i="5"/>
  <c r="C91" i="5"/>
  <c r="C90" i="5"/>
  <c r="C89" i="5"/>
  <c r="C88" i="5"/>
  <c r="C87" i="5"/>
  <c r="C86" i="5"/>
  <c r="C85"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38" i="5"/>
  <c r="C37" i="5"/>
  <c r="C36" i="5"/>
  <c r="C35" i="5"/>
  <c r="C34" i="5"/>
  <c r="C33" i="5"/>
  <c r="C32" i="5"/>
  <c r="C31" i="5"/>
  <c r="C30" i="5"/>
  <c r="C29" i="5"/>
  <c r="C28" i="5"/>
  <c r="C23" i="5"/>
  <c r="C22" i="5"/>
  <c r="C21" i="5"/>
  <c r="C20" i="5"/>
  <c r="C19" i="5"/>
  <c r="C18" i="5"/>
  <c r="C17" i="5" s="1"/>
  <c r="C13" i="5"/>
  <c r="B13" i="5"/>
  <c r="C12" i="5"/>
  <c r="B12" i="5"/>
  <c r="C11" i="5"/>
  <c r="B11" i="5"/>
  <c r="C10" i="5"/>
  <c r="B10" i="5"/>
  <c r="C9" i="5"/>
  <c r="B9" i="5"/>
  <c r="C8" i="5"/>
  <c r="B8" i="5"/>
  <c r="C7" i="5"/>
  <c r="B7" i="5"/>
  <c r="C6" i="5"/>
  <c r="B6" i="5"/>
  <c r="C5" i="5"/>
  <c r="B5" i="5"/>
  <c r="C4" i="5"/>
  <c r="B4" i="5"/>
  <c r="C2" i="5"/>
  <c r="C223" i="4" l="1"/>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B144" i="4"/>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C143" i="4"/>
  <c r="C140" i="4"/>
  <c r="C138" i="4"/>
  <c r="C137" i="4"/>
  <c r="C136" i="4"/>
  <c r="C135" i="4"/>
  <c r="C125"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3" i="4"/>
  <c r="C92" i="4"/>
  <c r="C91" i="4"/>
  <c r="C90" i="4"/>
  <c r="C89" i="4"/>
  <c r="C88" i="4"/>
  <c r="C87" i="4"/>
  <c r="C86" i="4"/>
  <c r="C85"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38" i="4"/>
  <c r="C37" i="4"/>
  <c r="C36" i="4"/>
  <c r="C35" i="4"/>
  <c r="C34" i="4"/>
  <c r="C33" i="4"/>
  <c r="C32" i="4"/>
  <c r="C31" i="4"/>
  <c r="C30" i="4"/>
  <c r="C29" i="4"/>
  <c r="C28" i="4"/>
  <c r="C23" i="4"/>
  <c r="C22" i="4"/>
  <c r="C21" i="4"/>
  <c r="C20" i="4"/>
  <c r="C19" i="4"/>
  <c r="C18" i="4"/>
  <c r="C17" i="4" s="1"/>
  <c r="C13" i="4"/>
  <c r="B13" i="4"/>
  <c r="C12" i="4"/>
  <c r="B12" i="4"/>
  <c r="C11" i="4"/>
  <c r="B11" i="4"/>
  <c r="C10" i="4"/>
  <c r="B10" i="4"/>
  <c r="C9" i="4"/>
  <c r="B9" i="4"/>
  <c r="C8" i="4"/>
  <c r="B8" i="4"/>
  <c r="C7" i="4"/>
  <c r="B7" i="4"/>
  <c r="C6" i="4"/>
  <c r="B6" i="4"/>
  <c r="C5" i="4"/>
  <c r="B5" i="4"/>
  <c r="C4" i="4"/>
  <c r="B4" i="4"/>
  <c r="C2" i="4"/>
  <c r="C223" i="3" l="1"/>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B144" i="3"/>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C143" i="3"/>
  <c r="C140" i="3"/>
  <c r="C138" i="3"/>
  <c r="C137" i="3"/>
  <c r="C136" i="3"/>
  <c r="C135" i="3"/>
  <c r="C125"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3" i="3"/>
  <c r="C92" i="3"/>
  <c r="C91" i="3"/>
  <c r="C90" i="3"/>
  <c r="C89" i="3"/>
  <c r="C88" i="3"/>
  <c r="C87" i="3"/>
  <c r="C86" i="3"/>
  <c r="C85"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38" i="3"/>
  <c r="C37" i="3"/>
  <c r="C36" i="3"/>
  <c r="C35" i="3"/>
  <c r="C34" i="3"/>
  <c r="C33" i="3"/>
  <c r="C32" i="3"/>
  <c r="C31" i="3"/>
  <c r="C30" i="3"/>
  <c r="C29" i="3"/>
  <c r="C28" i="3"/>
  <c r="C23" i="3"/>
  <c r="C22" i="3"/>
  <c r="C21" i="3"/>
  <c r="C20" i="3"/>
  <c r="C19" i="3"/>
  <c r="C18" i="3"/>
  <c r="C17" i="3"/>
  <c r="C13" i="3"/>
  <c r="B13" i="3"/>
  <c r="C12" i="3"/>
  <c r="B12" i="3"/>
  <c r="C11" i="3"/>
  <c r="B11" i="3"/>
  <c r="C10" i="3"/>
  <c r="B10" i="3"/>
  <c r="C9" i="3"/>
  <c r="B9" i="3"/>
  <c r="C8" i="3"/>
  <c r="B8" i="3"/>
  <c r="C7" i="3"/>
  <c r="B7" i="3"/>
  <c r="C6" i="3"/>
  <c r="B6" i="3"/>
  <c r="C5" i="3"/>
  <c r="B5" i="3"/>
  <c r="C4" i="3"/>
  <c r="B4" i="3"/>
  <c r="C2" i="3"/>
  <c r="C223" i="2" l="1"/>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B144" i="2"/>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C143" i="2"/>
  <c r="C140" i="2"/>
  <c r="C138" i="2"/>
  <c r="C137" i="2"/>
  <c r="C136" i="2"/>
  <c r="C135" i="2"/>
  <c r="C125"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3" i="2"/>
  <c r="C92" i="2"/>
  <c r="C91" i="2"/>
  <c r="C90" i="2"/>
  <c r="C89" i="2"/>
  <c r="C88" i="2"/>
  <c r="C87" i="2"/>
  <c r="C86" i="2"/>
  <c r="C85"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38" i="2"/>
  <c r="C37" i="2"/>
  <c r="C36" i="2"/>
  <c r="C35" i="2"/>
  <c r="C34" i="2"/>
  <c r="C33" i="2"/>
  <c r="C32" i="2"/>
  <c r="C31" i="2"/>
  <c r="C30" i="2"/>
  <c r="C29" i="2"/>
  <c r="C28" i="2"/>
  <c r="C23" i="2"/>
  <c r="C22" i="2"/>
  <c r="C21" i="2"/>
  <c r="C20" i="2"/>
  <c r="C19" i="2"/>
  <c r="C18" i="2"/>
  <c r="C17" i="2" s="1"/>
  <c r="C13" i="2"/>
  <c r="B13" i="2"/>
  <c r="C12" i="2"/>
  <c r="B12" i="2"/>
  <c r="C11" i="2"/>
  <c r="B11" i="2"/>
  <c r="C10" i="2"/>
  <c r="B10" i="2"/>
  <c r="C9" i="2"/>
  <c r="B9" i="2"/>
  <c r="C8" i="2"/>
  <c r="B8" i="2"/>
  <c r="C7" i="2"/>
  <c r="B7" i="2"/>
  <c r="C6" i="2"/>
  <c r="B6" i="2"/>
  <c r="C5" i="2"/>
  <c r="B5" i="2"/>
  <c r="C4" i="2"/>
  <c r="B4" i="2"/>
  <c r="C2" i="2"/>
  <c r="C223" i="1" l="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B144" i="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C143" i="1"/>
  <c r="C140" i="1"/>
  <c r="C138" i="1"/>
  <c r="C137" i="1"/>
  <c r="C136" i="1"/>
  <c r="C135" i="1"/>
  <c r="C125"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3" i="1"/>
  <c r="C92" i="1"/>
  <c r="C91" i="1"/>
  <c r="C90" i="1"/>
  <c r="C89" i="1"/>
  <c r="C88" i="1"/>
  <c r="C87" i="1"/>
  <c r="C86" i="1"/>
  <c r="C85"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38" i="1"/>
  <c r="C37" i="1"/>
  <c r="C36" i="1"/>
  <c r="C35" i="1"/>
  <c r="C34" i="1"/>
  <c r="C33" i="1"/>
  <c r="C32" i="1"/>
  <c r="C31" i="1"/>
  <c r="C30" i="1"/>
  <c r="C29" i="1"/>
  <c r="C28" i="1"/>
  <c r="C23" i="1"/>
  <c r="C22" i="1"/>
  <c r="C21" i="1"/>
  <c r="C20" i="1"/>
  <c r="C19" i="1"/>
  <c r="C18" i="1"/>
  <c r="C17" i="1" s="1"/>
  <c r="C13" i="1"/>
  <c r="B13" i="1"/>
  <c r="C12" i="1"/>
  <c r="B12" i="1"/>
  <c r="C11" i="1"/>
  <c r="B11" i="1"/>
  <c r="C10" i="1"/>
  <c r="B10" i="1"/>
  <c r="C9" i="1"/>
  <c r="B9" i="1"/>
  <c r="C8" i="1"/>
  <c r="B8" i="1"/>
  <c r="C7" i="1"/>
  <c r="B7" i="1"/>
  <c r="C6" i="1"/>
  <c r="B6" i="1"/>
  <c r="C5" i="1"/>
  <c r="B5" i="1"/>
  <c r="C4" i="1"/>
  <c r="B4" i="1"/>
  <c r="C2" i="1"/>
</calcChain>
</file>

<file path=xl/sharedStrings.xml><?xml version="1.0" encoding="utf-8"?>
<sst xmlns="http://schemas.openxmlformats.org/spreadsheetml/2006/main" count="4580" uniqueCount="228">
  <si>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</si>
  <si>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</si>
  <si>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</si>
  <si>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</si>
  <si>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</si>
  <si>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</si>
  <si>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</si>
  <si>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</si>
  <si>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</si>
  <si>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</si>
  <si>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</si>
  <si>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</si>
  <si>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</si>
  <si>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</si>
  <si>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</si>
  <si>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</si>
  <si>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</si>
  <si>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</si>
  <si>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</si>
  <si>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</si>
  <si>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</si>
  <si>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</si>
  <si>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</si>
  <si>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</si>
  <si>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</si>
  <si>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</si>
  <si>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</si>
  <si>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</si>
  <si>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</si>
  <si>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</si>
  <si>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</si>
  <si>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</si>
  <si>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</si>
  <si>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</si>
  <si>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</si>
  <si>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</si>
  <si>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</si>
  <si>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</si>
  <si>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</si>
  <si>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</si>
  <si>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</si>
  <si>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</si>
  <si>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</si>
  <si>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</si>
  <si>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</si>
  <si>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2.4</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</si>
  <si>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</si>
  <si>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</si>
  <si>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</si>
  <si>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</si>
  <si>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</si>
  <si>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</si>
  <si>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</si>
  <si>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</si>
  <si>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</si>
  <si>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</si>
  <si>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</si>
  <si>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</si>
  <si>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</si>
  <si>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</si>
  <si>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</si>
  <si>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</si>
  <si>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</si>
  <si>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</si>
  <si>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</si>
  <si>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</si>
  <si>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</si>
  <si>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</si>
  <si>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</si>
  <si>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</si>
  <si>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</si>
  <si>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</si>
  <si>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</si>
  <si>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</si>
  <si>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</si>
  <si>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</si>
  <si>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</si>
  <si>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</si>
  <si>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</si>
  <si>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</si>
  <si>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</si>
  <si>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</si>
  <si>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</si>
  <si>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</si>
  <si>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</si>
  <si>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</si>
  <si>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</si>
  <si>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</si>
  <si>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</si>
  <si>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</si>
  <si>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</si>
  <si>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</si>
  <si>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</si>
  <si>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</si>
  <si>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</si>
  <si>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</si>
  <si>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</si>
  <si>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</si>
  <si>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</si>
  <si>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</si>
  <si>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</si>
  <si>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</si>
  <si>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</si>
  <si>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</si>
  <si>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</si>
  <si>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</si>
  <si>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</si>
  <si>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</si>
  <si>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</si>
  <si>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</si>
  <si>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</si>
  <si>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</si>
  <si>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</si>
  <si>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</si>
  <si>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</si>
  <si>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</si>
  <si>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</si>
  <si>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</si>
  <si>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</si>
  <si>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</si>
  <si>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</si>
  <si>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</si>
  <si>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</si>
  <si>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</si>
  <si>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</si>
  <si>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</si>
  <si>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</si>
  <si>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</si>
  <si>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</si>
  <si>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</si>
  <si>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</si>
  <si>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</si>
  <si>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</si>
  <si>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</si>
  <si>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</si>
  <si>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</si>
  <si>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</si>
  <si>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</si>
  <si>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</si>
  <si>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</si>
  <si>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</si>
  <si>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</si>
  <si>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</si>
  <si>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</si>
  <si>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</si>
  <si>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</si>
  <si>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</si>
  <si>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</si>
  <si>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</si>
  <si>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</si>
  <si>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</si>
  <si>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</si>
  <si>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</si>
  <si>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</si>
  <si>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</si>
  <si>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</si>
  <si>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</si>
  <si>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</si>
  <si>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</si>
  <si>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</si>
  <si>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</si>
  <si>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</si>
  <si>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</si>
  <si>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</si>
  <si>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</si>
  <si>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</si>
  <si>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</si>
  <si>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</si>
  <si>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</si>
  <si>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</si>
  <si>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</si>
  <si>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</si>
  <si>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</si>
  <si>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</si>
  <si>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</si>
  <si>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</si>
  <si>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</si>
  <si>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</si>
  <si>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</si>
  <si>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</si>
  <si>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</si>
  <si>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</si>
  <si>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угля,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</si>
  <si>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</si>
  <si>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</si>
  <si>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</si>
  <si>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</si>
  <si>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</si>
  <si>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</si>
  <si>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</si>
  <si>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</si>
  <si>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</si>
  <si>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</si>
  <si>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</si>
  <si>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</si>
  <si>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</si>
  <si>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</si>
  <si>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</si>
  <si>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</si>
  <si>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</si>
  <si>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</si>
  <si>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</si>
  <si>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</si>
  <si>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t>
  </si>
  <si>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</si>
  <si>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</si>
  <si>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</si>
  <si>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</si>
  <si>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</si>
  <si>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</si>
  <si>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</si>
  <si>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</si>
  <si>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</si>
  <si>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</si>
  <si>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</si>
  <si>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</si>
  <si>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</si>
  <si>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</si>
  <si>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</si>
  <si>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</si>
  <si>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</si>
  <si>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</si>
  <si>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</si>
  <si>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</si>
  <si>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</si>
  <si>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</si>
  <si>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</si>
  <si>
    <t>й</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</si>
</sst>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
  </numFmts>
  <fonts count="34" x14ac:knownFonts="1">
    <font>
      <sz val="11"/>
      <color theme="1"/>
      <name val="Calibri"/>
      <family val="2"/>
      <charset val="204"/>
      <scheme val="minor"/>
    </font>
    <font>
      <sz val="11"/>
      <color theme="1"/>
      <name val="Calibri"/>
      <family val="2"/>
      <charset val="204"/>
      <scheme val="minor"/>
    </font>
    <font>
      <sz val="11"/>
      <color rgb="FF000000"/>
      <name val="Calibri"/>
      <family val="2"/>
      <charset val="204"/>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sz val="11"/>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vertAlign val="subscript"/>
      <sz val="10"/>
      <color theme="1"/>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29" fillId="0" borderId="0"/>
  </cellStyleXfs>
  <cellXfs count="127">
    <xf numFmtId="0" fontId="0" fillId="0" borderId="0" xfId="0"/>
    <xf numFmtId="10" fontId="3" fillId="2" borderId="0" xfId="2" applyNumberFormat="1" applyFont="1" applyFill="1" applyAlignment="1">
      <alignment wrapText="1"/>
    </xf>
    <xf numFmtId="0" fontId="3" fillId="2" borderId="0" xfId="2" applyFont="1" applyFill="1"/>
    <xf numFmtId="0" fontId="3" fillId="2" borderId="0" xfId="2" applyFont="1" applyFill="1" applyAlignment="1">
      <alignment wrapText="1"/>
    </xf>
    <xf numFmtId="0" fontId="3" fillId="2" borderId="0" xfId="2" applyFont="1" applyFill="1" applyAlignment="1">
      <alignment horizontal="right"/>
    </xf>
    <xf numFmtId="14" fontId="3" fillId="2" borderId="0" xfId="2" applyNumberFormat="1" applyFont="1" applyFill="1" applyAlignment="1">
      <alignment horizontal="center" vertical="center" wrapText="1"/>
    </xf>
    <xf numFmtId="0" fontId="5" fillId="2" borderId="0" xfId="2" applyFont="1" applyFill="1" applyAlignment="1">
      <alignment horizontal="left"/>
    </xf>
    <xf numFmtId="0" fontId="3" fillId="2" borderId="0" xfId="2" applyFont="1" applyFill="1" applyAlignment="1">
      <alignment horizontal="center" vertical="center"/>
    </xf>
    <xf numFmtId="0" fontId="3" fillId="2" borderId="0" xfId="2" applyFont="1" applyFill="1" applyBorder="1" applyAlignment="1">
      <alignment wrapText="1"/>
    </xf>
    <xf numFmtId="0" fontId="3" fillId="2" borderId="0" xfId="2" applyFont="1" applyFill="1" applyBorder="1" applyAlignment="1">
      <alignment horizontal="left" vertical="center" wrapText="1"/>
    </xf>
    <xf numFmtId="0" fontId="3" fillId="2" borderId="0" xfId="2" applyNumberFormat="1" applyFont="1" applyFill="1" applyBorder="1" applyAlignment="1">
      <alignment horizontal="center" vertical="center" wrapText="1"/>
    </xf>
    <xf numFmtId="49" fontId="3" fillId="2" borderId="0" xfId="2" applyNumberFormat="1" applyFont="1" applyFill="1" applyBorder="1" applyAlignment="1">
      <alignment horizontal="center" vertical="center" wrapText="1"/>
    </xf>
    <xf numFmtId="0" fontId="3" fillId="2" borderId="0" xfId="2" applyFont="1" applyFill="1" applyBorder="1" applyAlignment="1">
      <alignment vertical="center" wrapText="1"/>
    </xf>
    <xf numFmtId="0" fontId="3" fillId="2" borderId="0" xfId="2" applyFont="1" applyFill="1" applyBorder="1" applyAlignment="1">
      <alignment horizontal="center" vertical="center" wrapText="1"/>
    </xf>
    <xf numFmtId="1" fontId="3" fillId="2" borderId="0" xfId="2" applyNumberFormat="1" applyFont="1" applyFill="1" applyBorder="1" applyAlignment="1">
      <alignment horizontal="center" vertical="center" wrapText="1"/>
    </xf>
    <xf numFmtId="4" fontId="3" fillId="2" borderId="0" xfId="2" applyNumberFormat="1" applyFont="1" applyFill="1" applyBorder="1" applyAlignment="1">
      <alignment horizontal="center" vertical="center" wrapText="1"/>
    </xf>
    <xf numFmtId="4" fontId="5" fillId="2" borderId="2" xfId="2" applyNumberFormat="1" applyFont="1" applyFill="1" applyBorder="1" applyAlignment="1">
      <alignment horizontal="center" vertical="center" wrapText="1"/>
    </xf>
    <xf numFmtId="4" fontId="5" fillId="0" borderId="3" xfId="2" applyNumberFormat="1" applyFont="1" applyFill="1" applyBorder="1" applyAlignment="1">
      <alignment horizontal="center" vertical="center" wrapText="1"/>
    </xf>
    <xf numFmtId="4" fontId="5" fillId="0" borderId="4" xfId="2" applyNumberFormat="1"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49" fontId="3" fillId="2" borderId="5" xfId="2" applyNumberFormat="1" applyFont="1" applyFill="1" applyBorder="1" applyAlignment="1">
      <alignment horizontal="right" vertical="center" wrapText="1"/>
    </xf>
    <xf numFmtId="0" fontId="5" fillId="2" borderId="6" xfId="2" applyFont="1" applyFill="1" applyBorder="1" applyAlignment="1">
      <alignment vertical="center" wrapText="1"/>
    </xf>
    <xf numFmtId="4" fontId="5" fillId="2" borderId="7" xfId="2" applyNumberFormat="1" applyFont="1" applyFill="1" applyBorder="1" applyAlignment="1">
      <alignment horizontal="center" vertical="center" wrapText="1"/>
    </xf>
    <xf numFmtId="0" fontId="3" fillId="2" borderId="6" xfId="2" applyFont="1" applyFill="1" applyBorder="1" applyAlignment="1">
      <alignment horizontal="left" vertical="center" wrapText="1"/>
    </xf>
    <xf numFmtId="4" fontId="3" fillId="2" borderId="7" xfId="2" applyNumberFormat="1" applyFont="1" applyFill="1" applyBorder="1" applyAlignment="1">
      <alignment horizontal="center" vertical="center" wrapText="1"/>
    </xf>
    <xf numFmtId="49" fontId="3" fillId="2" borderId="8" xfId="2" applyNumberFormat="1" applyFont="1" applyFill="1" applyBorder="1" applyAlignment="1">
      <alignment horizontal="right" vertical="center" wrapText="1"/>
    </xf>
    <xf numFmtId="0" fontId="3" fillId="2" borderId="9" xfId="2" applyFont="1" applyFill="1" applyBorder="1" applyAlignment="1">
      <alignment horizontal="left" vertical="center" wrapText="1"/>
    </xf>
    <xf numFmtId="4" fontId="3" fillId="2" borderId="10" xfId="2" applyNumberFormat="1" applyFont="1" applyFill="1" applyBorder="1" applyAlignment="1">
      <alignment horizontal="center" vertical="center" wrapText="1"/>
    </xf>
    <xf numFmtId="4" fontId="5" fillId="2" borderId="11" xfId="2" applyNumberFormat="1" applyFont="1" applyFill="1" applyBorder="1" applyAlignment="1">
      <alignment horizontal="center" vertical="center" wrapText="1"/>
    </xf>
    <xf numFmtId="4" fontId="5" fillId="2" borderId="3" xfId="2" applyNumberFormat="1" applyFont="1" applyFill="1" applyBorder="1" applyAlignment="1">
      <alignment horizontal="center" vertical="center" wrapText="1"/>
    </xf>
    <xf numFmtId="3" fontId="5" fillId="2" borderId="12" xfId="2" applyNumberFormat="1" applyFont="1" applyFill="1" applyBorder="1" applyAlignment="1">
      <alignment horizontal="center" vertical="center" wrapText="1"/>
    </xf>
    <xf numFmtId="3" fontId="5" fillId="2" borderId="6" xfId="2" applyNumberFormat="1" applyFont="1" applyFill="1" applyBorder="1" applyAlignment="1">
      <alignment horizontal="center" vertical="center" wrapText="1"/>
    </xf>
    <xf numFmtId="0" fontId="3"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wrapText="1"/>
    </xf>
    <xf numFmtId="10" fontId="3"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xf>
    <xf numFmtId="3" fontId="3" fillId="2" borderId="6" xfId="2" applyNumberFormat="1" applyFont="1" applyFill="1" applyBorder="1" applyAlignment="1">
      <alignment horizontal="center" vertical="center"/>
    </xf>
    <xf numFmtId="0" fontId="3" fillId="2" borderId="6" xfId="2" applyFont="1" applyFill="1" applyBorder="1" applyAlignment="1">
      <alignment horizontal="left" vertical="center" wrapText="1" indent="2"/>
    </xf>
    <xf numFmtId="164" fontId="3" fillId="2" borderId="6" xfId="2" applyNumberFormat="1" applyFont="1" applyFill="1" applyBorder="1" applyAlignment="1">
      <alignment horizontal="center" vertical="center" wrapText="1"/>
    </xf>
    <xf numFmtId="49" fontId="8" fillId="2" borderId="5" xfId="0" applyNumberFormat="1" applyFont="1" applyFill="1" applyBorder="1" applyAlignment="1">
      <alignment horizontal="right" vertical="center"/>
    </xf>
    <xf numFmtId="0" fontId="15" fillId="0" borderId="6" xfId="0" applyFont="1" applyFill="1" applyBorder="1" applyAlignment="1">
      <alignment horizontal="left" vertical="center" wrapText="1" indent="3"/>
    </xf>
    <xf numFmtId="0" fontId="8" fillId="2" borderId="6" xfId="0" applyFont="1" applyFill="1" applyBorder="1" applyAlignment="1">
      <alignment horizontal="left" vertical="center" wrapText="1" indent="5"/>
    </xf>
    <xf numFmtId="0" fontId="14" fillId="2" borderId="6" xfId="0" applyFont="1" applyFill="1" applyBorder="1" applyAlignment="1">
      <alignment horizontal="left" vertical="center" wrapText="1" indent="5"/>
    </xf>
    <xf numFmtId="0" fontId="11" fillId="2" borderId="14" xfId="2" applyFont="1" applyFill="1" applyBorder="1" applyAlignment="1">
      <alignment horizontal="left" vertical="center" wrapText="1" indent="2"/>
    </xf>
    <xf numFmtId="164" fontId="3" fillId="2" borderId="9" xfId="2" applyNumberFormat="1" applyFont="1" applyFill="1" applyBorder="1" applyAlignment="1">
      <alignment horizontal="center" vertical="center" wrapText="1"/>
    </xf>
    <xf numFmtId="49" fontId="3" fillId="2" borderId="15" xfId="2" applyNumberFormat="1" applyFont="1" applyFill="1" applyBorder="1" applyAlignment="1">
      <alignment horizontal="right" vertical="center" wrapText="1"/>
    </xf>
    <xf numFmtId="0" fontId="3" fillId="0" borderId="0" xfId="2" applyFont="1" applyFill="1" applyBorder="1" applyAlignment="1">
      <alignment horizontal="left" vertical="center" wrapText="1" indent="2"/>
    </xf>
    <xf numFmtId="4" fontId="3" fillId="0" borderId="0"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wrapText="1"/>
    </xf>
    <xf numFmtId="49" fontId="3" fillId="2" borderId="6" xfId="2" applyNumberFormat="1"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12" xfId="2" applyFont="1" applyFill="1" applyBorder="1" applyAlignment="1">
      <alignment horizontal="left" vertical="center" wrapText="1" indent="4"/>
    </xf>
    <xf numFmtId="0" fontId="3" fillId="2" borderId="12" xfId="2" applyFont="1" applyFill="1" applyBorder="1" applyAlignment="1">
      <alignment horizontal="left" vertical="center" wrapText="1" indent="7"/>
    </xf>
    <xf numFmtId="0" fontId="11" fillId="2" borderId="12" xfId="2" applyFont="1" applyFill="1" applyBorder="1" applyAlignment="1">
      <alignment horizontal="left" vertical="center" wrapText="1" indent="7"/>
    </xf>
    <xf numFmtId="0" fontId="14" fillId="2" borderId="6" xfId="0" applyFont="1" applyFill="1" applyBorder="1" applyAlignment="1">
      <alignment horizontal="left" vertical="center" wrapText="1" indent="7"/>
    </xf>
    <xf numFmtId="0" fontId="8" fillId="2" borderId="6" xfId="0" applyFont="1" applyFill="1" applyBorder="1" applyAlignment="1">
      <alignment horizontal="left" vertical="center" wrapText="1" indent="7"/>
    </xf>
    <xf numFmtId="0" fontId="11" fillId="2" borderId="12" xfId="2" applyFont="1" applyFill="1" applyBorder="1" applyAlignment="1">
      <alignment horizontal="left" vertical="center" wrapText="1" indent="4"/>
    </xf>
    <xf numFmtId="49" fontId="3" fillId="2" borderId="5" xfId="2" applyNumberFormat="1" applyFont="1" applyFill="1" applyBorder="1" applyAlignment="1">
      <alignment horizontal="right" vertical="center"/>
    </xf>
    <xf numFmtId="0" fontId="14" fillId="2" borderId="6" xfId="0" applyFont="1" applyFill="1" applyBorder="1" applyAlignment="1">
      <alignment horizontal="left" vertical="center" wrapText="1" indent="4"/>
    </xf>
    <xf numFmtId="0" fontId="14" fillId="2" borderId="6" xfId="0" applyFont="1" applyFill="1" applyBorder="1" applyAlignment="1">
      <alignment horizontal="left" vertical="center" wrapText="1" indent="3"/>
    </xf>
    <xf numFmtId="3" fontId="3" fillId="2" borderId="6" xfId="2" applyNumberFormat="1" applyFont="1" applyFill="1" applyBorder="1" applyAlignment="1">
      <alignment horizontal="center" vertical="center" wrapText="1"/>
    </xf>
    <xf numFmtId="0" fontId="15" fillId="2" borderId="0" xfId="2" applyFont="1" applyFill="1"/>
    <xf numFmtId="0" fontId="8" fillId="2" borderId="6" xfId="0" applyFont="1" applyFill="1" applyBorder="1" applyAlignment="1">
      <alignment horizontal="left" vertical="center" wrapText="1" indent="2"/>
    </xf>
    <xf numFmtId="0" fontId="3" fillId="2" borderId="12" xfId="2" applyFont="1" applyFill="1" applyBorder="1" applyAlignment="1">
      <alignment horizontal="left" vertical="center" wrapText="1" indent="5"/>
    </xf>
    <xf numFmtId="0" fontId="11" fillId="2" borderId="12" xfId="2" applyFont="1" applyFill="1" applyBorder="1" applyAlignment="1">
      <alignment horizontal="left" vertical="center" wrapText="1" indent="5"/>
    </xf>
    <xf numFmtId="165" fontId="3" fillId="2" borderId="6" xfId="2"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xf>
    <xf numFmtId="0" fontId="3" fillId="2" borderId="12" xfId="2" applyFont="1" applyFill="1" applyBorder="1" applyAlignment="1">
      <alignment horizontal="left" wrapText="1" indent="5"/>
    </xf>
    <xf numFmtId="10" fontId="15" fillId="2" borderId="6" xfId="1" applyNumberFormat="1" applyFont="1" applyFill="1" applyBorder="1" applyAlignment="1">
      <alignment horizontal="center" vertical="center"/>
    </xf>
    <xf numFmtId="0" fontId="14" fillId="2" borderId="12" xfId="2" applyFont="1" applyFill="1" applyBorder="1" applyAlignment="1">
      <alignment horizontal="left" vertical="center" wrapText="1" indent="4"/>
    </xf>
    <xf numFmtId="49" fontId="3" fillId="2" borderId="8" xfId="2" applyNumberFormat="1" applyFont="1" applyFill="1" applyBorder="1" applyAlignment="1">
      <alignment horizontal="right" vertical="center"/>
    </xf>
    <xf numFmtId="0" fontId="11" fillId="2" borderId="14" xfId="2" applyFont="1" applyFill="1" applyBorder="1" applyAlignment="1">
      <alignment horizontal="left" vertical="center" wrapText="1" indent="4"/>
    </xf>
    <xf numFmtId="10" fontId="3" fillId="2" borderId="9" xfId="1" applyNumberFormat="1" applyFont="1" applyFill="1" applyBorder="1" applyAlignment="1">
      <alignment horizontal="center" vertical="center" wrapText="1"/>
    </xf>
    <xf numFmtId="0" fontId="3" fillId="2" borderId="0" xfId="2" applyFont="1" applyFill="1" applyBorder="1" applyAlignment="1">
      <alignment horizontal="left" vertical="center" wrapText="1" indent="2"/>
    </xf>
    <xf numFmtId="49" fontId="15" fillId="2" borderId="2" xfId="2" applyNumberFormat="1" applyFont="1" applyFill="1" applyBorder="1" applyAlignment="1">
      <alignment horizontal="right" vertical="center"/>
    </xf>
    <xf numFmtId="49" fontId="15" fillId="2" borderId="5" xfId="2" applyNumberFormat="1" applyFont="1" applyFill="1" applyBorder="1" applyAlignment="1">
      <alignment horizontal="right" vertical="center"/>
    </xf>
    <xf numFmtId="9" fontId="3" fillId="2" borderId="6" xfId="1" applyFont="1" applyFill="1" applyBorder="1" applyAlignment="1">
      <alignment horizontal="center" vertical="center" wrapText="1"/>
    </xf>
    <xf numFmtId="0" fontId="11" fillId="0" borderId="12" xfId="2" applyFont="1" applyFill="1" applyBorder="1" applyAlignment="1">
      <alignment horizontal="left" vertical="center" wrapText="1" indent="4"/>
    </xf>
    <xf numFmtId="166" fontId="3" fillId="2" borderId="6" xfId="1" applyNumberFormat="1" applyFont="1" applyFill="1" applyBorder="1" applyAlignment="1">
      <alignment horizontal="center" vertical="center" wrapText="1"/>
    </xf>
    <xf numFmtId="49" fontId="15" fillId="2" borderId="8" xfId="2" applyNumberFormat="1" applyFont="1" applyFill="1" applyBorder="1" applyAlignment="1">
      <alignment horizontal="right" vertical="center"/>
    </xf>
    <xf numFmtId="0" fontId="8" fillId="2" borderId="9" xfId="0" applyFont="1" applyFill="1" applyBorder="1" applyAlignment="1">
      <alignment horizontal="left" vertical="center" wrapText="1" indent="4"/>
    </xf>
    <xf numFmtId="4" fontId="3" fillId="2" borderId="9"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xf>
    <xf numFmtId="0" fontId="3" fillId="2" borderId="6" xfId="2" applyNumberFormat="1" applyFont="1" applyFill="1" applyBorder="1" applyAlignment="1">
      <alignment horizontal="center" vertical="center" wrapText="1"/>
    </xf>
    <xf numFmtId="0" fontId="3" fillId="2" borderId="6" xfId="2" applyFont="1" applyFill="1" applyBorder="1" applyAlignment="1">
      <alignment horizontal="left" vertical="center" wrapText="1" indent="4"/>
    </xf>
    <xf numFmtId="0" fontId="8" fillId="2" borderId="6" xfId="0" applyFont="1" applyFill="1" applyBorder="1" applyAlignment="1">
      <alignment horizontal="left" vertical="center" wrapText="1" indent="6"/>
    </xf>
    <xf numFmtId="0" fontId="8" fillId="2" borderId="9" xfId="0" applyFont="1" applyFill="1" applyBorder="1" applyAlignment="1">
      <alignment horizontal="left" vertical="center" wrapText="1" indent="7"/>
    </xf>
    <xf numFmtId="0" fontId="3" fillId="2" borderId="0" xfId="2" applyFont="1" applyFill="1" applyBorder="1"/>
    <xf numFmtId="0" fontId="3" fillId="2" borderId="14" xfId="2" applyFont="1" applyFill="1" applyBorder="1" applyAlignment="1">
      <alignment horizontal="left" vertical="center" wrapText="1" indent="2"/>
    </xf>
    <xf numFmtId="0" fontId="15" fillId="2" borderId="6" xfId="2" applyFont="1" applyFill="1" applyBorder="1" applyAlignment="1">
      <alignment horizontal="left" vertical="center" wrapText="1" indent="2"/>
    </xf>
    <xf numFmtId="4" fontId="3" fillId="2" borderId="6" xfId="1" applyNumberFormat="1" applyFont="1" applyFill="1" applyBorder="1" applyAlignment="1">
      <alignment horizontal="center" vertical="center" wrapText="1"/>
    </xf>
    <xf numFmtId="0" fontId="15" fillId="2" borderId="9" xfId="2" applyFont="1" applyFill="1" applyBorder="1" applyAlignment="1">
      <alignment horizontal="left" vertical="center" wrapText="1" indent="2"/>
    </xf>
    <xf numFmtId="4" fontId="15" fillId="2" borderId="9" xfId="2" applyNumberFormat="1" applyFont="1" applyFill="1" applyBorder="1" applyAlignment="1">
      <alignment horizontal="center" vertical="center" wrapText="1"/>
    </xf>
    <xf numFmtId="49" fontId="3" fillId="2" borderId="17" xfId="2" applyNumberFormat="1" applyFont="1" applyFill="1" applyBorder="1" applyAlignment="1">
      <alignment horizontal="right" vertical="center"/>
    </xf>
    <xf numFmtId="0" fontId="3" fillId="2" borderId="18" xfId="2" applyFont="1" applyFill="1" applyBorder="1" applyAlignment="1">
      <alignment horizontal="left" vertical="center" wrapText="1" indent="4"/>
    </xf>
    <xf numFmtId="10" fontId="3" fillId="2" borderId="18" xfId="1" applyNumberFormat="1" applyFont="1" applyFill="1" applyBorder="1" applyAlignment="1">
      <alignment horizontal="center" vertical="center" wrapText="1"/>
    </xf>
    <xf numFmtId="0" fontId="3" fillId="2" borderId="9" xfId="2" applyFont="1" applyFill="1" applyBorder="1" applyAlignment="1">
      <alignment horizontal="left" vertical="center" wrapText="1" indent="4"/>
    </xf>
    <xf numFmtId="0" fontId="21" fillId="2" borderId="3" xfId="0" applyFont="1" applyFill="1" applyBorder="1" applyAlignment="1">
      <alignment horizontal="left" vertical="center" wrapText="1"/>
    </xf>
    <xf numFmtId="4" fontId="3" fillId="2" borderId="3" xfId="2" applyNumberFormat="1" applyFont="1" applyFill="1" applyBorder="1" applyAlignment="1">
      <alignment horizontal="center" vertical="center" wrapText="1"/>
    </xf>
    <xf numFmtId="0" fontId="11" fillId="2" borderId="6" xfId="2" applyFont="1" applyFill="1" applyBorder="1" applyAlignment="1">
      <alignment horizontal="left" vertical="center" wrapText="1" indent="4"/>
    </xf>
    <xf numFmtId="0" fontId="11" fillId="2" borderId="9" xfId="2" applyFont="1" applyFill="1" applyBorder="1" applyAlignment="1">
      <alignment horizontal="left" vertical="center" wrapText="1" indent="4"/>
    </xf>
    <xf numFmtId="0" fontId="30" fillId="2" borderId="3" xfId="3" applyFont="1" applyFill="1" applyBorder="1" applyAlignment="1">
      <alignment horizontal="left" vertical="center" wrapText="1"/>
    </xf>
    <xf numFmtId="10" fontId="3" fillId="2" borderId="3" xfId="1" applyNumberFormat="1" applyFont="1" applyFill="1" applyBorder="1" applyAlignment="1">
      <alignment horizontal="center" vertical="center" wrapText="1"/>
    </xf>
    <xf numFmtId="0" fontId="3" fillId="2" borderId="9" xfId="2" applyFont="1" applyFill="1" applyBorder="1" applyAlignment="1">
      <alignment horizontal="left" vertical="center" wrapText="1"/>
    </xf>
    <xf numFmtId="0" fontId="3" fillId="2" borderId="0" xfId="2" applyFont="1" applyFill="1" applyBorder="1" applyAlignment="1">
      <alignment horizontal="right" vertical="center"/>
    </xf>
    <xf numFmtId="0" fontId="3" fillId="2" borderId="20" xfId="2" applyFont="1" applyFill="1" applyBorder="1" applyAlignment="1">
      <alignment horizontal="right" wrapText="1" indent="1"/>
    </xf>
    <xf numFmtId="0" fontId="3" fillId="2" borderId="21" xfId="2" applyFont="1" applyFill="1" applyBorder="1" applyAlignment="1">
      <alignment horizontal="center" vertical="center" wrapText="1"/>
    </xf>
    <xf numFmtId="0" fontId="3" fillId="2" borderId="2" xfId="2" applyFont="1" applyFill="1" applyBorder="1"/>
    <xf numFmtId="10" fontId="15" fillId="2" borderId="4" xfId="2" applyNumberFormat="1" applyFont="1" applyFill="1" applyBorder="1" applyAlignment="1" applyProtection="1">
      <alignment vertical="center"/>
    </xf>
    <xf numFmtId="0" fontId="3" fillId="2" borderId="5" xfId="2" applyFont="1" applyFill="1" applyBorder="1"/>
    <xf numFmtId="10" fontId="15" fillId="2" borderId="7" xfId="2" applyNumberFormat="1" applyFont="1" applyFill="1" applyBorder="1" applyAlignment="1" applyProtection="1">
      <alignment vertical="center"/>
    </xf>
    <xf numFmtId="0" fontId="3" fillId="2" borderId="8" xfId="2" applyFont="1" applyFill="1" applyBorder="1"/>
    <xf numFmtId="10" fontId="15" fillId="2" borderId="10" xfId="2" applyNumberFormat="1" applyFont="1" applyFill="1" applyBorder="1" applyAlignment="1" applyProtection="1">
      <alignment vertical="center"/>
    </xf>
    <xf numFmtId="0" fontId="3" fillId="2" borderId="17" xfId="2" applyFont="1" applyFill="1" applyBorder="1"/>
    <xf numFmtId="10" fontId="15" fillId="2" borderId="19" xfId="2" applyNumberFormat="1" applyFont="1" applyFill="1" applyBorder="1" applyAlignment="1" applyProtection="1">
      <alignment vertical="center"/>
    </xf>
    <xf numFmtId="0" fontId="3" fillId="2" borderId="0" xfId="2" applyFont="1" applyFill="1" applyAlignment="1" applyProtection="1">
      <alignment horizontal="center" vertical="center"/>
    </xf>
    <xf numFmtId="0" fontId="3" fillId="2" borderId="9" xfId="2" applyFont="1" applyFill="1" applyBorder="1" applyAlignment="1">
      <alignment horizontal="left" vertical="center" wrapText="1"/>
    </xf>
    <xf numFmtId="0" fontId="3" fillId="2" borderId="9" xfId="2" applyFont="1" applyFill="1" applyBorder="1" applyAlignment="1">
      <alignment horizontal="left" vertical="center" wrapText="1"/>
    </xf>
    <xf numFmtId="0" fontId="5" fillId="2" borderId="16" xfId="2" applyFont="1" applyFill="1" applyBorder="1" applyAlignment="1">
      <alignment horizontal="left" vertical="center" wrapText="1"/>
    </xf>
    <xf numFmtId="0" fontId="5" fillId="2" borderId="3" xfId="2" applyFont="1" applyFill="1" applyBorder="1" applyAlignment="1">
      <alignment horizontal="left" vertical="center" wrapText="1"/>
    </xf>
    <xf numFmtId="0" fontId="3" fillId="2" borderId="9" xfId="2" applyFont="1" applyFill="1" applyBorder="1" applyAlignment="1">
      <alignment horizontal="left" vertical="center" wrapText="1"/>
    </xf>
    <xf numFmtId="0" fontId="4" fillId="2" borderId="0" xfId="2" applyFont="1" applyFill="1" applyBorder="1" applyAlignment="1">
      <alignment horizontal="center" vertical="center" wrapText="1"/>
    </xf>
    <xf numFmtId="0" fontId="5" fillId="2" borderId="1" xfId="2" applyFont="1" applyFill="1" applyBorder="1" applyAlignment="1">
      <alignment horizontal="left" wrapText="1"/>
    </xf>
    <xf numFmtId="0" fontId="5" fillId="2" borderId="13" xfId="2" applyFont="1" applyFill="1" applyBorder="1" applyAlignment="1">
      <alignment horizontal="left" vertical="center" wrapText="1"/>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1265" name="Button 1" hidden="1">
              <a:extLst>
                <a:ext uri="{63B3BB69-23CF-44E3-9099-C40C66FF867C}">
                  <a14:compatExt spid="_x0000_s1126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2289" name="Button 1" hidden="1">
              <a:extLst>
                <a:ext uri="{63B3BB69-23CF-44E3-9099-C40C66FF867C}">
                  <a14:compatExt spid="_x0000_s1228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3313" name="Button 1" hidden="1">
              <a:extLst>
                <a:ext uri="{63B3BB69-23CF-44E3-9099-C40C66FF867C}">
                  <a14:compatExt spid="_x0000_s1331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4337" name="Button 1" hidden="1">
              <a:extLst>
                <a:ext uri="{63B3BB69-23CF-44E3-9099-C40C66FF867C}">
                  <a14:compatExt spid="_x0000_s1433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5361" name="Button 1"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6385" name="Button 1" hidden="1">
              <a:extLst>
                <a:ext uri="{63B3BB69-23CF-44E3-9099-C40C66FF867C}">
                  <a14:compatExt spid="_x0000_s1638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7409" name="Button 1" hidden="1">
              <a:extLst>
                <a:ext uri="{63B3BB69-23CF-44E3-9099-C40C66FF867C}">
                  <a14:compatExt spid="_x0000_s1740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8433" name="Button 1" hidden="1">
              <a:extLst>
                <a:ext uri="{63B3BB69-23CF-44E3-9099-C40C66FF867C}">
                  <a14:compatExt spid="_x0000_s1843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3073" name="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7169" name="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8193" name="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88;&#1087;%20&#1050;&#1088;&#1072;&#1089;&#1085;&#1086;&#1079;&#1077;&#1088;&#1089;&#1082;&#1086;&#1077;.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2;&#1072;&#1081;&#1089;&#1082;&#1080;&#108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2;&#1086;&#1093;&#1085;&#1072;&#1090;&#1086;&#1083;&#1086;&#1075;&#1086;&#1074;&#1089;&#1082;&#1086;&#108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3;&#1080;&#1078;&#1077;&#1095;&#1077;&#1088;&#1077;&#1084;&#1086;&#1096;&#1077;&#1085;&#1089;&#1082;&#1080;&#108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4;&#1082;&#1090;&#1103;&#1073;&#1088;&#1100;&#1089;&#1082;&#1080;&#108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4;&#1088;&#1077;&#1093;&#1086;&#1074;&#1086;-&#1051;&#1086;&#1075;&#1086;&#1074;&#1089;&#1082;&#1080;&#1081;.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5;&#1086;&#1083;&#1086;&#1074;&#1080;&#1085;&#1089;&#1082;&#1080;&#108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5;&#1086;&#1083;&#1086;&#1081;&#1089;&#1082;&#1080;&#1081;.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7;&#1072;&#1076;&#1086;&#1074;&#1089;&#1082;&#1080;&#1081;.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7;&#1074;&#1077;&#1090;&#1083;&#1086;&#1074;&#1089;&#1082;&#1080;&#108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050;&#1088;&#1072;&#1089;&#1085;&#1086;&#1079;&#1077;&#1089;&#1082;&#1080;&#1081;%20&#1051;&#1086;&#1090;&#1086;&#1096;&#1072;&#1085;&#1089;&#1082;&#1080;&#108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40;&#1082;&#1089;&#1077;&#1085;&#1080;&#1093;&#1080;&#1085;&#1089;&#1082;&#1080;&#108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42;&#1077;&#1089;&#1077;&#1083;&#1086;&#1074;&#1089;&#1082;&#1080;&#108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47;&#1091;&#1073;&#1082;&#1086;&#1074;&#1089;&#1082;&#1080;&#108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0;&#1072;&#1079;&#1072;&#1085;&#1072;&#1082;&#1089;&#1082;&#1080;&#108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0;&#1072;&#1081;&#1075;&#1086;&#1088;&#1086;&#1076;&#1089;&#1082;&#1086;&#108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0;&#1086;&#1083;&#1099;&#1073;&#1077;&#1083;&#1100;&#1089;&#1082;&#1086;&#1077;.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0;&#1086;&#1085;&#1077;&#1074;&#1089;&#1082;&#1080;&#108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050;&#1088;&#1072;&#1089;&#1085;&#1086;&#1079;&#1077;&#1088;&#1089;&#1082;&#1080;&#1081;%20&#1051;&#1086;&#1073;&#1080;&#1085;&#1089;&#1082;&#1080;&#108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рп Краснозерское"/>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рабочий поселок Краснозерское, Краснозерский муниципальный район</v>
          </cell>
        </row>
        <row r="15">
          <cell r="D15" t="str">
            <v/>
          </cell>
        </row>
        <row r="16">
          <cell r="D16" t="str">
            <v>Код ОКТМО</v>
          </cell>
          <cell r="E16" t="str">
            <v xml:space="preserve"> (50627151051)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1056.2203484150468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2840</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402.1793450943847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65.033670000000015</v>
          </cell>
        </row>
        <row r="27">
          <cell r="F27">
            <v>776.44759830395003</v>
          </cell>
        </row>
        <row r="28">
          <cell r="F28">
            <v>596.34992189243474</v>
          </cell>
        </row>
        <row r="29">
          <cell r="F29">
            <v>180.09767641151529</v>
          </cell>
        </row>
        <row r="30">
          <cell r="F30">
            <v>2253.0521615214457</v>
          </cell>
        </row>
        <row r="33">
          <cell r="F33">
            <v>1556.2386968907254</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17.170000000000002</v>
          </cell>
        </row>
        <row r="19">
          <cell r="E19">
            <v>23.62</v>
          </cell>
        </row>
      </sheetData>
      <sheetData sheetId="29" refreshError="1"/>
      <sheetData sheetId="30">
        <row r="12">
          <cell r="F12">
            <v>81.365847489192205</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Краснозерский Май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Майское, Краснозерский муниципальный район </v>
          </cell>
        </row>
        <row r="15">
          <cell r="D15" t="str">
            <v/>
          </cell>
        </row>
        <row r="16">
          <cell r="D16" t="str">
            <v>Код ОКТМО</v>
          </cell>
          <cell r="E16" t="str">
            <v>(50627422101)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1056.2203484150468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2840</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400.44829050569314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40.20411</v>
          </cell>
        </row>
        <row r="27">
          <cell r="F27">
            <v>776.44759830395003</v>
          </cell>
        </row>
        <row r="28">
          <cell r="F28">
            <v>596.34992189243474</v>
          </cell>
        </row>
        <row r="29">
          <cell r="F29">
            <v>180.09767641151529</v>
          </cell>
        </row>
        <row r="30">
          <cell r="F30">
            <v>2251.3360978654923</v>
          </cell>
        </row>
        <row r="33">
          <cell r="F33">
            <v>1556.2386968907254</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10.09</v>
          </cell>
        </row>
        <row r="19">
          <cell r="E19">
            <v>23.62</v>
          </cell>
        </row>
      </sheetData>
      <sheetData sheetId="29" refreshError="1"/>
      <sheetData sheetId="30">
        <row r="12">
          <cell r="F12">
            <v>81.331226397418376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Краснозерский Мохнатологовско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Мохнатый Лог, Краснозерский муниципальный район</v>
          </cell>
        </row>
        <row r="15">
          <cell r="D15" t="str">
            <v/>
          </cell>
        </row>
        <row r="16">
          <cell r="D16" t="str">
            <v>Код ОКТМО</v>
          </cell>
          <cell r="E16" t="str">
            <v xml:space="preserve"> (50627425101)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954.56285896583267</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2566.66</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395.07554579472423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65.209019999999995</v>
          </cell>
        </row>
        <row r="27">
          <cell r="F27">
            <v>776.44759830395003</v>
          </cell>
        </row>
        <row r="28">
          <cell r="F28">
            <v>596.34992189243474</v>
          </cell>
        </row>
        <row r="29">
          <cell r="F29">
            <v>180.09767641151529</v>
          </cell>
        </row>
        <row r="30">
          <cell r="F30">
            <v>2104.9218912969027</v>
          </cell>
        </row>
        <row r="33">
          <cell r="F33">
            <v>1408.096307572567</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17.22</v>
          </cell>
        </row>
        <row r="19">
          <cell r="E19">
            <v>23.62</v>
          </cell>
        </row>
      </sheetData>
      <sheetData sheetId="29" refreshError="1"/>
      <sheetData sheetId="30">
        <row r="12">
          <cell r="F12">
            <v>79.190621714214728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Краснозерский Нижечеремошен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Нижнечеремошное, Краснозерский муниципальный район</v>
          </cell>
        </row>
        <row r="15">
          <cell r="D15" t="str">
            <v/>
          </cell>
        </row>
        <row r="16">
          <cell r="D16" t="str">
            <v>Код ОКТМО</v>
          </cell>
          <cell r="E16" t="str">
            <v xml:space="preserve"> (50627428101)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831.52434563268116</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2235.83</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384.27702669432699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33.856439999999999</v>
          </cell>
        </row>
        <row r="27">
          <cell r="F27">
            <v>776.44759830395003</v>
          </cell>
        </row>
        <row r="28">
          <cell r="F28">
            <v>596.34992189243474</v>
          </cell>
        </row>
        <row r="29">
          <cell r="F29">
            <v>180.09767641151529</v>
          </cell>
        </row>
        <row r="30">
          <cell r="F30">
            <v>1923.4546876411541</v>
          </cell>
        </row>
        <row r="33">
          <cell r="F33">
            <v>1228.7959978552681</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8.2799999999999994</v>
          </cell>
        </row>
        <row r="19">
          <cell r="E19">
            <v>23.62</v>
          </cell>
        </row>
      </sheetData>
      <sheetData sheetId="29" refreshError="1"/>
      <sheetData sheetId="30">
        <row r="12">
          <cell r="F12">
            <v>76.513881065543742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Октябрьский, Краснозерский муниципальный район</v>
          </cell>
        </row>
        <row r="15">
          <cell r="D15" t="str">
            <v/>
          </cell>
        </row>
        <row r="16">
          <cell r="D16" t="str">
            <v>Код ОКТМО</v>
          </cell>
          <cell r="E16" t="str">
            <v xml:space="preserve"> (50627431101)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990.72724864184647</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2663.9</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397.61194305675906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65.27915999999999</v>
          </cell>
        </row>
        <row r="27">
          <cell r="F27">
            <v>776.44759830395003</v>
          </cell>
        </row>
        <row r="28">
          <cell r="F28">
            <v>596.34992189243474</v>
          </cell>
        </row>
        <row r="29">
          <cell r="F29">
            <v>180.09767641151529</v>
          </cell>
        </row>
        <row r="30">
          <cell r="F30">
            <v>2157.6280118446357</v>
          </cell>
        </row>
        <row r="33">
          <cell r="F33">
            <v>1460.7975804828536</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17.239999999999998</v>
          </cell>
        </row>
        <row r="19">
          <cell r="E19">
            <v>23.62</v>
          </cell>
        </row>
      </sheetData>
      <sheetData sheetId="29" refreshError="1"/>
      <sheetData sheetId="30">
        <row r="12">
          <cell r="F12">
            <v>79.964637452975694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Орехов Лог, Краснозерский муниципальный район</v>
          </cell>
        </row>
        <row r="15">
          <cell r="D15" t="str">
            <v/>
          </cell>
        </row>
        <row r="16">
          <cell r="D16" t="str">
            <v>Код ОКТМО</v>
          </cell>
          <cell r="E16" t="str">
            <v xml:space="preserve"> (50627434101)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996.90093096004716</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2680.5</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397.00008908263294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50.304270000000002</v>
          </cell>
        </row>
        <row r="27">
          <cell r="F27">
            <v>776.44759830395003</v>
          </cell>
        </row>
        <row r="28">
          <cell r="F28">
            <v>596.34992189243474</v>
          </cell>
        </row>
        <row r="29">
          <cell r="F29">
            <v>180.09767641151529</v>
          </cell>
        </row>
        <row r="30">
          <cell r="F30">
            <v>2165.5897620469805</v>
          </cell>
        </row>
        <row r="33">
          <cell r="F33">
            <v>1469.7943012799615</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12.97</v>
          </cell>
        </row>
        <row r="19">
          <cell r="E19">
            <v>23.62</v>
          </cell>
        </row>
      </sheetData>
      <sheetData sheetId="29" refreshError="1"/>
      <sheetData sheetId="30">
        <row r="12">
          <cell r="F12">
            <v>80.075874019857181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Половинное, Краснозерский муниципальный район</v>
          </cell>
        </row>
        <row r="15">
          <cell r="D15" t="str">
            <v/>
          </cell>
        </row>
        <row r="16">
          <cell r="D16" t="str">
            <v>Код ОКТМО</v>
          </cell>
          <cell r="E16" t="str">
            <v xml:space="preserve"> (50627437101)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829.72802722322888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2231</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386.22451452436775</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63.594029999999997</v>
          </cell>
        </row>
        <row r="27">
          <cell r="F27">
            <v>776.44759830395003</v>
          </cell>
        </row>
        <row r="28">
          <cell r="F28">
            <v>596.34992189243474</v>
          </cell>
        </row>
        <row r="29">
          <cell r="F29">
            <v>180.09767641151529</v>
          </cell>
        </row>
        <row r="30">
          <cell r="F30">
            <v>1922.8922430177499</v>
          </cell>
        </row>
        <row r="33">
          <cell r="F33">
            <v>1226.1782772859892</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15.25</v>
          </cell>
        </row>
        <row r="19">
          <cell r="E19">
            <v>49.57</v>
          </cell>
        </row>
      </sheetData>
      <sheetData sheetId="29" refreshError="1"/>
      <sheetData sheetId="30">
        <row r="12">
          <cell r="F12">
            <v>76.516904453955519</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Полойка, Краснозерский муниципальный район</v>
          </cell>
        </row>
        <row r="15">
          <cell r="D15" t="str">
            <v/>
          </cell>
        </row>
        <row r="16">
          <cell r="D16" t="str">
            <v>Код ОКТМО</v>
          </cell>
          <cell r="E16" t="str">
            <v xml:space="preserve"> (50627440101)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922.33326199623832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2480</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391.8659269876581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51.53172</v>
          </cell>
        </row>
        <row r="27">
          <cell r="F27">
            <v>776.44759830395003</v>
          </cell>
        </row>
        <row r="28">
          <cell r="F28">
            <v>596.34992189243474</v>
          </cell>
        </row>
        <row r="29">
          <cell r="F29">
            <v>180.09767641151529</v>
          </cell>
        </row>
        <row r="30">
          <cell r="F30">
            <v>2057.0093836649335</v>
          </cell>
        </row>
        <row r="33">
          <cell r="F33">
            <v>1361.1290892426057</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13.32</v>
          </cell>
        </row>
        <row r="19">
          <cell r="E19">
            <v>23.62</v>
          </cell>
        </row>
      </sheetData>
      <sheetData sheetId="29" refreshError="1"/>
      <sheetData sheetId="30">
        <row r="12">
          <cell r="F12">
            <v>78.481837398681506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Садовый, Краснозерский муниципальный район</v>
          </cell>
        </row>
        <row r="15">
          <cell r="D15" t="str">
            <v/>
          </cell>
        </row>
        <row r="16">
          <cell r="D16" t="str">
            <v>Код ОКТМО</v>
          </cell>
          <cell r="E16" t="str">
            <v xml:space="preserve"> (50627443101)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922.33326199623832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2480</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392.17644101698551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55.985610000000001</v>
          </cell>
        </row>
        <row r="27">
          <cell r="F27">
            <v>776.44759830395003</v>
          </cell>
        </row>
        <row r="28">
          <cell r="F28">
            <v>596.34992189243474</v>
          </cell>
        </row>
        <row r="29">
          <cell r="F29">
            <v>180.09767641151529</v>
          </cell>
        </row>
        <row r="30">
          <cell r="F30">
            <v>2057.3172086427667</v>
          </cell>
        </row>
        <row r="33">
          <cell r="F33">
            <v>1361.1290892426057</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14.59</v>
          </cell>
        </row>
        <row r="19">
          <cell r="E19">
            <v>23.62</v>
          </cell>
        </row>
      </sheetData>
      <sheetData sheetId="29" refreshError="1"/>
      <sheetData sheetId="30">
        <row r="12">
          <cell r="F12">
            <v>78.488047679268064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Светлое, Краснозерский муниципальный район</v>
          </cell>
        </row>
        <row r="15">
          <cell r="D15" t="str">
            <v/>
          </cell>
        </row>
        <row r="16">
          <cell r="D16" t="str">
            <v>Код ОКТМО</v>
          </cell>
          <cell r="E16" t="str">
            <v xml:space="preserve"> (50627446101)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1056.2203484150468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2840</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401.54853706630212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55.985610000000001</v>
          </cell>
        </row>
        <row r="27">
          <cell r="F27">
            <v>776.44759830395003</v>
          </cell>
        </row>
        <row r="28">
          <cell r="F28">
            <v>596.34992189243474</v>
          </cell>
        </row>
        <row r="29">
          <cell r="F29">
            <v>180.09767641151529</v>
          </cell>
        </row>
        <row r="30">
          <cell r="F30">
            <v>2252.4268162908866</v>
          </cell>
        </row>
        <row r="33">
          <cell r="F33">
            <v>1556.2386968907254</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14.59</v>
          </cell>
        </row>
        <row r="19">
          <cell r="E19">
            <v>23.62</v>
          </cell>
        </row>
      </sheetData>
      <sheetData sheetId="29" refreshError="1"/>
      <sheetData sheetId="30">
        <row r="12">
          <cell r="F12">
            <v>81.353231328630571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Лотошное, Краснозерский муниципальный район </v>
          </cell>
        </row>
        <row r="15">
          <cell r="D15" t="str">
            <v/>
          </cell>
        </row>
        <row r="16">
          <cell r="D16" t="str">
            <v>Код ОКТМО</v>
          </cell>
          <cell r="E16" t="str">
            <v>(50627420101)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922.33326199623832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2480</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392.17644101698551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55.985610000000001</v>
          </cell>
        </row>
        <row r="27">
          <cell r="F27">
            <v>776.44759830395003</v>
          </cell>
        </row>
        <row r="28">
          <cell r="F28">
            <v>596.34992189243474</v>
          </cell>
        </row>
        <row r="29">
          <cell r="F29">
            <v>180.09767641151529</v>
          </cell>
        </row>
        <row r="30">
          <cell r="F30">
            <v>2057.3172086427667</v>
          </cell>
        </row>
        <row r="33">
          <cell r="F33">
            <v>1361.1290892426057</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14.59</v>
          </cell>
        </row>
        <row r="19">
          <cell r="E19">
            <v>23.62</v>
          </cell>
        </row>
      </sheetData>
      <sheetData sheetId="29" refreshError="1"/>
      <sheetData sheetId="30">
        <row r="12">
          <cell r="F12">
            <v>78.488047679268064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Краснозерский Аксенихинский"/>
    </sheetNames>
    <definedNames>
      <definedName name="Лист29.PrintBlock"/>
    </definedNames>
    <sheetDataSet>
      <sheetData sheetId="0"/>
      <sheetData sheetId="1"/>
      <sheetData sheetId="2"/>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Аксениха, Краснозерский муниципальный район</v>
          </cell>
        </row>
        <row r="15">
          <cell r="D15" t="str">
            <v/>
          </cell>
        </row>
        <row r="16">
          <cell r="D16" t="str">
            <v>Код ОКТМО</v>
          </cell>
          <cell r="E16" t="str">
            <v xml:space="preserve"> (50627402101)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889.79869999646769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0.59499999999999997</v>
          </cell>
        </row>
        <row r="20">
          <cell r="E20">
            <v>-0.113</v>
          </cell>
        </row>
        <row r="27">
          <cell r="E27">
            <v>2392.52</v>
          </cell>
        </row>
      </sheetData>
      <sheetData sheetId="9"/>
      <sheetData sheetId="10"/>
      <sheetData sheetId="11"/>
      <sheetData sheetId="12"/>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sheetData sheetId="22"/>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389.85745680693412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55.389420000000008</v>
          </cell>
        </row>
        <row r="27">
          <cell r="F27">
            <v>776.44759830395003</v>
          </cell>
        </row>
        <row r="28">
          <cell r="F28">
            <v>596.34992189243474</v>
          </cell>
        </row>
        <row r="29">
          <cell r="F29">
            <v>180.09767641151529</v>
          </cell>
        </row>
        <row r="30">
          <cell r="F30">
            <v>2009.8643690659806</v>
          </cell>
        </row>
        <row r="33">
          <cell r="F33">
            <v>1313.7174545841121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14.42</v>
          </cell>
        </row>
        <row r="19">
          <cell r="E19">
            <v>23.62</v>
          </cell>
        </row>
      </sheetData>
      <sheetData sheetId="29"/>
      <sheetData sheetId="30">
        <row r="12">
          <cell r="F12">
            <v>77.790976755071625</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Краснозерский Весело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Веселовское, Краснозерский муниципальный район </v>
          </cell>
        </row>
        <row r="15">
          <cell r="D15" t="str">
            <v/>
          </cell>
        </row>
        <row r="16">
          <cell r="D16" t="str">
            <v>Код ОКТМО</v>
          </cell>
          <cell r="E16" t="str">
            <v>(50627404101)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831.37186311759319</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2235.42</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386.92161461787401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71.942459999999997</v>
          </cell>
        </row>
        <row r="27">
          <cell r="F27">
            <v>776.44759830395003</v>
          </cell>
        </row>
        <row r="28">
          <cell r="F28">
            <v>596.34992189243474</v>
          </cell>
        </row>
        <row r="29">
          <cell r="F29">
            <v>180.09767641151529</v>
          </cell>
        </row>
        <row r="30">
          <cell r="F30">
            <v>1925.8647466101729</v>
          </cell>
        </row>
        <row r="33">
          <cell r="F33">
            <v>1228.5737896910023</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19.14</v>
          </cell>
        </row>
        <row r="19">
          <cell r="E19">
            <v>23.62</v>
          </cell>
        </row>
      </sheetData>
      <sheetData sheetId="29" refreshError="1"/>
      <sheetData sheetId="30">
        <row r="12">
          <cell r="F12">
            <v>76.56372317371293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Краснозерский Зубко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Зубково, Краснозерский муниципальный район</v>
          </cell>
        </row>
        <row r="15">
          <cell r="D15" t="str">
            <v/>
          </cell>
        </row>
        <row r="16">
          <cell r="D16" t="str">
            <v>Код ОКТМО</v>
          </cell>
          <cell r="E16" t="str">
            <v xml:space="preserve"> (50627407101)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879.31459731272832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2364.33</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390.13090647011893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69.838259999999991</v>
          </cell>
        </row>
        <row r="27">
          <cell r="F27">
            <v>776.44759830395003</v>
          </cell>
        </row>
        <row r="28">
          <cell r="F28">
            <v>596.34992189243474</v>
          </cell>
        </row>
        <row r="29">
          <cell r="F29">
            <v>180.09767641151529</v>
          </cell>
        </row>
        <row r="30">
          <cell r="F30">
            <v>1995.5848161587851</v>
          </cell>
        </row>
        <row r="33">
          <cell r="F33">
            <v>1298.4392883630001</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18.54</v>
          </cell>
        </row>
        <row r="19">
          <cell r="E19">
            <v>23.62</v>
          </cell>
        </row>
      </sheetData>
      <sheetData sheetId="29" refreshError="1"/>
      <sheetData sheetId="30">
        <row r="12">
          <cell r="F12">
            <v>77.586763694660533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Краснозерский Казанак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Казанак, Краснозерский муниципальный район </v>
          </cell>
        </row>
        <row r="15">
          <cell r="D15" t="str">
            <v/>
          </cell>
        </row>
        <row r="16">
          <cell r="D16" t="str">
            <v>Код ОКТМО</v>
          </cell>
          <cell r="E16" t="str">
            <v>(50627408101)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1056.2203484150468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2840</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402.71479842054771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72.713999999999999</v>
          </cell>
        </row>
        <row r="27">
          <cell r="F27">
            <v>776.44759830395003</v>
          </cell>
        </row>
        <row r="28">
          <cell r="F28">
            <v>596.34992189243474</v>
          </cell>
        </row>
        <row r="29">
          <cell r="F29">
            <v>180.09767641151529</v>
          </cell>
        </row>
        <row r="30">
          <cell r="F30">
            <v>2253.5829778218044</v>
          </cell>
        </row>
        <row r="33">
          <cell r="F33">
            <v>1556.2386968907254</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19.36</v>
          </cell>
        </row>
        <row r="19">
          <cell r="E19">
            <v>23.62</v>
          </cell>
        </row>
      </sheetData>
      <sheetData sheetId="29" refreshError="1"/>
      <sheetData sheetId="30">
        <row r="12">
          <cell r="F12">
            <v>81.376556555715467</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Краснозерский Кайгородско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Кайгородский, Краснозерский муниципальный район</v>
          </cell>
        </row>
        <row r="15">
          <cell r="D15" t="str">
            <v/>
          </cell>
        </row>
        <row r="16">
          <cell r="D16" t="str">
            <v>Код ОКТМО</v>
          </cell>
          <cell r="E16" t="str">
            <v xml:space="preserve"> (50627409101)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1004.8077072302247</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2701.76</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399.25038811724022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74.642849999999996</v>
          </cell>
        </row>
        <row r="27">
          <cell r="F27">
            <v>776.44759830395003</v>
          </cell>
        </row>
        <row r="28">
          <cell r="F28">
            <v>596.34992189243474</v>
          </cell>
        </row>
        <row r="29">
          <cell r="F29">
            <v>180.09767641151529</v>
          </cell>
        </row>
        <row r="30">
          <cell r="F30">
            <v>2178.7941985146972</v>
          </cell>
        </row>
        <row r="33">
          <cell r="F33">
            <v>1481.3166075538477</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19.91</v>
          </cell>
        </row>
        <row r="19">
          <cell r="E19">
            <v>23.62</v>
          </cell>
        </row>
      </sheetData>
      <sheetData sheetId="29" refreshError="1"/>
      <sheetData sheetId="30">
        <row r="12">
          <cell r="F12">
            <v>80.279015525952872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Краснозерский Колыбельское"/>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Колыбелька, Краснозерский муниципальный район</v>
          </cell>
        </row>
        <row r="15">
          <cell r="D15" t="str">
            <v/>
          </cell>
        </row>
        <row r="16">
          <cell r="D16" t="str">
            <v>Код ОКТМО</v>
          </cell>
          <cell r="E16" t="str">
            <v xml:space="preserve"> (50627410101)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998.0910383948808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2683.7</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396.05160982845564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35.504730000000002</v>
          </cell>
        </row>
        <row r="27">
          <cell r="F27">
            <v>776.44759830395003</v>
          </cell>
        </row>
        <row r="28">
          <cell r="F28">
            <v>596.34992189243474</v>
          </cell>
        </row>
        <row r="29">
          <cell r="F29">
            <v>180.09767641151529</v>
          </cell>
        </row>
        <row r="30">
          <cell r="F30">
            <v>2166.3012181693721</v>
          </cell>
        </row>
        <row r="33">
          <cell r="F33">
            <v>1471.5286089035001</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8.75</v>
          </cell>
        </row>
        <row r="19">
          <cell r="E19">
            <v>23.62</v>
          </cell>
        </row>
      </sheetData>
      <sheetData sheetId="29" refreshError="1"/>
      <sheetData sheetId="30">
        <row r="12">
          <cell r="F12">
            <v>80.080706583470317</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Краснозерский Конев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Конево, Краснозерский муниципальный район</v>
          </cell>
        </row>
        <row r="15">
          <cell r="D15" t="str">
            <v/>
          </cell>
        </row>
        <row r="16">
          <cell r="D16" t="str">
            <v>Код ОКТМО</v>
          </cell>
          <cell r="E16" t="str">
            <v xml:space="preserve"> (50627413101)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1056.2203484150468</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2840</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402.71479842054771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72.713999999999999</v>
          </cell>
        </row>
        <row r="27">
          <cell r="F27">
            <v>776.44759830395003</v>
          </cell>
        </row>
        <row r="28">
          <cell r="F28">
            <v>596.34992189243474</v>
          </cell>
        </row>
        <row r="29">
          <cell r="F29">
            <v>180.09767641151529</v>
          </cell>
        </row>
        <row r="30">
          <cell r="F30">
            <v>2253.5829778218044</v>
          </cell>
        </row>
        <row r="33">
          <cell r="F33">
            <v>1556.2386968907254</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19.36</v>
          </cell>
        </row>
        <row r="19">
          <cell r="E19">
            <v>23.62</v>
          </cell>
        </row>
      </sheetData>
      <sheetData sheetId="29" refreshError="1"/>
      <sheetData sheetId="30">
        <row r="12">
          <cell r="F12">
            <v>81.376556555715467</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Краснозерский Лобински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2023</v>
          </cell>
        </row>
        <row r="9">
          <cell r="D9" t="str">
            <v>Период регулирования (i-1)-й</v>
          </cell>
          <cell r="E9">
            <v>2022</v>
          </cell>
        </row>
        <row r="10">
          <cell r="D10" t="str">
            <v>Период регулирования (i-2)-й</v>
          </cell>
          <cell r="E10">
            <v>2021</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Лобино, Краснозерский муниципальный район</v>
          </cell>
        </row>
        <row r="15">
          <cell r="D15" t="str">
            <v/>
          </cell>
        </row>
        <row r="16">
          <cell r="D16" t="str">
            <v>Код ОКТМО</v>
          </cell>
          <cell r="E16" t="str">
            <v xml:space="preserve"> (50627419101)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963.14650883957177</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3">
          <cell r="E13" t="str">
            <v>уголь (вид угля не указан в топливном балансе)</v>
          </cell>
        </row>
        <row r="16">
          <cell r="E16">
            <v>5100</v>
          </cell>
        </row>
        <row r="19">
          <cell r="E19">
            <v>0.59499999999999997</v>
          </cell>
        </row>
        <row r="20">
          <cell r="E20">
            <v>-0.113</v>
          </cell>
        </row>
        <row r="27">
          <cell r="E27">
            <v>2589.7399999999998</v>
          </cell>
        </row>
      </sheetData>
      <sheetData sheetId="9" refreshError="1"/>
      <sheetData sheetId="10" refreshError="1"/>
      <sheetData sheetId="11"/>
      <sheetData sheetId="12" refreshError="1"/>
      <sheetData sheetId="13">
        <row r="12">
          <cell r="F12">
            <v>2106.0579468653982</v>
          </cell>
        </row>
        <row r="13">
          <cell r="F13">
            <v>169640.22915965237</v>
          </cell>
        </row>
        <row r="14">
          <cell r="F14">
            <v>113455</v>
          </cell>
        </row>
        <row r="15">
          <cell r="F15">
            <v>1.071</v>
          </cell>
        </row>
        <row r="16">
          <cell r="F16">
            <v>1</v>
          </cell>
        </row>
        <row r="17">
          <cell r="F17">
            <v>1.01</v>
          </cell>
        </row>
        <row r="18">
          <cell r="F18">
            <v>32402.627334033532</v>
          </cell>
        </row>
        <row r="19">
          <cell r="F19">
            <v>0</v>
          </cell>
        </row>
        <row r="20">
          <cell r="F20">
            <v>23441.524932855718</v>
          </cell>
        </row>
        <row r="21">
          <cell r="F21">
            <v>1</v>
          </cell>
        </row>
        <row r="22">
          <cell r="F22">
            <v>35717.748653137714</v>
          </cell>
        </row>
        <row r="23">
          <cell r="F23">
            <v>1990</v>
          </cell>
        </row>
        <row r="26">
          <cell r="F26">
            <v>1123.6482814273334</v>
          </cell>
        </row>
        <row r="27">
          <cell r="F27">
            <v>0.19354712999999998</v>
          </cell>
        </row>
        <row r="28">
          <cell r="F28">
            <v>4200</v>
          </cell>
        </row>
        <row r="29">
          <cell r="F29">
            <v>0.128978033685065</v>
          </cell>
        </row>
        <row r="30">
          <cell r="F30">
            <v>0.11668498168498169</v>
          </cell>
        </row>
        <row r="31">
          <cell r="F31">
            <v>0.13880000000000001</v>
          </cell>
        </row>
        <row r="32">
          <cell r="F32">
            <v>0.12640000000000001</v>
          </cell>
        </row>
        <row r="33">
          <cell r="F33">
            <v>10</v>
          </cell>
        </row>
        <row r="35">
          <cell r="F35">
            <v>1.3822747209000001</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0.121</v>
          </cell>
          <cell r="H11">
            <v>0.02</v>
          </cell>
          <cell r="I11">
            <v>-2.93E-2</v>
          </cell>
          <cell r="J11">
            <v>0.21215960863291</v>
          </cell>
          <cell r="K11">
            <v>3.5813361771260002E-2</v>
          </cell>
          <cell r="L11">
            <v>3.2682303599220003E-2</v>
          </cell>
        </row>
      </sheetData>
      <sheetData sheetId="21">
        <row r="11">
          <cell r="G11" t="str">
            <v>Информация с официального сайта Банка России</v>
          </cell>
        </row>
      </sheetData>
      <sheetData sheetId="22" refreshError="1"/>
      <sheetData sheetId="23">
        <row r="12">
          <cell r="F12">
            <v>503.83473408478085</v>
          </cell>
        </row>
        <row r="14">
          <cell r="F14">
            <v>6998.3755440420418</v>
          </cell>
        </row>
        <row r="15">
          <cell r="F15">
            <v>0.2</v>
          </cell>
        </row>
        <row r="18">
          <cell r="F18">
            <v>15</v>
          </cell>
        </row>
        <row r="19">
          <cell r="F19">
            <v>3487.1555421534131</v>
          </cell>
        </row>
        <row r="20">
          <cell r="F20">
            <v>2.1999999999999999E-2</v>
          </cell>
        </row>
        <row r="21">
          <cell r="F21">
            <v>10</v>
          </cell>
        </row>
        <row r="22">
          <cell r="F22">
            <v>3.370944844282</v>
          </cell>
        </row>
        <row r="23">
          <cell r="F23">
            <v>3.0000000000000001E-3</v>
          </cell>
        </row>
        <row r="24">
          <cell r="F24">
            <v>1123.6482814273334</v>
          </cell>
        </row>
      </sheetData>
      <sheetData sheetId="24"/>
      <sheetData sheetId="25">
        <row r="12">
          <cell r="F12">
            <v>395.05292823487412</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56.266170000000002</v>
          </cell>
        </row>
        <row r="27">
          <cell r="F27">
            <v>776.44759830395003</v>
          </cell>
        </row>
        <row r="28">
          <cell r="F28">
            <v>596.34992189243474</v>
          </cell>
        </row>
        <row r="29">
          <cell r="F29">
            <v>180.09767641151529</v>
          </cell>
        </row>
        <row r="30">
          <cell r="F30">
            <v>2116.8125112572866</v>
          </cell>
        </row>
        <row r="33">
          <cell r="F33">
            <v>1420.6050013073407</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14.67</v>
          </cell>
        </row>
        <row r="19">
          <cell r="E19">
            <v>23.62</v>
          </cell>
        </row>
      </sheetData>
      <sheetData sheetId="29" refreshError="1"/>
      <sheetData sheetId="30">
        <row r="12">
          <cell r="F12">
            <v>79.361842360492503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ctrlProp" Target="../ctrlProps/ctrlProp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ctrlProp" Target="../ctrlProps/ctrlProp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18.v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19.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tabSelected="1"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[1]И1!D13</f>
        <v>Субъект Российской Федерации</v>
      </c>
      <c r="C4" s="10" t="str">
        <f>[1]И1!E13</f>
        <v>Новосибирская область</v>
      </c>
    </row>
    <row r="5" spans="1:3" ht="51" x14ac:dyDescent="0.2">
      <c r="A5" s="8"/>
      <c r="B5" s="9" t="str">
        <f>[1]И1!D14</f>
        <v>Тип муниципального образования (выберите из списка)</v>
      </c>
      <c r="C5" s="10" t="str">
        <f>[1]И1!E14</f>
        <v>рабочий поселок Краснозерское, Краснозерский муниципальный район</v>
      </c>
    </row>
    <row r="6" spans="1:3" x14ac:dyDescent="0.2">
      <c r="A6" s="8"/>
      <c r="B6" s="9" t="str">
        <f>IF([1]И1!E15="","",[1]И1!D15)</f>
        <v/>
      </c>
      <c r="C6" s="10" t="str">
        <f>IF([1]И1!E15="","",[1]И1!E15)</f>
        <v/>
      </c>
    </row>
    <row r="7" spans="1:3" x14ac:dyDescent="0.2">
      <c r="A7" s="8"/>
      <c r="B7" s="9" t="str">
        <f>[1]И1!D16</f>
        <v>Код ОКТМО</v>
      </c>
      <c r="C7" s="11" t="str">
        <f>[1]И1!E16</f>
        <v xml:space="preserve"> (50627151051)</v>
      </c>
    </row>
    <row r="8" spans="1:3" x14ac:dyDescent="0.2">
      <c r="A8" s="8"/>
      <c r="B8" s="12" t="str">
        <f>[1]И1!D17</f>
        <v>Система теплоснабжения</v>
      </c>
      <c r="C8" s="13">
        <f>[1]И1!E17</f>
        <v>0</v>
      </c>
    </row>
    <row r="9" spans="1:3" x14ac:dyDescent="0.2">
      <c r="A9" s="8"/>
      <c r="B9" s="9" t="str">
        <f>[1]И1!D8</f>
        <v>Период регулирования (i)-й</v>
      </c>
      <c r="C9" s="14">
        <f>[1]И1!E8</f>
        <v>2023</v>
      </c>
    </row>
    <row r="10" spans="1:3" x14ac:dyDescent="0.2">
      <c r="A10" s="8"/>
      <c r="B10" s="9" t="str">
        <f>[1]И1!D9</f>
        <v>Период регулирования (i-1)-й</v>
      </c>
      <c r="C10" s="14">
        <f>[1]И1!E9</f>
        <v>2022</v>
      </c>
    </row>
    <row r="11" spans="1:3" x14ac:dyDescent="0.2">
      <c r="A11" s="8"/>
      <c r="B11" s="9" t="str">
        <f>[1]И1!D10</f>
        <v>Период регулирования (i-2)-й</v>
      </c>
      <c r="C11" s="14">
        <f>[1]И1!E10</f>
        <v>2021</v>
      </c>
    </row>
    <row r="12" spans="1:3" x14ac:dyDescent="0.2">
      <c r="A12" s="8"/>
      <c r="B12" s="9" t="str">
        <f>[1]И1!D11</f>
        <v>Базовый год (б)</v>
      </c>
      <c r="C12" s="14">
        <f>[1]И1!E11</f>
        <v>2019</v>
      </c>
    </row>
    <row r="13" spans="1:3" ht="38.25" x14ac:dyDescent="0.2">
      <c r="A13" s="8"/>
      <c r="B13" s="9" t="str">
        <f>[1]И1!D18</f>
        <v>Вид топлива, использование которого преобладает в системе теплоснабжения</v>
      </c>
      <c r="C13" s="15" t="str">
        <f>[1]С1.1!E13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4149.6582219488027</v>
      </c>
    </row>
    <row r="18" spans="1:3" ht="42.75" x14ac:dyDescent="0.2">
      <c r="A18" s="22" t="s">
        <v>8</v>
      </c>
      <c r="B18" s="25" t="s">
        <v>9</v>
      </c>
      <c r="C18" s="26">
        <f>[1]С1!F12</f>
        <v>1056.2203484150468</v>
      </c>
    </row>
    <row r="19" spans="1:3" ht="42.75" x14ac:dyDescent="0.2">
      <c r="A19" s="22" t="s">
        <v>10</v>
      </c>
      <c r="B19" s="25" t="s">
        <v>11</v>
      </c>
      <c r="C19" s="26">
        <f>[1]С2!F12</f>
        <v>2106.0579468653982</v>
      </c>
    </row>
    <row r="20" spans="1:3" ht="30" x14ac:dyDescent="0.2">
      <c r="A20" s="22" t="s">
        <v>12</v>
      </c>
      <c r="B20" s="25" t="s">
        <v>13</v>
      </c>
      <c r="C20" s="26">
        <f>[1]С3!F12</f>
        <v>503.83473408478085</v>
      </c>
    </row>
    <row r="21" spans="1:3" ht="42.75" x14ac:dyDescent="0.2">
      <c r="A21" s="22" t="s">
        <v>14</v>
      </c>
      <c r="B21" s="25" t="s">
        <v>15</v>
      </c>
      <c r="C21" s="26">
        <f>[1]С4!F12</f>
        <v>402.1793450943847</v>
      </c>
    </row>
    <row r="22" spans="1:3" ht="30" x14ac:dyDescent="0.2">
      <c r="A22" s="22" t="s">
        <v>16</v>
      </c>
      <c r="B22" s="25" t="s">
        <v>17</v>
      </c>
      <c r="C22" s="26">
        <f>[1]С5!F12</f>
        <v>81.365847489192205</v>
      </c>
    </row>
    <row r="23" spans="1:3" ht="43.5" thickBot="1" x14ac:dyDescent="0.25">
      <c r="A23" s="27" t="s">
        <v>18</v>
      </c>
      <c r="B23" s="106" t="s">
        <v>19</v>
      </c>
      <c r="C23" s="29" t="str">
        <f>[1]С6!F12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[1]С1.1!E16</f>
        <v>5100</v>
      </c>
    </row>
    <row r="29" spans="1:3" ht="42.75" x14ac:dyDescent="0.2">
      <c r="A29" s="22" t="s">
        <v>10</v>
      </c>
      <c r="B29" s="34" t="s">
        <v>22</v>
      </c>
      <c r="C29" s="35">
        <f>[1]С1.1!E27</f>
        <v>2840</v>
      </c>
    </row>
    <row r="30" spans="1:3" ht="17.25" x14ac:dyDescent="0.2">
      <c r="A30" s="22" t="s">
        <v>12</v>
      </c>
      <c r="B30" s="34" t="s">
        <v>23</v>
      </c>
      <c r="C30" s="36">
        <f>[1]С1.1!E19</f>
        <v>0.59499999999999997</v>
      </c>
    </row>
    <row r="31" spans="1:3" ht="17.25" x14ac:dyDescent="0.2">
      <c r="A31" s="22" t="s">
        <v>14</v>
      </c>
      <c r="B31" s="34" t="s">
        <v>24</v>
      </c>
      <c r="C31" s="36">
        <f>[1]С1.1!E20</f>
        <v>-0.113</v>
      </c>
    </row>
    <row r="32" spans="1:3" ht="30" x14ac:dyDescent="0.2">
      <c r="A32" s="22" t="s">
        <v>16</v>
      </c>
      <c r="B32" s="37" t="s">
        <v>25</v>
      </c>
      <c r="C32" s="38">
        <f>[1]С1!F13</f>
        <v>176.4</v>
      </c>
    </row>
    <row r="33" spans="1:3" x14ac:dyDescent="0.2">
      <c r="A33" s="22" t="s">
        <v>18</v>
      </c>
      <c r="B33" s="37" t="s">
        <v>26</v>
      </c>
      <c r="C33" s="39">
        <f>[1]С1!F16</f>
        <v>7000</v>
      </c>
    </row>
    <row r="34" spans="1:3" ht="14.25" x14ac:dyDescent="0.2">
      <c r="A34" s="22" t="s">
        <v>27</v>
      </c>
      <c r="B34" s="40" t="s">
        <v>28</v>
      </c>
      <c r="C34" s="41">
        <f>[1]С1!F17</f>
        <v>0.72857142857142854</v>
      </c>
    </row>
    <row r="35" spans="1:3" ht="15.75" x14ac:dyDescent="0.2">
      <c r="A35" s="42" t="s">
        <v>29</v>
      </c>
      <c r="B35" s="43" t="s">
        <v>30</v>
      </c>
      <c r="C35" s="41">
        <f>[1]С1!F20</f>
        <v>21.588411179999994</v>
      </c>
    </row>
    <row r="36" spans="1:3" ht="15.75" x14ac:dyDescent="0.2">
      <c r="A36" s="42" t="s">
        <v>31</v>
      </c>
      <c r="B36" s="44" t="s">
        <v>32</v>
      </c>
      <c r="C36" s="41">
        <f>[1]С1!F21</f>
        <v>20.818139999999996</v>
      </c>
    </row>
    <row r="37" spans="1:3" ht="14.25" x14ac:dyDescent="0.2">
      <c r="A37" s="42" t="s">
        <v>33</v>
      </c>
      <c r="B37" s="45" t="s">
        <v>34</v>
      </c>
      <c r="C37" s="41">
        <f>[1]С1!F22</f>
        <v>1.0369999999999999</v>
      </c>
    </row>
    <row r="38" spans="1:3" ht="53.25" thickBot="1" x14ac:dyDescent="0.25">
      <c r="A38" s="27" t="s">
        <v>35</v>
      </c>
      <c r="B38" s="46" t="s">
        <v>36</v>
      </c>
      <c r="C38" s="47">
        <f>[1]С1!F23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[1]С2.1!E12</f>
        <v>V</v>
      </c>
    </row>
    <row r="42" spans="1:3" ht="25.5" x14ac:dyDescent="0.2">
      <c r="A42" s="22" t="s">
        <v>41</v>
      </c>
      <c r="B42" s="34" t="s">
        <v>42</v>
      </c>
      <c r="C42" s="52" t="str">
        <f>[1]С2.1!E13</f>
        <v>6 и менее баллов</v>
      </c>
    </row>
    <row r="43" spans="1:3" ht="25.5" x14ac:dyDescent="0.2">
      <c r="A43" s="22" t="s">
        <v>43</v>
      </c>
      <c r="B43" s="34" t="s">
        <v>44</v>
      </c>
      <c r="C43" s="52" t="str">
        <f>[1]С2.1!E14</f>
        <v>от 200 до 500</v>
      </c>
    </row>
    <row r="44" spans="1:3" ht="25.5" x14ac:dyDescent="0.2">
      <c r="A44" s="22" t="s">
        <v>45</v>
      </c>
      <c r="B44" s="34" t="s">
        <v>46</v>
      </c>
      <c r="C44" s="53" t="str">
        <f>[1]С2.1!E15</f>
        <v>нет</v>
      </c>
    </row>
    <row r="45" spans="1:3" ht="30" x14ac:dyDescent="0.2">
      <c r="A45" s="22" t="s">
        <v>47</v>
      </c>
      <c r="B45" s="34" t="s">
        <v>48</v>
      </c>
      <c r="C45" s="35">
        <f>[1]С2!F18</f>
        <v>32402.627334033532</v>
      </c>
    </row>
    <row r="46" spans="1:3" ht="30" x14ac:dyDescent="0.2">
      <c r="A46" s="22" t="s">
        <v>49</v>
      </c>
      <c r="B46" s="54" t="s">
        <v>50</v>
      </c>
      <c r="C46" s="35">
        <f>IF([1]С2!F19&gt;0,[1]С2!F19,[1]С2!F20)</f>
        <v>23441.524932855718</v>
      </c>
    </row>
    <row r="47" spans="1:3" ht="25.5" x14ac:dyDescent="0.2">
      <c r="A47" s="22" t="s">
        <v>51</v>
      </c>
      <c r="B47" s="55" t="s">
        <v>52</v>
      </c>
      <c r="C47" s="35">
        <f>[1]С2.1!E19</f>
        <v>-37</v>
      </c>
    </row>
    <row r="48" spans="1:3" ht="25.5" x14ac:dyDescent="0.2">
      <c r="A48" s="22" t="s">
        <v>53</v>
      </c>
      <c r="B48" s="55" t="s">
        <v>54</v>
      </c>
      <c r="C48" s="35" t="str">
        <f>[1]С2.1!E22</f>
        <v>нет</v>
      </c>
    </row>
    <row r="49" spans="1:3" ht="38.25" x14ac:dyDescent="0.2">
      <c r="A49" s="22" t="s">
        <v>55</v>
      </c>
      <c r="B49" s="56" t="s">
        <v>56</v>
      </c>
      <c r="C49" s="35">
        <f>[1]С2.2!E10</f>
        <v>1287</v>
      </c>
    </row>
    <row r="50" spans="1:3" ht="25.5" x14ac:dyDescent="0.2">
      <c r="A50" s="22" t="s">
        <v>57</v>
      </c>
      <c r="B50" s="57" t="s">
        <v>58</v>
      </c>
      <c r="C50" s="35">
        <f>[1]С2.2!E12</f>
        <v>5.97</v>
      </c>
    </row>
    <row r="51" spans="1:3" ht="52.5" x14ac:dyDescent="0.2">
      <c r="A51" s="22" t="s">
        <v>59</v>
      </c>
      <c r="B51" s="58" t="s">
        <v>60</v>
      </c>
      <c r="C51" s="35">
        <f>[1]С2.2!E13</f>
        <v>1</v>
      </c>
    </row>
    <row r="52" spans="1:3" ht="27.75" x14ac:dyDescent="0.2">
      <c r="A52" s="22" t="s">
        <v>61</v>
      </c>
      <c r="B52" s="57" t="s">
        <v>62</v>
      </c>
      <c r="C52" s="35">
        <f>[1]С2.2!E14</f>
        <v>12104</v>
      </c>
    </row>
    <row r="53" spans="1:3" ht="25.5" x14ac:dyDescent="0.2">
      <c r="A53" s="22" t="s">
        <v>63</v>
      </c>
      <c r="B53" s="58" t="s">
        <v>64</v>
      </c>
      <c r="C53" s="36">
        <f>[1]С2.2!E15</f>
        <v>4.8000000000000001E-2</v>
      </c>
    </row>
    <row r="54" spans="1:3" x14ac:dyDescent="0.2">
      <c r="A54" s="22" t="s">
        <v>65</v>
      </c>
      <c r="B54" s="58" t="s">
        <v>66</v>
      </c>
      <c r="C54" s="35">
        <f>[1]С2.2!E16</f>
        <v>1</v>
      </c>
    </row>
    <row r="55" spans="1:3" ht="15.75" x14ac:dyDescent="0.2">
      <c r="A55" s="22" t="s">
        <v>67</v>
      </c>
      <c r="B55" s="59" t="s">
        <v>68</v>
      </c>
      <c r="C55" s="35">
        <f>[1]С2!F21</f>
        <v>1</v>
      </c>
    </row>
    <row r="56" spans="1:3" ht="30" x14ac:dyDescent="0.2">
      <c r="A56" s="60" t="s">
        <v>69</v>
      </c>
      <c r="B56" s="34" t="s">
        <v>70</v>
      </c>
      <c r="C56" s="35">
        <f>[1]С2!F13</f>
        <v>169640.22915965237</v>
      </c>
    </row>
    <row r="57" spans="1:3" ht="30" x14ac:dyDescent="0.2">
      <c r="A57" s="60" t="s">
        <v>71</v>
      </c>
      <c r="B57" s="59" t="s">
        <v>72</v>
      </c>
      <c r="C57" s="35">
        <f>[1]С2!F14</f>
        <v>113455</v>
      </c>
    </row>
    <row r="58" spans="1:3" ht="15.75" x14ac:dyDescent="0.2">
      <c r="A58" s="60" t="s">
        <v>73</v>
      </c>
      <c r="B58" s="61" t="s">
        <v>74</v>
      </c>
      <c r="C58" s="41">
        <f>[1]С2!F15</f>
        <v>1.071</v>
      </c>
    </row>
    <row r="59" spans="1:3" ht="15.75" x14ac:dyDescent="0.2">
      <c r="A59" s="60" t="s">
        <v>75</v>
      </c>
      <c r="B59" s="61" t="s">
        <v>76</v>
      </c>
      <c r="C59" s="41">
        <f>[1]С2!F16</f>
        <v>1</v>
      </c>
    </row>
    <row r="60" spans="1:3" ht="17.25" x14ac:dyDescent="0.2">
      <c r="A60" s="60" t="s">
        <v>77</v>
      </c>
      <c r="B60" s="59" t="s">
        <v>78</v>
      </c>
      <c r="C60" s="35">
        <f>[1]С2!F17</f>
        <v>1.01</v>
      </c>
    </row>
    <row r="61" spans="1:3" s="64" customFormat="1" ht="14.25" x14ac:dyDescent="0.2">
      <c r="A61" s="60" t="s">
        <v>79</v>
      </c>
      <c r="B61" s="62" t="s">
        <v>80</v>
      </c>
      <c r="C61" s="63">
        <f>[1]С2!F33</f>
        <v>10</v>
      </c>
    </row>
    <row r="62" spans="1:3" ht="30" x14ac:dyDescent="0.2">
      <c r="A62" s="60" t="s">
        <v>81</v>
      </c>
      <c r="B62" s="65" t="s">
        <v>82</v>
      </c>
      <c r="C62" s="35">
        <f>[1]С2!F26</f>
        <v>1123.6482814273334</v>
      </c>
    </row>
    <row r="63" spans="1:3" ht="17.25" x14ac:dyDescent="0.2">
      <c r="A63" s="60" t="s">
        <v>83</v>
      </c>
      <c r="B63" s="54" t="s">
        <v>84</v>
      </c>
      <c r="C63" s="35">
        <f>[1]С2!F27</f>
        <v>0.19354712999999998</v>
      </c>
    </row>
    <row r="64" spans="1:3" ht="17.25" x14ac:dyDescent="0.2">
      <c r="A64" s="60" t="s">
        <v>85</v>
      </c>
      <c r="B64" s="59" t="s">
        <v>86</v>
      </c>
      <c r="C64" s="63">
        <f>[1]С2!F28</f>
        <v>4200</v>
      </c>
    </row>
    <row r="65" spans="1:3" ht="42.75" x14ac:dyDescent="0.2">
      <c r="A65" s="60" t="s">
        <v>87</v>
      </c>
      <c r="B65" s="34" t="s">
        <v>88</v>
      </c>
      <c r="C65" s="35">
        <f>[1]С2!F22</f>
        <v>35717.748653137714</v>
      </c>
    </row>
    <row r="66" spans="1:3" ht="30" x14ac:dyDescent="0.2">
      <c r="A66" s="60" t="s">
        <v>89</v>
      </c>
      <c r="B66" s="61" t="s">
        <v>90</v>
      </c>
      <c r="C66" s="35">
        <f>[1]С2!F23</f>
        <v>1990</v>
      </c>
    </row>
    <row r="67" spans="1:3" ht="30" x14ac:dyDescent="0.2">
      <c r="A67" s="60" t="s">
        <v>91</v>
      </c>
      <c r="B67" s="54" t="s">
        <v>92</v>
      </c>
      <c r="C67" s="35">
        <f>[1]С2.1!E27</f>
        <v>14307.876789999998</v>
      </c>
    </row>
    <row r="68" spans="1:3" ht="38.25" x14ac:dyDescent="0.2">
      <c r="A68" s="60" t="s">
        <v>93</v>
      </c>
      <c r="B68" s="66" t="s">
        <v>94</v>
      </c>
      <c r="C68" s="53">
        <f>[1]С2.3!E21</f>
        <v>0</v>
      </c>
    </row>
    <row r="69" spans="1:3" ht="25.5" x14ac:dyDescent="0.2">
      <c r="A69" s="60" t="s">
        <v>95</v>
      </c>
      <c r="B69" s="67" t="s">
        <v>96</v>
      </c>
      <c r="C69" s="68">
        <f>[1]С2.3!E11</f>
        <v>9.89</v>
      </c>
    </row>
    <row r="70" spans="1:3" ht="25.5" x14ac:dyDescent="0.2">
      <c r="A70" s="60" t="s">
        <v>97</v>
      </c>
      <c r="B70" s="67" t="s">
        <v>98</v>
      </c>
      <c r="C70" s="63">
        <f>[1]С2.3!E13</f>
        <v>300</v>
      </c>
    </row>
    <row r="71" spans="1:3" ht="25.5" x14ac:dyDescent="0.2">
      <c r="A71" s="60" t="s">
        <v>99</v>
      </c>
      <c r="B71" s="66" t="s">
        <v>100</v>
      </c>
      <c r="C71" s="69">
        <f>IF([1]С2.3!E22&gt;0,[1]С2.3!E22,[1]С2.3!E14)</f>
        <v>61211</v>
      </c>
    </row>
    <row r="72" spans="1:3" ht="38.25" x14ac:dyDescent="0.2">
      <c r="A72" s="60" t="s">
        <v>101</v>
      </c>
      <c r="B72" s="66" t="s">
        <v>102</v>
      </c>
      <c r="C72" s="69">
        <f>IF([1]С2.3!E23&gt;0,[1]С2.3!E23,[1]С2.3!E15)</f>
        <v>45675</v>
      </c>
    </row>
    <row r="73" spans="1:3" ht="30" x14ac:dyDescent="0.2">
      <c r="A73" s="60" t="s">
        <v>103</v>
      </c>
      <c r="B73" s="54" t="s">
        <v>104</v>
      </c>
      <c r="C73" s="35">
        <f>[1]С2.1!E28</f>
        <v>9541.9567200000001</v>
      </c>
    </row>
    <row r="74" spans="1:3" ht="38.25" x14ac:dyDescent="0.2">
      <c r="A74" s="60" t="s">
        <v>105</v>
      </c>
      <c r="B74" s="66" t="s">
        <v>106</v>
      </c>
      <c r="C74" s="53">
        <f>[1]С2.3!E25</f>
        <v>0</v>
      </c>
    </row>
    <row r="75" spans="1:3" ht="25.5" x14ac:dyDescent="0.2">
      <c r="A75" s="60" t="s">
        <v>107</v>
      </c>
      <c r="B75" s="67" t="s">
        <v>108</v>
      </c>
      <c r="C75" s="68">
        <f>[1]С2.3!E12</f>
        <v>0.56000000000000005</v>
      </c>
    </row>
    <row r="76" spans="1:3" ht="25.5" x14ac:dyDescent="0.2">
      <c r="A76" s="60" t="s">
        <v>109</v>
      </c>
      <c r="B76" s="67" t="s">
        <v>98</v>
      </c>
      <c r="C76" s="63">
        <f>[1]С2.3!E13</f>
        <v>300</v>
      </c>
    </row>
    <row r="77" spans="1:3" ht="25.5" x14ac:dyDescent="0.2">
      <c r="A77" s="60" t="s">
        <v>110</v>
      </c>
      <c r="B77" s="70" t="s">
        <v>111</v>
      </c>
      <c r="C77" s="69">
        <f>IF([1]С2.3!E26&gt;0,[1]С2.3!E26,[1]С2.3!E16)</f>
        <v>65637</v>
      </c>
    </row>
    <row r="78" spans="1:3" ht="38.25" x14ac:dyDescent="0.2">
      <c r="A78" s="60" t="s">
        <v>112</v>
      </c>
      <c r="B78" s="70" t="s">
        <v>113</v>
      </c>
      <c r="C78" s="69">
        <f>IF([1]С2.3!E27&gt;0,[1]С2.3!E27,[1]С2.3!E17)</f>
        <v>31684</v>
      </c>
    </row>
    <row r="79" spans="1:3" ht="17.25" x14ac:dyDescent="0.2">
      <c r="A79" s="60" t="s">
        <v>114</v>
      </c>
      <c r="B79" s="34" t="s">
        <v>115</v>
      </c>
      <c r="C79" s="36">
        <f>[1]С2!F29</f>
        <v>0.128978033685065</v>
      </c>
    </row>
    <row r="80" spans="1:3" ht="30" x14ac:dyDescent="0.2">
      <c r="A80" s="60" t="s">
        <v>116</v>
      </c>
      <c r="B80" s="54" t="s">
        <v>117</v>
      </c>
      <c r="C80" s="71">
        <f>[1]С2!F30</f>
        <v>0.11668498168498169</v>
      </c>
    </row>
    <row r="81" spans="1:3" ht="17.25" x14ac:dyDescent="0.2">
      <c r="A81" s="60" t="s">
        <v>118</v>
      </c>
      <c r="B81" s="72" t="s">
        <v>119</v>
      </c>
      <c r="C81" s="36">
        <f>[1]С2!F31</f>
        <v>0.13880000000000001</v>
      </c>
    </row>
    <row r="82" spans="1:3" s="64" customFormat="1" ht="18" thickBot="1" x14ac:dyDescent="0.25">
      <c r="A82" s="73" t="s">
        <v>120</v>
      </c>
      <c r="B82" s="74" t="s">
        <v>121</v>
      </c>
      <c r="C82" s="75">
        <f>[1]С2!F32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[1]С3!F14</f>
        <v>6998.3755440420418</v>
      </c>
    </row>
    <row r="86" spans="1:3" s="64" customFormat="1" ht="42.75" x14ac:dyDescent="0.2">
      <c r="A86" s="78" t="s">
        <v>126</v>
      </c>
      <c r="B86" s="54" t="s">
        <v>127</v>
      </c>
      <c r="C86" s="79">
        <f>[1]С3!F15</f>
        <v>0.2</v>
      </c>
    </row>
    <row r="87" spans="1:3" s="64" customFormat="1" ht="14.25" x14ac:dyDescent="0.2">
      <c r="A87" s="78" t="s">
        <v>128</v>
      </c>
      <c r="B87" s="80" t="s">
        <v>129</v>
      </c>
      <c r="C87" s="63">
        <f>[1]С3!F18</f>
        <v>15</v>
      </c>
    </row>
    <row r="88" spans="1:3" s="64" customFormat="1" ht="17.25" x14ac:dyDescent="0.2">
      <c r="A88" s="78" t="s">
        <v>130</v>
      </c>
      <c r="B88" s="34" t="s">
        <v>131</v>
      </c>
      <c r="C88" s="35">
        <f>[1]С3!F19</f>
        <v>3487.1555421534131</v>
      </c>
    </row>
    <row r="89" spans="1:3" s="64" customFormat="1" ht="55.5" x14ac:dyDescent="0.2">
      <c r="A89" s="78" t="s">
        <v>132</v>
      </c>
      <c r="B89" s="54" t="s">
        <v>133</v>
      </c>
      <c r="C89" s="81">
        <f>[1]С3!F20</f>
        <v>2.1999999999999999E-2</v>
      </c>
    </row>
    <row r="90" spans="1:3" s="64" customFormat="1" ht="14.25" x14ac:dyDescent="0.2">
      <c r="A90" s="78" t="s">
        <v>134</v>
      </c>
      <c r="B90" s="59" t="s">
        <v>80</v>
      </c>
      <c r="C90" s="63">
        <f>[1]С3!F21</f>
        <v>10</v>
      </c>
    </row>
    <row r="91" spans="1:3" s="64" customFormat="1" ht="17.25" x14ac:dyDescent="0.2">
      <c r="A91" s="78" t="s">
        <v>135</v>
      </c>
      <c r="B91" s="34" t="s">
        <v>136</v>
      </c>
      <c r="C91" s="35">
        <f>[1]С3!F22</f>
        <v>3.370944844282</v>
      </c>
    </row>
    <row r="92" spans="1:3" s="64" customFormat="1" ht="55.5" x14ac:dyDescent="0.2">
      <c r="A92" s="78" t="s">
        <v>137</v>
      </c>
      <c r="B92" s="54" t="s">
        <v>138</v>
      </c>
      <c r="C92" s="81">
        <f>[1]С3!F23</f>
        <v>3.0000000000000001E-3</v>
      </c>
    </row>
    <row r="93" spans="1:3" s="64" customFormat="1" ht="27.75" thickBot="1" x14ac:dyDescent="0.25">
      <c r="A93" s="82" t="s">
        <v>139</v>
      </c>
      <c r="B93" s="83" t="s">
        <v>140</v>
      </c>
      <c r="C93" s="84">
        <f>[1]С3!F24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[1]С4!F16</f>
        <v>1652.5</v>
      </c>
    </row>
    <row r="97" spans="1:3" ht="30" x14ac:dyDescent="0.2">
      <c r="A97" s="60" t="s">
        <v>145</v>
      </c>
      <c r="B97" s="59" t="s">
        <v>146</v>
      </c>
      <c r="C97" s="35">
        <f>[1]С4!F17</f>
        <v>73547</v>
      </c>
    </row>
    <row r="98" spans="1:3" ht="17.25" x14ac:dyDescent="0.2">
      <c r="A98" s="60" t="s">
        <v>147</v>
      </c>
      <c r="B98" s="59" t="s">
        <v>148</v>
      </c>
      <c r="C98" s="41">
        <f>[1]С4!F18</f>
        <v>0.02</v>
      </c>
    </row>
    <row r="99" spans="1:3" ht="30" x14ac:dyDescent="0.2">
      <c r="A99" s="60" t="s">
        <v>149</v>
      </c>
      <c r="B99" s="59" t="s">
        <v>150</v>
      </c>
      <c r="C99" s="35">
        <f>[1]С4!F19</f>
        <v>12104</v>
      </c>
    </row>
    <row r="100" spans="1:3" ht="31.5" x14ac:dyDescent="0.2">
      <c r="A100" s="60" t="s">
        <v>151</v>
      </c>
      <c r="B100" s="59" t="s">
        <v>152</v>
      </c>
      <c r="C100" s="41">
        <f>[1]С4!F20</f>
        <v>1.4999999999999999E-2</v>
      </c>
    </row>
    <row r="101" spans="1:3" ht="30" x14ac:dyDescent="0.2">
      <c r="A101" s="60" t="s">
        <v>153</v>
      </c>
      <c r="B101" s="34" t="s">
        <v>154</v>
      </c>
      <c r="C101" s="35">
        <f>[1]С4!F21</f>
        <v>1933.1949342509995</v>
      </c>
    </row>
    <row r="102" spans="1:3" ht="24" customHeight="1" x14ac:dyDescent="0.2">
      <c r="A102" s="60" t="s">
        <v>155</v>
      </c>
      <c r="B102" s="54" t="s">
        <v>156</v>
      </c>
      <c r="C102" s="86">
        <f>IF([1]С4.2!F8="да",[1]С4.2!D21,[1]С4.2!D15)</f>
        <v>0</v>
      </c>
    </row>
    <row r="103" spans="1:3" ht="68.25" x14ac:dyDescent="0.2">
      <c r="A103" s="60" t="s">
        <v>157</v>
      </c>
      <c r="B103" s="54" t="s">
        <v>158</v>
      </c>
      <c r="C103" s="35">
        <f>[1]С4!F22</f>
        <v>3.6112641666666665</v>
      </c>
    </row>
    <row r="104" spans="1:3" ht="30" x14ac:dyDescent="0.2">
      <c r="A104" s="60" t="s">
        <v>159</v>
      </c>
      <c r="B104" s="59" t="s">
        <v>160</v>
      </c>
      <c r="C104" s="35">
        <f>[1]С4!F23</f>
        <v>180</v>
      </c>
    </row>
    <row r="105" spans="1:3" ht="14.25" x14ac:dyDescent="0.2">
      <c r="A105" s="60" t="s">
        <v>161</v>
      </c>
      <c r="B105" s="54" t="s">
        <v>162</v>
      </c>
      <c r="C105" s="35">
        <f>[1]С4!F24</f>
        <v>8497.1999999999989</v>
      </c>
    </row>
    <row r="106" spans="1:3" ht="14.25" x14ac:dyDescent="0.2">
      <c r="A106" s="60" t="s">
        <v>163</v>
      </c>
      <c r="B106" s="59" t="s">
        <v>164</v>
      </c>
      <c r="C106" s="41">
        <f>[1]С4!F25</f>
        <v>0.35</v>
      </c>
    </row>
    <row r="107" spans="1:3" ht="17.25" x14ac:dyDescent="0.2">
      <c r="A107" s="60" t="s">
        <v>165</v>
      </c>
      <c r="B107" s="34" t="s">
        <v>166</v>
      </c>
      <c r="C107" s="35">
        <f>[1]С4!F26</f>
        <v>65.033670000000015</v>
      </c>
    </row>
    <row r="108" spans="1:3" ht="25.5" x14ac:dyDescent="0.2">
      <c r="A108" s="60" t="s">
        <v>167</v>
      </c>
      <c r="B108" s="54" t="s">
        <v>94</v>
      </c>
      <c r="C108" s="86">
        <f>[1]С4.3!E16</f>
        <v>0</v>
      </c>
    </row>
    <row r="109" spans="1:3" ht="25.5" x14ac:dyDescent="0.2">
      <c r="A109" s="60" t="s">
        <v>168</v>
      </c>
      <c r="B109" s="54" t="s">
        <v>169</v>
      </c>
      <c r="C109" s="35">
        <f>[1]С4.3!E17</f>
        <v>17.170000000000002</v>
      </c>
    </row>
    <row r="110" spans="1:3" ht="38.25" x14ac:dyDescent="0.2">
      <c r="A110" s="60" t="s">
        <v>170</v>
      </c>
      <c r="B110" s="54" t="s">
        <v>106</v>
      </c>
      <c r="C110" s="86">
        <f>[1]С4.3!E18</f>
        <v>0</v>
      </c>
    </row>
    <row r="111" spans="1:3" x14ac:dyDescent="0.2">
      <c r="A111" s="60" t="s">
        <v>171</v>
      </c>
      <c r="B111" s="54" t="s">
        <v>172</v>
      </c>
      <c r="C111" s="35">
        <f>[1]С4.3!E19</f>
        <v>23.62</v>
      </c>
    </row>
    <row r="112" spans="1:3" x14ac:dyDescent="0.2">
      <c r="A112" s="60" t="s">
        <v>173</v>
      </c>
      <c r="B112" s="59" t="s">
        <v>174</v>
      </c>
      <c r="C112" s="35">
        <f>[1]С4.3!E11</f>
        <v>1871</v>
      </c>
    </row>
    <row r="113" spans="1:3" x14ac:dyDescent="0.2">
      <c r="A113" s="60" t="s">
        <v>175</v>
      </c>
      <c r="B113" s="59" t="s">
        <v>176</v>
      </c>
      <c r="C113" s="53">
        <f>[1]С4.3!E12</f>
        <v>1636</v>
      </c>
    </row>
    <row r="114" spans="1:3" x14ac:dyDescent="0.2">
      <c r="A114" s="60" t="s">
        <v>177</v>
      </c>
      <c r="B114" s="59" t="s">
        <v>178</v>
      </c>
      <c r="C114" s="53">
        <f>[1]С4.3!E13</f>
        <v>204</v>
      </c>
    </row>
    <row r="115" spans="1:3" ht="30" x14ac:dyDescent="0.2">
      <c r="A115" s="60" t="s">
        <v>179</v>
      </c>
      <c r="B115" s="34" t="s">
        <v>180</v>
      </c>
      <c r="C115" s="35">
        <f>[1]С4!F27</f>
        <v>776.44759830395003</v>
      </c>
    </row>
    <row r="116" spans="1:3" ht="25.5" x14ac:dyDescent="0.2">
      <c r="A116" s="60" t="s">
        <v>181</v>
      </c>
      <c r="B116" s="54" t="s">
        <v>182</v>
      </c>
      <c r="C116" s="35">
        <f>[1]С4!F28</f>
        <v>596.34992189243474</v>
      </c>
    </row>
    <row r="117" spans="1:3" ht="42.75" x14ac:dyDescent="0.2">
      <c r="A117" s="60" t="s">
        <v>183</v>
      </c>
      <c r="B117" s="54" t="s">
        <v>184</v>
      </c>
      <c r="C117" s="35">
        <f>[1]С4!F29</f>
        <v>180.09767641151529</v>
      </c>
    </row>
    <row r="118" spans="1:3" ht="30" x14ac:dyDescent="0.2">
      <c r="A118" s="60" t="s">
        <v>185</v>
      </c>
      <c r="B118" s="40" t="s">
        <v>186</v>
      </c>
      <c r="C118" s="35">
        <f>[1]С4!F30</f>
        <v>2253.0521615214457</v>
      </c>
    </row>
    <row r="119" spans="1:3" ht="42.75" x14ac:dyDescent="0.2">
      <c r="A119" s="60" t="s">
        <v>187</v>
      </c>
      <c r="B119" s="87" t="s">
        <v>188</v>
      </c>
      <c r="C119" s="35">
        <f>[1]С4!F33</f>
        <v>1556.2386968907254</v>
      </c>
    </row>
    <row r="120" spans="1:3" ht="30" x14ac:dyDescent="0.2">
      <c r="A120" s="60" t="s">
        <v>189</v>
      </c>
      <c r="B120" s="88" t="s">
        <v>190</v>
      </c>
      <c r="C120" s="35">
        <f>[1]С4!F35</f>
        <v>17.040680999999999</v>
      </c>
    </row>
    <row r="121" spans="1:3" ht="14.25" x14ac:dyDescent="0.2">
      <c r="A121" s="60" t="s">
        <v>191</v>
      </c>
      <c r="B121" s="57" t="s">
        <v>192</v>
      </c>
      <c r="C121" s="35">
        <f>[1]С4!F36</f>
        <v>14319.9</v>
      </c>
    </row>
    <row r="122" spans="1:3" ht="28.5" thickBot="1" x14ac:dyDescent="0.25">
      <c r="A122" s="73" t="s">
        <v>193</v>
      </c>
      <c r="B122" s="89" t="s">
        <v>194</v>
      </c>
      <c r="C122" s="84">
        <f>[1]С4!F37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[1]С5!F17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[1]С2!F37</f>
        <v>20.818139999999996</v>
      </c>
    </row>
    <row r="136" spans="1:4" ht="14.25" x14ac:dyDescent="0.2">
      <c r="A136" s="60" t="s">
        <v>216</v>
      </c>
      <c r="B136" s="102" t="s">
        <v>217</v>
      </c>
      <c r="C136" s="35">
        <f>[1]С2!F38</f>
        <v>7</v>
      </c>
    </row>
    <row r="137" spans="1:4" ht="17.25" x14ac:dyDescent="0.2">
      <c r="A137" s="60" t="s">
        <v>218</v>
      </c>
      <c r="B137" s="102" t="s">
        <v>219</v>
      </c>
      <c r="C137" s="35">
        <f>[1]С2!F40</f>
        <v>0.97</v>
      </c>
    </row>
    <row r="138" spans="1:4" ht="15" thickBot="1" x14ac:dyDescent="0.25">
      <c r="A138" s="73" t="s">
        <v>220</v>
      </c>
      <c r="B138" s="103" t="s">
        <v>221</v>
      </c>
      <c r="C138" s="47">
        <f>[1]С2!F42</f>
        <v>0.35</v>
      </c>
    </row>
    <row r="139" spans="1:4" s="90" customFormat="1" ht="13.5" thickBot="1" x14ac:dyDescent="0.25">
      <c r="A139" s="48"/>
      <c r="B139" s="76"/>
      <c r="C139" s="15"/>
    </row>
    <row r="140" spans="1:4" ht="30" x14ac:dyDescent="0.2">
      <c r="A140" s="85" t="s">
        <v>222</v>
      </c>
      <c r="B140" s="104" t="s">
        <v>223</v>
      </c>
      <c r="C140" s="105">
        <f>[1]С2!F35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[1]С2.5!$E$11</f>
        <v>-2.9000000000000026E-2</v>
      </c>
      <c r="D143" s="90"/>
    </row>
    <row r="144" spans="1:4" x14ac:dyDescent="0.2">
      <c r="A144" s="107"/>
      <c r="B144" s="112">
        <f>B143+1</f>
        <v>2021</v>
      </c>
      <c r="C144" s="113">
        <f>[1]С2.5!$F$11</f>
        <v>0.245</v>
      </c>
      <c r="D144" s="90"/>
    </row>
    <row r="145" spans="1:4" x14ac:dyDescent="0.2">
      <c r="A145" s="107"/>
      <c r="B145" s="112">
        <f t="shared" ref="B145:B208" si="0">B144+1</f>
        <v>2022</v>
      </c>
      <c r="C145" s="113">
        <f>[1]С2.5!$G$11</f>
        <v>0.121</v>
      </c>
      <c r="D145" s="90"/>
    </row>
    <row r="146" spans="1:4" ht="13.5" thickBot="1" x14ac:dyDescent="0.25">
      <c r="A146" s="107"/>
      <c r="B146" s="114">
        <f t="shared" si="0"/>
        <v>2023</v>
      </c>
      <c r="C146" s="115">
        <f>[1]С2.5!$H$11</f>
        <v>0.02</v>
      </c>
      <c r="D146" s="90"/>
    </row>
    <row r="147" spans="1:4" hidden="1" x14ac:dyDescent="0.2">
      <c r="A147" s="107"/>
      <c r="B147" s="116">
        <f t="shared" si="0"/>
        <v>2024</v>
      </c>
      <c r="C147" s="117">
        <f>[1]С2.5!$I$11</f>
        <v>-2.93E-2</v>
      </c>
      <c r="D147" s="90"/>
    </row>
    <row r="148" spans="1:4" hidden="1" x14ac:dyDescent="0.2">
      <c r="A148" s="107"/>
      <c r="B148" s="112">
        <f t="shared" si="0"/>
        <v>2025</v>
      </c>
      <c r="C148" s="113">
        <f>[1]С2.5!$J$11</f>
        <v>0.21215960863291</v>
      </c>
      <c r="D148" s="90"/>
    </row>
    <row r="149" spans="1:4" hidden="1" x14ac:dyDescent="0.2">
      <c r="A149" s="107"/>
      <c r="B149" s="112">
        <f t="shared" si="0"/>
        <v>2026</v>
      </c>
      <c r="C149" s="113">
        <f>[1]С2.5!$K$11</f>
        <v>3.5813361771260002E-2</v>
      </c>
      <c r="D149" s="90"/>
    </row>
    <row r="150" spans="1:4" hidden="1" x14ac:dyDescent="0.2">
      <c r="A150" s="107"/>
      <c r="B150" s="112">
        <f t="shared" si="0"/>
        <v>2027</v>
      </c>
      <c r="C150" s="113">
        <f>[1]С2.5!$L$11</f>
        <v>3.2682303599220003E-2</v>
      </c>
      <c r="D150" s="90"/>
    </row>
    <row r="151" spans="1:4" hidden="1" x14ac:dyDescent="0.2">
      <c r="A151" s="107"/>
      <c r="B151" s="112">
        <f t="shared" si="0"/>
        <v>2028</v>
      </c>
      <c r="C151" s="113">
        <f>[1]С2.5!$M$11</f>
        <v>0</v>
      </c>
      <c r="D151" s="90"/>
    </row>
    <row r="152" spans="1:4" hidden="1" x14ac:dyDescent="0.2">
      <c r="A152" s="107"/>
      <c r="B152" s="112">
        <f t="shared" si="0"/>
        <v>2029</v>
      </c>
      <c r="C152" s="113">
        <f>[1]С2.5!$N$11</f>
        <v>0</v>
      </c>
      <c r="D152" s="90"/>
    </row>
    <row r="153" spans="1:4" hidden="1" x14ac:dyDescent="0.2">
      <c r="A153" s="107"/>
      <c r="B153" s="112">
        <f t="shared" si="0"/>
        <v>2030</v>
      </c>
      <c r="C153" s="113">
        <f>[1]С2.5!$O$11</f>
        <v>0</v>
      </c>
      <c r="D153" s="90"/>
    </row>
    <row r="154" spans="1:4" hidden="1" x14ac:dyDescent="0.2">
      <c r="A154" s="107"/>
      <c r="B154" s="112">
        <f t="shared" si="0"/>
        <v>2031</v>
      </c>
      <c r="C154" s="113">
        <f>[1]С2.5!$P$11</f>
        <v>0</v>
      </c>
      <c r="D154" s="90"/>
    </row>
    <row r="155" spans="1:4" hidden="1" x14ac:dyDescent="0.2">
      <c r="A155" s="90"/>
      <c r="B155" s="112">
        <f t="shared" si="0"/>
        <v>2032</v>
      </c>
      <c r="C155" s="113">
        <f>[1]С2.5!$Q$11</f>
        <v>0</v>
      </c>
      <c r="D155" s="90"/>
    </row>
    <row r="156" spans="1:4" hidden="1" x14ac:dyDescent="0.2">
      <c r="A156" s="90"/>
      <c r="B156" s="112">
        <f t="shared" si="0"/>
        <v>2033</v>
      </c>
      <c r="C156" s="113">
        <f>[1]С2.5!$R$11</f>
        <v>0</v>
      </c>
      <c r="D156" s="90"/>
    </row>
    <row r="157" spans="1:4" hidden="1" x14ac:dyDescent="0.2">
      <c r="B157" s="112">
        <f t="shared" si="0"/>
        <v>2034</v>
      </c>
      <c r="C157" s="113">
        <f>[1]С2.5!$S$11</f>
        <v>0</v>
      </c>
    </row>
    <row r="158" spans="1:4" hidden="1" x14ac:dyDescent="0.2">
      <c r="B158" s="112">
        <f t="shared" si="0"/>
        <v>2035</v>
      </c>
      <c r="C158" s="113">
        <f>[1]С2.5!$T$11</f>
        <v>0</v>
      </c>
    </row>
    <row r="159" spans="1:4" hidden="1" x14ac:dyDescent="0.2">
      <c r="B159" s="112">
        <f t="shared" si="0"/>
        <v>2036</v>
      </c>
      <c r="C159" s="113">
        <f>[1]С2.5!$U$11</f>
        <v>0</v>
      </c>
    </row>
    <row r="160" spans="1:4" hidden="1" x14ac:dyDescent="0.2">
      <c r="B160" s="112">
        <f t="shared" si="0"/>
        <v>2037</v>
      </c>
      <c r="C160" s="113">
        <f>[1]С2.5!$V$11</f>
        <v>0</v>
      </c>
    </row>
    <row r="161" spans="2:3" hidden="1" x14ac:dyDescent="0.2">
      <c r="B161" s="112">
        <f t="shared" si="0"/>
        <v>2038</v>
      </c>
      <c r="C161" s="113">
        <f>[1]С2.5!$W$11</f>
        <v>0</v>
      </c>
    </row>
    <row r="162" spans="2:3" hidden="1" x14ac:dyDescent="0.2">
      <c r="B162" s="112">
        <f t="shared" si="0"/>
        <v>2039</v>
      </c>
      <c r="C162" s="113">
        <f>[1]С2.5!$X$11</f>
        <v>0</v>
      </c>
    </row>
    <row r="163" spans="2:3" hidden="1" x14ac:dyDescent="0.2">
      <c r="B163" s="112">
        <f t="shared" si="0"/>
        <v>2040</v>
      </c>
      <c r="C163" s="113">
        <f>[1]С2.5!$Y$11</f>
        <v>0</v>
      </c>
    </row>
    <row r="164" spans="2:3" hidden="1" x14ac:dyDescent="0.2">
      <c r="B164" s="112">
        <f t="shared" si="0"/>
        <v>2041</v>
      </c>
      <c r="C164" s="113">
        <f>[1]С2.5!$Z$11</f>
        <v>0</v>
      </c>
    </row>
    <row r="165" spans="2:3" hidden="1" x14ac:dyDescent="0.2">
      <c r="B165" s="112">
        <f t="shared" si="0"/>
        <v>2042</v>
      </c>
      <c r="C165" s="113">
        <f>[1]С2.5!$AA$11</f>
        <v>0</v>
      </c>
    </row>
    <row r="166" spans="2:3" hidden="1" x14ac:dyDescent="0.2">
      <c r="B166" s="112">
        <f t="shared" si="0"/>
        <v>2043</v>
      </c>
      <c r="C166" s="113">
        <f>[1]С2.5!$AB$11</f>
        <v>0</v>
      </c>
    </row>
    <row r="167" spans="2:3" hidden="1" x14ac:dyDescent="0.2">
      <c r="B167" s="112">
        <f t="shared" si="0"/>
        <v>2044</v>
      </c>
      <c r="C167" s="113">
        <f>[1]С2.5!$AC$11</f>
        <v>0</v>
      </c>
    </row>
    <row r="168" spans="2:3" hidden="1" x14ac:dyDescent="0.2">
      <c r="B168" s="112">
        <f t="shared" si="0"/>
        <v>2045</v>
      </c>
      <c r="C168" s="113">
        <f>[1]С2.5!$AD$11</f>
        <v>0</v>
      </c>
    </row>
    <row r="169" spans="2:3" hidden="1" x14ac:dyDescent="0.2">
      <c r="B169" s="112">
        <f t="shared" si="0"/>
        <v>2046</v>
      </c>
      <c r="C169" s="113">
        <f>[1]С2.5!$AE$11</f>
        <v>0</v>
      </c>
    </row>
    <row r="170" spans="2:3" hidden="1" x14ac:dyDescent="0.2">
      <c r="B170" s="112">
        <f t="shared" si="0"/>
        <v>2047</v>
      </c>
      <c r="C170" s="113">
        <f>[1]С2.5!$AF$11</f>
        <v>0</v>
      </c>
    </row>
    <row r="171" spans="2:3" hidden="1" x14ac:dyDescent="0.2">
      <c r="B171" s="112">
        <f t="shared" si="0"/>
        <v>2048</v>
      </c>
      <c r="C171" s="113">
        <f>[1]С2.5!$AG$11</f>
        <v>0</v>
      </c>
    </row>
    <row r="172" spans="2:3" hidden="1" x14ac:dyDescent="0.2">
      <c r="B172" s="112">
        <f t="shared" si="0"/>
        <v>2049</v>
      </c>
      <c r="C172" s="113">
        <f>[1]С2.5!$AH$11</f>
        <v>0</v>
      </c>
    </row>
    <row r="173" spans="2:3" hidden="1" x14ac:dyDescent="0.2">
      <c r="B173" s="112">
        <f t="shared" si="0"/>
        <v>2050</v>
      </c>
      <c r="C173" s="113">
        <f>[1]С2.5!$AI$11</f>
        <v>0</v>
      </c>
    </row>
    <row r="174" spans="2:3" hidden="1" x14ac:dyDescent="0.2">
      <c r="B174" s="112">
        <f t="shared" si="0"/>
        <v>2051</v>
      </c>
      <c r="C174" s="113">
        <f>[1]С2.5!$AJ$11</f>
        <v>0</v>
      </c>
    </row>
    <row r="175" spans="2:3" hidden="1" x14ac:dyDescent="0.2">
      <c r="B175" s="112">
        <f t="shared" si="0"/>
        <v>2052</v>
      </c>
      <c r="C175" s="113">
        <f>[1]С2.5!$AK$11</f>
        <v>0</v>
      </c>
    </row>
    <row r="176" spans="2:3" hidden="1" x14ac:dyDescent="0.2">
      <c r="B176" s="112">
        <f t="shared" si="0"/>
        <v>2053</v>
      </c>
      <c r="C176" s="113">
        <f>[1]С2.5!$AL$11</f>
        <v>0</v>
      </c>
    </row>
    <row r="177" spans="2:3" hidden="1" x14ac:dyDescent="0.2">
      <c r="B177" s="112">
        <f t="shared" si="0"/>
        <v>2054</v>
      </c>
      <c r="C177" s="113">
        <f>[1]С2.5!$AM$11</f>
        <v>0</v>
      </c>
    </row>
    <row r="178" spans="2:3" hidden="1" x14ac:dyDescent="0.2">
      <c r="B178" s="112">
        <f t="shared" si="0"/>
        <v>2055</v>
      </c>
      <c r="C178" s="113">
        <f>[1]С2.5!$AN$11</f>
        <v>0</v>
      </c>
    </row>
    <row r="179" spans="2:3" hidden="1" x14ac:dyDescent="0.2">
      <c r="B179" s="112">
        <f t="shared" si="0"/>
        <v>2056</v>
      </c>
      <c r="C179" s="113">
        <f>[1]С2.5!$AO$11</f>
        <v>0</v>
      </c>
    </row>
    <row r="180" spans="2:3" hidden="1" x14ac:dyDescent="0.2">
      <c r="B180" s="112">
        <f t="shared" si="0"/>
        <v>2057</v>
      </c>
      <c r="C180" s="113">
        <f>[1]С2.5!$AP$11</f>
        <v>0</v>
      </c>
    </row>
    <row r="181" spans="2:3" hidden="1" x14ac:dyDescent="0.2">
      <c r="B181" s="112">
        <f t="shared" si="0"/>
        <v>2058</v>
      </c>
      <c r="C181" s="113">
        <f>[1]С2.5!$AQ$11</f>
        <v>0</v>
      </c>
    </row>
    <row r="182" spans="2:3" hidden="1" x14ac:dyDescent="0.2">
      <c r="B182" s="112">
        <f t="shared" si="0"/>
        <v>2059</v>
      </c>
      <c r="C182" s="113">
        <f>[1]С2.5!$AR$11</f>
        <v>0</v>
      </c>
    </row>
    <row r="183" spans="2:3" hidden="1" x14ac:dyDescent="0.2">
      <c r="B183" s="112">
        <f t="shared" si="0"/>
        <v>2060</v>
      </c>
      <c r="C183" s="113">
        <f>[1]С2.5!$AS$11</f>
        <v>0</v>
      </c>
    </row>
    <row r="184" spans="2:3" hidden="1" x14ac:dyDescent="0.2">
      <c r="B184" s="112">
        <f t="shared" si="0"/>
        <v>2061</v>
      </c>
      <c r="C184" s="113">
        <f>[1]С2.5!$AT$11</f>
        <v>0</v>
      </c>
    </row>
    <row r="185" spans="2:3" hidden="1" x14ac:dyDescent="0.2">
      <c r="B185" s="112">
        <f t="shared" si="0"/>
        <v>2062</v>
      </c>
      <c r="C185" s="113">
        <f>[1]С2.5!$AU$11</f>
        <v>0</v>
      </c>
    </row>
    <row r="186" spans="2:3" hidden="1" x14ac:dyDescent="0.2">
      <c r="B186" s="112">
        <f t="shared" si="0"/>
        <v>2063</v>
      </c>
      <c r="C186" s="113">
        <f>[1]С2.5!$AV$11</f>
        <v>0</v>
      </c>
    </row>
    <row r="187" spans="2:3" hidden="1" x14ac:dyDescent="0.2">
      <c r="B187" s="112">
        <f t="shared" si="0"/>
        <v>2064</v>
      </c>
      <c r="C187" s="113">
        <f>[1]С2.5!$AW$11</f>
        <v>0</v>
      </c>
    </row>
    <row r="188" spans="2:3" hidden="1" x14ac:dyDescent="0.2">
      <c r="B188" s="112">
        <f t="shared" si="0"/>
        <v>2065</v>
      </c>
      <c r="C188" s="113">
        <f>[1]С2.5!$AX$11</f>
        <v>0</v>
      </c>
    </row>
    <row r="189" spans="2:3" hidden="1" x14ac:dyDescent="0.2">
      <c r="B189" s="112">
        <f t="shared" si="0"/>
        <v>2066</v>
      </c>
      <c r="C189" s="113">
        <f>[1]С2.5!$AY$11</f>
        <v>0</v>
      </c>
    </row>
    <row r="190" spans="2:3" hidden="1" x14ac:dyDescent="0.2">
      <c r="B190" s="112">
        <f t="shared" si="0"/>
        <v>2067</v>
      </c>
      <c r="C190" s="113">
        <f>[1]С2.5!$AZ$11</f>
        <v>0</v>
      </c>
    </row>
    <row r="191" spans="2:3" hidden="1" x14ac:dyDescent="0.2">
      <c r="B191" s="112">
        <f t="shared" si="0"/>
        <v>2068</v>
      </c>
      <c r="C191" s="113">
        <f>[1]С2.5!$BA$11</f>
        <v>0</v>
      </c>
    </row>
    <row r="192" spans="2:3" hidden="1" x14ac:dyDescent="0.2">
      <c r="B192" s="112">
        <f t="shared" si="0"/>
        <v>2069</v>
      </c>
      <c r="C192" s="113">
        <f>[1]С2.5!$BB$11</f>
        <v>0</v>
      </c>
    </row>
    <row r="193" spans="2:3" hidden="1" x14ac:dyDescent="0.2">
      <c r="B193" s="112">
        <f t="shared" si="0"/>
        <v>2070</v>
      </c>
      <c r="C193" s="113">
        <f>[1]С2.5!$BC$11</f>
        <v>0</v>
      </c>
    </row>
    <row r="194" spans="2:3" hidden="1" x14ac:dyDescent="0.2">
      <c r="B194" s="112">
        <f t="shared" si="0"/>
        <v>2071</v>
      </c>
      <c r="C194" s="113">
        <f>[1]С2.5!$BD$11</f>
        <v>0</v>
      </c>
    </row>
    <row r="195" spans="2:3" hidden="1" x14ac:dyDescent="0.2">
      <c r="B195" s="112">
        <f t="shared" si="0"/>
        <v>2072</v>
      </c>
      <c r="C195" s="113">
        <f>[1]С2.5!$BE$11</f>
        <v>0</v>
      </c>
    </row>
    <row r="196" spans="2:3" hidden="1" x14ac:dyDescent="0.2">
      <c r="B196" s="112">
        <f t="shared" si="0"/>
        <v>2073</v>
      </c>
      <c r="C196" s="113">
        <f>[1]С2.5!$BF$11</f>
        <v>0</v>
      </c>
    </row>
    <row r="197" spans="2:3" hidden="1" x14ac:dyDescent="0.2">
      <c r="B197" s="112">
        <f t="shared" si="0"/>
        <v>2074</v>
      </c>
      <c r="C197" s="113">
        <f>[1]С2.5!$BG$11</f>
        <v>0</v>
      </c>
    </row>
    <row r="198" spans="2:3" hidden="1" x14ac:dyDescent="0.2">
      <c r="B198" s="112">
        <f t="shared" si="0"/>
        <v>2075</v>
      </c>
      <c r="C198" s="113">
        <f>[1]С2.5!$BH$11</f>
        <v>0</v>
      </c>
    </row>
    <row r="199" spans="2:3" hidden="1" x14ac:dyDescent="0.2">
      <c r="B199" s="112">
        <f t="shared" si="0"/>
        <v>2076</v>
      </c>
      <c r="C199" s="113">
        <f>[1]С2.5!$BI$11</f>
        <v>0</v>
      </c>
    </row>
    <row r="200" spans="2:3" hidden="1" x14ac:dyDescent="0.2">
      <c r="B200" s="112">
        <f t="shared" si="0"/>
        <v>2077</v>
      </c>
      <c r="C200" s="113">
        <f>[1]С2.5!$BJ$11</f>
        <v>0</v>
      </c>
    </row>
    <row r="201" spans="2:3" hidden="1" x14ac:dyDescent="0.2">
      <c r="B201" s="112">
        <f t="shared" si="0"/>
        <v>2078</v>
      </c>
      <c r="C201" s="113">
        <f>[1]С2.5!$BK$11</f>
        <v>0</v>
      </c>
    </row>
    <row r="202" spans="2:3" hidden="1" x14ac:dyDescent="0.2">
      <c r="B202" s="112">
        <f t="shared" si="0"/>
        <v>2079</v>
      </c>
      <c r="C202" s="113">
        <f>[1]С2.5!$BL$11</f>
        <v>0</v>
      </c>
    </row>
    <row r="203" spans="2:3" hidden="1" x14ac:dyDescent="0.2">
      <c r="B203" s="112">
        <f t="shared" si="0"/>
        <v>2080</v>
      </c>
      <c r="C203" s="113">
        <f>[1]С2.5!$BM$11</f>
        <v>0</v>
      </c>
    </row>
    <row r="204" spans="2:3" hidden="1" x14ac:dyDescent="0.2">
      <c r="B204" s="112">
        <f t="shared" si="0"/>
        <v>2081</v>
      </c>
      <c r="C204" s="113">
        <f>[1]С2.5!$BN$11</f>
        <v>0</v>
      </c>
    </row>
    <row r="205" spans="2:3" hidden="1" x14ac:dyDescent="0.2">
      <c r="B205" s="112">
        <f t="shared" si="0"/>
        <v>2082</v>
      </c>
      <c r="C205" s="113">
        <f>[1]С2.5!$BO$11</f>
        <v>0</v>
      </c>
    </row>
    <row r="206" spans="2:3" hidden="1" x14ac:dyDescent="0.2">
      <c r="B206" s="112">
        <f t="shared" si="0"/>
        <v>2083</v>
      </c>
      <c r="C206" s="113">
        <f>[1]С2.5!$BP$11</f>
        <v>0</v>
      </c>
    </row>
    <row r="207" spans="2:3" hidden="1" x14ac:dyDescent="0.2">
      <c r="B207" s="112">
        <f t="shared" si="0"/>
        <v>2084</v>
      </c>
      <c r="C207" s="113">
        <f>[1]С2.5!$BQ$11</f>
        <v>0</v>
      </c>
    </row>
    <row r="208" spans="2:3" hidden="1" x14ac:dyDescent="0.2">
      <c r="B208" s="112">
        <f t="shared" si="0"/>
        <v>2085</v>
      </c>
      <c r="C208" s="113">
        <f>[1]С2.5!$BR$11</f>
        <v>0</v>
      </c>
    </row>
    <row r="209" spans="2:3" hidden="1" x14ac:dyDescent="0.2">
      <c r="B209" s="112">
        <f t="shared" ref="B209:B223" si="1">B208+1</f>
        <v>2086</v>
      </c>
      <c r="C209" s="113">
        <f>[1]С2.5!$BS$11</f>
        <v>0</v>
      </c>
    </row>
    <row r="210" spans="2:3" hidden="1" x14ac:dyDescent="0.2">
      <c r="B210" s="112">
        <f t="shared" si="1"/>
        <v>2087</v>
      </c>
      <c r="C210" s="113">
        <f>[1]С2.5!$BT$11</f>
        <v>0</v>
      </c>
    </row>
    <row r="211" spans="2:3" hidden="1" x14ac:dyDescent="0.2">
      <c r="B211" s="112">
        <f t="shared" si="1"/>
        <v>2088</v>
      </c>
      <c r="C211" s="113">
        <f>[1]С2.5!$BU$11</f>
        <v>0</v>
      </c>
    </row>
    <row r="212" spans="2:3" hidden="1" x14ac:dyDescent="0.2">
      <c r="B212" s="112">
        <f t="shared" si="1"/>
        <v>2089</v>
      </c>
      <c r="C212" s="113">
        <f>[1]С2.5!$BV$11</f>
        <v>0</v>
      </c>
    </row>
    <row r="213" spans="2:3" hidden="1" x14ac:dyDescent="0.2">
      <c r="B213" s="112">
        <f t="shared" si="1"/>
        <v>2090</v>
      </c>
      <c r="C213" s="113">
        <f>[1]С2.5!$BW$11</f>
        <v>0</v>
      </c>
    </row>
    <row r="214" spans="2:3" hidden="1" x14ac:dyDescent="0.2">
      <c r="B214" s="112">
        <f t="shared" si="1"/>
        <v>2091</v>
      </c>
      <c r="C214" s="113">
        <f>[1]С2.5!$BX$11</f>
        <v>0</v>
      </c>
    </row>
    <row r="215" spans="2:3" hidden="1" x14ac:dyDescent="0.2">
      <c r="B215" s="112">
        <f t="shared" si="1"/>
        <v>2092</v>
      </c>
      <c r="C215" s="113">
        <f>[1]С2.5!$BY$11</f>
        <v>0</v>
      </c>
    </row>
    <row r="216" spans="2:3" hidden="1" x14ac:dyDescent="0.2">
      <c r="B216" s="112">
        <f t="shared" si="1"/>
        <v>2093</v>
      </c>
      <c r="C216" s="113">
        <f>[1]С2.5!$BZ$11</f>
        <v>0</v>
      </c>
    </row>
    <row r="217" spans="2:3" hidden="1" x14ac:dyDescent="0.2">
      <c r="B217" s="112">
        <f t="shared" si="1"/>
        <v>2094</v>
      </c>
      <c r="C217" s="113">
        <f>[1]С2.5!$CA$11</f>
        <v>0</v>
      </c>
    </row>
    <row r="218" spans="2:3" hidden="1" x14ac:dyDescent="0.2">
      <c r="B218" s="112">
        <f t="shared" si="1"/>
        <v>2095</v>
      </c>
      <c r="C218" s="113">
        <f>[1]С2.5!$CB$11</f>
        <v>0</v>
      </c>
    </row>
    <row r="219" spans="2:3" hidden="1" x14ac:dyDescent="0.2">
      <c r="B219" s="112">
        <f t="shared" si="1"/>
        <v>2096</v>
      </c>
      <c r="C219" s="113">
        <f>[1]С2.5!$CC$11</f>
        <v>0</v>
      </c>
    </row>
    <row r="220" spans="2:3" hidden="1" x14ac:dyDescent="0.2">
      <c r="B220" s="112">
        <f t="shared" si="1"/>
        <v>2097</v>
      </c>
      <c r="C220" s="113">
        <f>[1]С2.5!$CD$11</f>
        <v>0</v>
      </c>
    </row>
    <row r="221" spans="2:3" hidden="1" x14ac:dyDescent="0.2">
      <c r="B221" s="112">
        <f t="shared" si="1"/>
        <v>2098</v>
      </c>
      <c r="C221" s="113">
        <f>[1]С2.5!$CE$11</f>
        <v>0</v>
      </c>
    </row>
    <row r="222" spans="2:3" hidden="1" x14ac:dyDescent="0.2">
      <c r="B222" s="112">
        <f t="shared" si="1"/>
        <v>2099</v>
      </c>
      <c r="C222" s="113">
        <f>[1]С2.5!$CF$11</f>
        <v>0</v>
      </c>
    </row>
    <row r="223" spans="2:3" ht="13.5" hidden="1" thickBot="1" x14ac:dyDescent="0.25">
      <c r="B223" s="114">
        <f t="shared" si="1"/>
        <v>2100</v>
      </c>
      <c r="C223" s="115">
        <f>[1]С2.5!$CG$11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1]!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[19]И1!D13</f>
        <v>Субъект Российской Федерации</v>
      </c>
      <c r="C4" s="10" t="str">
        <f>[19]И1!E13</f>
        <v>Новосибирская область</v>
      </c>
    </row>
    <row r="5" spans="1:3" ht="38.25" x14ac:dyDescent="0.2">
      <c r="A5" s="8"/>
      <c r="B5" s="9" t="str">
        <f>[19]И1!D14</f>
        <v>Тип муниципального образования (выберите из списка)</v>
      </c>
      <c r="C5" s="10" t="str">
        <f>[19]И1!E14</f>
        <v xml:space="preserve">село Лотошное, Краснозерский муниципальный район </v>
      </c>
    </row>
    <row r="6" spans="1:3" x14ac:dyDescent="0.2">
      <c r="A6" s="8"/>
      <c r="B6" s="9" t="str">
        <f>IF([19]И1!E15="","",[19]И1!D15)</f>
        <v/>
      </c>
      <c r="C6" s="10" t="str">
        <f>IF([19]И1!E15="","",[19]И1!E15)</f>
        <v/>
      </c>
    </row>
    <row r="7" spans="1:3" x14ac:dyDescent="0.2">
      <c r="A7" s="8"/>
      <c r="B7" s="9" t="str">
        <f>[19]И1!D16</f>
        <v>Код ОКТМО</v>
      </c>
      <c r="C7" s="11" t="str">
        <f>[19]И1!E16</f>
        <v>(50627420101)</v>
      </c>
    </row>
    <row r="8" spans="1:3" x14ac:dyDescent="0.2">
      <c r="A8" s="8"/>
      <c r="B8" s="12" t="str">
        <f>[19]И1!D17</f>
        <v>Система теплоснабжения</v>
      </c>
      <c r="C8" s="13">
        <f>[19]И1!E17</f>
        <v>0</v>
      </c>
    </row>
    <row r="9" spans="1:3" x14ac:dyDescent="0.2">
      <c r="A9" s="8"/>
      <c r="B9" s="9" t="str">
        <f>[19]И1!D8</f>
        <v>Период регулирования (i)-й</v>
      </c>
      <c r="C9" s="14">
        <f>[19]И1!E8</f>
        <v>2023</v>
      </c>
    </row>
    <row r="10" spans="1:3" x14ac:dyDescent="0.2">
      <c r="A10" s="8"/>
      <c r="B10" s="9" t="str">
        <f>[19]И1!D9</f>
        <v>Период регулирования (i-1)-й</v>
      </c>
      <c r="C10" s="14">
        <f>[19]И1!E9</f>
        <v>2022</v>
      </c>
    </row>
    <row r="11" spans="1:3" x14ac:dyDescent="0.2">
      <c r="A11" s="8"/>
      <c r="B11" s="9" t="str">
        <f>[19]И1!D10</f>
        <v>Период регулирования (i-2)-й</v>
      </c>
      <c r="C11" s="14">
        <f>[19]И1!E10</f>
        <v>2021</v>
      </c>
    </row>
    <row r="12" spans="1:3" x14ac:dyDescent="0.2">
      <c r="A12" s="8"/>
      <c r="B12" s="9" t="str">
        <f>[19]И1!D11</f>
        <v>Базовый год (б)</v>
      </c>
      <c r="C12" s="14">
        <f>[19]И1!E11</f>
        <v>2019</v>
      </c>
    </row>
    <row r="13" spans="1:3" ht="38.25" x14ac:dyDescent="0.2">
      <c r="A13" s="8"/>
      <c r="B13" s="9" t="str">
        <f>[19]И1!D18</f>
        <v>Вид топлива, использование которого преобладает в системе теплоснабжения</v>
      </c>
      <c r="C13" s="15" t="str">
        <f>[19]С1.1!E13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4002.890431642671</v>
      </c>
    </row>
    <row r="18" spans="1:3" ht="42.75" x14ac:dyDescent="0.2">
      <c r="A18" s="22" t="s">
        <v>8</v>
      </c>
      <c r="B18" s="25" t="s">
        <v>9</v>
      </c>
      <c r="C18" s="26">
        <f>[19]С1!F12</f>
        <v>922.33326199623832</v>
      </c>
    </row>
    <row r="19" spans="1:3" ht="42.75" x14ac:dyDescent="0.2">
      <c r="A19" s="22" t="s">
        <v>10</v>
      </c>
      <c r="B19" s="25" t="s">
        <v>11</v>
      </c>
      <c r="C19" s="26">
        <f>[19]С2!F12</f>
        <v>2106.0579468653982</v>
      </c>
    </row>
    <row r="20" spans="1:3" ht="30" x14ac:dyDescent="0.2">
      <c r="A20" s="22" t="s">
        <v>12</v>
      </c>
      <c r="B20" s="25" t="s">
        <v>13</v>
      </c>
      <c r="C20" s="26">
        <f>[19]С3!F12</f>
        <v>503.83473408478085</v>
      </c>
    </row>
    <row r="21" spans="1:3" ht="42.75" x14ac:dyDescent="0.2">
      <c r="A21" s="22" t="s">
        <v>14</v>
      </c>
      <c r="B21" s="25" t="s">
        <v>15</v>
      </c>
      <c r="C21" s="26">
        <f>[19]С4!F12</f>
        <v>392.17644101698551</v>
      </c>
    </row>
    <row r="22" spans="1:3" ht="30" x14ac:dyDescent="0.2">
      <c r="A22" s="22" t="s">
        <v>16</v>
      </c>
      <c r="B22" s="25" t="s">
        <v>17</v>
      </c>
      <c r="C22" s="26">
        <f>[19]С5!F12</f>
        <v>78.488047679268064</v>
      </c>
    </row>
    <row r="23" spans="1:3" ht="43.5" thickBot="1" x14ac:dyDescent="0.25">
      <c r="A23" s="27" t="s">
        <v>18</v>
      </c>
      <c r="B23" s="120" t="s">
        <v>19</v>
      </c>
      <c r="C23" s="29" t="str">
        <f>[19]С6!F12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[19]С1.1!E16</f>
        <v>5100</v>
      </c>
    </row>
    <row r="29" spans="1:3" ht="42.75" x14ac:dyDescent="0.2">
      <c r="A29" s="22" t="s">
        <v>10</v>
      </c>
      <c r="B29" s="34" t="s">
        <v>22</v>
      </c>
      <c r="C29" s="35">
        <f>[19]С1.1!E27</f>
        <v>2480</v>
      </c>
    </row>
    <row r="30" spans="1:3" ht="17.25" x14ac:dyDescent="0.2">
      <c r="A30" s="22" t="s">
        <v>12</v>
      </c>
      <c r="B30" s="34" t="s">
        <v>23</v>
      </c>
      <c r="C30" s="36">
        <f>[19]С1.1!E19</f>
        <v>0.59499999999999997</v>
      </c>
    </row>
    <row r="31" spans="1:3" ht="17.25" x14ac:dyDescent="0.2">
      <c r="A31" s="22" t="s">
        <v>14</v>
      </c>
      <c r="B31" s="34" t="s">
        <v>24</v>
      </c>
      <c r="C31" s="36">
        <f>[19]С1.1!E20</f>
        <v>-0.113</v>
      </c>
    </row>
    <row r="32" spans="1:3" ht="30" x14ac:dyDescent="0.2">
      <c r="A32" s="22" t="s">
        <v>16</v>
      </c>
      <c r="B32" s="37" t="s">
        <v>25</v>
      </c>
      <c r="C32" s="38">
        <f>[19]С1!F13</f>
        <v>176.4</v>
      </c>
    </row>
    <row r="33" spans="1:3" x14ac:dyDescent="0.2">
      <c r="A33" s="22" t="s">
        <v>18</v>
      </c>
      <c r="B33" s="37" t="s">
        <v>26</v>
      </c>
      <c r="C33" s="39">
        <f>[19]С1!F16</f>
        <v>7000</v>
      </c>
    </row>
    <row r="34" spans="1:3" ht="14.25" x14ac:dyDescent="0.2">
      <c r="A34" s="22" t="s">
        <v>27</v>
      </c>
      <c r="B34" s="40" t="s">
        <v>28</v>
      </c>
      <c r="C34" s="41">
        <f>[19]С1!F17</f>
        <v>0.72857142857142854</v>
      </c>
    </row>
    <row r="35" spans="1:3" ht="15.75" x14ac:dyDescent="0.2">
      <c r="A35" s="42" t="s">
        <v>29</v>
      </c>
      <c r="B35" s="43" t="s">
        <v>30</v>
      </c>
      <c r="C35" s="41">
        <f>[19]С1!F20</f>
        <v>21.588411179999994</v>
      </c>
    </row>
    <row r="36" spans="1:3" ht="15.75" x14ac:dyDescent="0.2">
      <c r="A36" s="42" t="s">
        <v>31</v>
      </c>
      <c r="B36" s="44" t="s">
        <v>32</v>
      </c>
      <c r="C36" s="41">
        <f>[19]С1!F21</f>
        <v>20.818139999999996</v>
      </c>
    </row>
    <row r="37" spans="1:3" ht="14.25" x14ac:dyDescent="0.2">
      <c r="A37" s="42" t="s">
        <v>33</v>
      </c>
      <c r="B37" s="45" t="s">
        <v>34</v>
      </c>
      <c r="C37" s="41">
        <f>[19]С1!F22</f>
        <v>1.0369999999999999</v>
      </c>
    </row>
    <row r="38" spans="1:3" ht="53.25" thickBot="1" x14ac:dyDescent="0.25">
      <c r="A38" s="27" t="s">
        <v>35</v>
      </c>
      <c r="B38" s="46" t="s">
        <v>36</v>
      </c>
      <c r="C38" s="47">
        <f>[19]С1!F23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[19]С2.1!E12</f>
        <v>V</v>
      </c>
    </row>
    <row r="42" spans="1:3" ht="25.5" x14ac:dyDescent="0.2">
      <c r="A42" s="22" t="s">
        <v>41</v>
      </c>
      <c r="B42" s="34" t="s">
        <v>42</v>
      </c>
      <c r="C42" s="52" t="str">
        <f>[19]С2.1!E13</f>
        <v>6 и менее баллов</v>
      </c>
    </row>
    <row r="43" spans="1:3" ht="25.5" x14ac:dyDescent="0.2">
      <c r="A43" s="22" t="s">
        <v>43</v>
      </c>
      <c r="B43" s="34" t="s">
        <v>44</v>
      </c>
      <c r="C43" s="52" t="str">
        <f>[19]С2.1!E14</f>
        <v>от 200 до 500</v>
      </c>
    </row>
    <row r="44" spans="1:3" ht="25.5" x14ac:dyDescent="0.2">
      <c r="A44" s="22" t="s">
        <v>45</v>
      </c>
      <c r="B44" s="34" t="s">
        <v>46</v>
      </c>
      <c r="C44" s="53" t="str">
        <f>[19]С2.1!E15</f>
        <v>нет</v>
      </c>
    </row>
    <row r="45" spans="1:3" ht="30" x14ac:dyDescent="0.2">
      <c r="A45" s="22" t="s">
        <v>47</v>
      </c>
      <c r="B45" s="34" t="s">
        <v>48</v>
      </c>
      <c r="C45" s="35">
        <f>[19]С2!F18</f>
        <v>32402.627334033532</v>
      </c>
    </row>
    <row r="46" spans="1:3" ht="30" x14ac:dyDescent="0.2">
      <c r="A46" s="22" t="s">
        <v>49</v>
      </c>
      <c r="B46" s="54" t="s">
        <v>50</v>
      </c>
      <c r="C46" s="35">
        <f>IF([19]С2!F19&gt;0,[19]С2!F19,[19]С2!F20)</f>
        <v>23441.524932855718</v>
      </c>
    </row>
    <row r="47" spans="1:3" ht="25.5" x14ac:dyDescent="0.2">
      <c r="A47" s="22" t="s">
        <v>51</v>
      </c>
      <c r="B47" s="55" t="s">
        <v>52</v>
      </c>
      <c r="C47" s="35">
        <f>[19]С2.1!E19</f>
        <v>-37</v>
      </c>
    </row>
    <row r="48" spans="1:3" ht="25.5" x14ac:dyDescent="0.2">
      <c r="A48" s="22" t="s">
        <v>53</v>
      </c>
      <c r="B48" s="55" t="s">
        <v>54</v>
      </c>
      <c r="C48" s="35" t="str">
        <f>[19]С2.1!E22</f>
        <v>нет</v>
      </c>
    </row>
    <row r="49" spans="1:3" ht="38.25" x14ac:dyDescent="0.2">
      <c r="A49" s="22" t="s">
        <v>55</v>
      </c>
      <c r="B49" s="56" t="s">
        <v>56</v>
      </c>
      <c r="C49" s="35">
        <f>[19]С2.2!E10</f>
        <v>1287</v>
      </c>
    </row>
    <row r="50" spans="1:3" ht="25.5" x14ac:dyDescent="0.2">
      <c r="A50" s="22" t="s">
        <v>57</v>
      </c>
      <c r="B50" s="57" t="s">
        <v>58</v>
      </c>
      <c r="C50" s="35">
        <f>[19]С2.2!E12</f>
        <v>5.97</v>
      </c>
    </row>
    <row r="51" spans="1:3" ht="52.5" x14ac:dyDescent="0.2">
      <c r="A51" s="22" t="s">
        <v>59</v>
      </c>
      <c r="B51" s="58" t="s">
        <v>60</v>
      </c>
      <c r="C51" s="35">
        <f>[19]С2.2!E13</f>
        <v>1</v>
      </c>
    </row>
    <row r="52" spans="1:3" ht="27.75" x14ac:dyDescent="0.2">
      <c r="A52" s="22" t="s">
        <v>61</v>
      </c>
      <c r="B52" s="57" t="s">
        <v>62</v>
      </c>
      <c r="C52" s="35">
        <f>[19]С2.2!E14</f>
        <v>12104</v>
      </c>
    </row>
    <row r="53" spans="1:3" ht="25.5" x14ac:dyDescent="0.2">
      <c r="A53" s="22" t="s">
        <v>63</v>
      </c>
      <c r="B53" s="58" t="s">
        <v>64</v>
      </c>
      <c r="C53" s="36">
        <f>[19]С2.2!E15</f>
        <v>4.8000000000000001E-2</v>
      </c>
    </row>
    <row r="54" spans="1:3" x14ac:dyDescent="0.2">
      <c r="A54" s="22" t="s">
        <v>65</v>
      </c>
      <c r="B54" s="58" t="s">
        <v>66</v>
      </c>
      <c r="C54" s="35">
        <f>[19]С2.2!E16</f>
        <v>1</v>
      </c>
    </row>
    <row r="55" spans="1:3" ht="15.75" x14ac:dyDescent="0.2">
      <c r="A55" s="22" t="s">
        <v>67</v>
      </c>
      <c r="B55" s="59" t="s">
        <v>68</v>
      </c>
      <c r="C55" s="35">
        <f>[19]С2!F21</f>
        <v>1</v>
      </c>
    </row>
    <row r="56" spans="1:3" ht="30" x14ac:dyDescent="0.2">
      <c r="A56" s="60" t="s">
        <v>69</v>
      </c>
      <c r="B56" s="34" t="s">
        <v>70</v>
      </c>
      <c r="C56" s="35">
        <f>[19]С2!F13</f>
        <v>169640.22915965237</v>
      </c>
    </row>
    <row r="57" spans="1:3" ht="30" x14ac:dyDescent="0.2">
      <c r="A57" s="60" t="s">
        <v>71</v>
      </c>
      <c r="B57" s="59" t="s">
        <v>72</v>
      </c>
      <c r="C57" s="35">
        <f>[19]С2!F14</f>
        <v>113455</v>
      </c>
    </row>
    <row r="58" spans="1:3" ht="15.75" x14ac:dyDescent="0.2">
      <c r="A58" s="60" t="s">
        <v>73</v>
      </c>
      <c r="B58" s="61" t="s">
        <v>74</v>
      </c>
      <c r="C58" s="41">
        <f>[19]С2!F15</f>
        <v>1.071</v>
      </c>
    </row>
    <row r="59" spans="1:3" ht="15.75" x14ac:dyDescent="0.2">
      <c r="A59" s="60" t="s">
        <v>75</v>
      </c>
      <c r="B59" s="61" t="s">
        <v>76</v>
      </c>
      <c r="C59" s="41">
        <f>[19]С2!F16</f>
        <v>1</v>
      </c>
    </row>
    <row r="60" spans="1:3" ht="17.25" x14ac:dyDescent="0.2">
      <c r="A60" s="60" t="s">
        <v>77</v>
      </c>
      <c r="B60" s="59" t="s">
        <v>78</v>
      </c>
      <c r="C60" s="35">
        <f>[19]С2!F17</f>
        <v>1.01</v>
      </c>
    </row>
    <row r="61" spans="1:3" s="64" customFormat="1" ht="14.25" x14ac:dyDescent="0.2">
      <c r="A61" s="60" t="s">
        <v>79</v>
      </c>
      <c r="B61" s="62" t="s">
        <v>80</v>
      </c>
      <c r="C61" s="63">
        <f>[19]С2!F33</f>
        <v>10</v>
      </c>
    </row>
    <row r="62" spans="1:3" ht="30" x14ac:dyDescent="0.2">
      <c r="A62" s="60" t="s">
        <v>81</v>
      </c>
      <c r="B62" s="65" t="s">
        <v>82</v>
      </c>
      <c r="C62" s="35">
        <f>[19]С2!F26</f>
        <v>1123.6482814273334</v>
      </c>
    </row>
    <row r="63" spans="1:3" ht="17.25" x14ac:dyDescent="0.2">
      <c r="A63" s="60" t="s">
        <v>83</v>
      </c>
      <c r="B63" s="54" t="s">
        <v>84</v>
      </c>
      <c r="C63" s="35">
        <f>[19]С2!F27</f>
        <v>0.19354712999999998</v>
      </c>
    </row>
    <row r="64" spans="1:3" ht="17.25" x14ac:dyDescent="0.2">
      <c r="A64" s="60" t="s">
        <v>85</v>
      </c>
      <c r="B64" s="59" t="s">
        <v>86</v>
      </c>
      <c r="C64" s="63">
        <f>[19]С2!F28</f>
        <v>4200</v>
      </c>
    </row>
    <row r="65" spans="1:3" ht="42.75" x14ac:dyDescent="0.2">
      <c r="A65" s="60" t="s">
        <v>87</v>
      </c>
      <c r="B65" s="34" t="s">
        <v>88</v>
      </c>
      <c r="C65" s="35">
        <f>[19]С2!F22</f>
        <v>35717.748653137714</v>
      </c>
    </row>
    <row r="66" spans="1:3" ht="30" x14ac:dyDescent="0.2">
      <c r="A66" s="60" t="s">
        <v>89</v>
      </c>
      <c r="B66" s="61" t="s">
        <v>90</v>
      </c>
      <c r="C66" s="35">
        <f>[19]С2!F23</f>
        <v>1990</v>
      </c>
    </row>
    <row r="67" spans="1:3" ht="30" x14ac:dyDescent="0.2">
      <c r="A67" s="60" t="s">
        <v>91</v>
      </c>
      <c r="B67" s="54" t="s">
        <v>92</v>
      </c>
      <c r="C67" s="35">
        <f>[19]С2.1!E27</f>
        <v>14307.876789999998</v>
      </c>
    </row>
    <row r="68" spans="1:3" ht="38.25" x14ac:dyDescent="0.2">
      <c r="A68" s="60" t="s">
        <v>93</v>
      </c>
      <c r="B68" s="66" t="s">
        <v>94</v>
      </c>
      <c r="C68" s="53">
        <f>[19]С2.3!E21</f>
        <v>0</v>
      </c>
    </row>
    <row r="69" spans="1:3" ht="25.5" x14ac:dyDescent="0.2">
      <c r="A69" s="60" t="s">
        <v>95</v>
      </c>
      <c r="B69" s="67" t="s">
        <v>96</v>
      </c>
      <c r="C69" s="68">
        <f>[19]С2.3!E11</f>
        <v>9.89</v>
      </c>
    </row>
    <row r="70" spans="1:3" ht="25.5" x14ac:dyDescent="0.2">
      <c r="A70" s="60" t="s">
        <v>97</v>
      </c>
      <c r="B70" s="67" t="s">
        <v>98</v>
      </c>
      <c r="C70" s="63">
        <f>[19]С2.3!E13</f>
        <v>300</v>
      </c>
    </row>
    <row r="71" spans="1:3" ht="25.5" x14ac:dyDescent="0.2">
      <c r="A71" s="60" t="s">
        <v>99</v>
      </c>
      <c r="B71" s="66" t="s">
        <v>100</v>
      </c>
      <c r="C71" s="69">
        <f>IF([19]С2.3!E22&gt;0,[19]С2.3!E22,[19]С2.3!E14)</f>
        <v>61211</v>
      </c>
    </row>
    <row r="72" spans="1:3" ht="38.25" x14ac:dyDescent="0.2">
      <c r="A72" s="60" t="s">
        <v>101</v>
      </c>
      <c r="B72" s="66" t="s">
        <v>102</v>
      </c>
      <c r="C72" s="69">
        <f>IF([19]С2.3!E23&gt;0,[19]С2.3!E23,[19]С2.3!E15)</f>
        <v>45675</v>
      </c>
    </row>
    <row r="73" spans="1:3" ht="30" x14ac:dyDescent="0.2">
      <c r="A73" s="60" t="s">
        <v>103</v>
      </c>
      <c r="B73" s="54" t="s">
        <v>104</v>
      </c>
      <c r="C73" s="35">
        <f>[19]С2.1!E28</f>
        <v>9541.9567200000001</v>
      </c>
    </row>
    <row r="74" spans="1:3" ht="38.25" x14ac:dyDescent="0.2">
      <c r="A74" s="60" t="s">
        <v>105</v>
      </c>
      <c r="B74" s="66" t="s">
        <v>106</v>
      </c>
      <c r="C74" s="53">
        <f>[19]С2.3!E25</f>
        <v>0</v>
      </c>
    </row>
    <row r="75" spans="1:3" ht="25.5" x14ac:dyDescent="0.2">
      <c r="A75" s="60" t="s">
        <v>107</v>
      </c>
      <c r="B75" s="67" t="s">
        <v>108</v>
      </c>
      <c r="C75" s="68">
        <f>[19]С2.3!E12</f>
        <v>0.56000000000000005</v>
      </c>
    </row>
    <row r="76" spans="1:3" ht="25.5" x14ac:dyDescent="0.2">
      <c r="A76" s="60" t="s">
        <v>109</v>
      </c>
      <c r="B76" s="67" t="s">
        <v>98</v>
      </c>
      <c r="C76" s="63">
        <f>[19]С2.3!E13</f>
        <v>300</v>
      </c>
    </row>
    <row r="77" spans="1:3" ht="25.5" x14ac:dyDescent="0.2">
      <c r="A77" s="60" t="s">
        <v>110</v>
      </c>
      <c r="B77" s="70" t="s">
        <v>111</v>
      </c>
      <c r="C77" s="69">
        <f>IF([19]С2.3!E26&gt;0,[19]С2.3!E26,[19]С2.3!E16)</f>
        <v>65637</v>
      </c>
    </row>
    <row r="78" spans="1:3" ht="38.25" x14ac:dyDescent="0.2">
      <c r="A78" s="60" t="s">
        <v>112</v>
      </c>
      <c r="B78" s="70" t="s">
        <v>113</v>
      </c>
      <c r="C78" s="69">
        <f>IF([19]С2.3!E27&gt;0,[19]С2.3!E27,[19]С2.3!E17)</f>
        <v>31684</v>
      </c>
    </row>
    <row r="79" spans="1:3" ht="17.25" x14ac:dyDescent="0.2">
      <c r="A79" s="60" t="s">
        <v>114</v>
      </c>
      <c r="B79" s="34" t="s">
        <v>115</v>
      </c>
      <c r="C79" s="36">
        <f>[19]С2!F29</f>
        <v>0.128978033685065</v>
      </c>
    </row>
    <row r="80" spans="1:3" ht="30" x14ac:dyDescent="0.2">
      <c r="A80" s="60" t="s">
        <v>116</v>
      </c>
      <c r="B80" s="54" t="s">
        <v>117</v>
      </c>
      <c r="C80" s="71">
        <f>[19]С2!F30</f>
        <v>0.11668498168498169</v>
      </c>
    </row>
    <row r="81" spans="1:3" ht="17.25" x14ac:dyDescent="0.2">
      <c r="A81" s="60" t="s">
        <v>118</v>
      </c>
      <c r="B81" s="72" t="s">
        <v>119</v>
      </c>
      <c r="C81" s="36">
        <f>[19]С2!F31</f>
        <v>0.13880000000000001</v>
      </c>
    </row>
    <row r="82" spans="1:3" s="64" customFormat="1" ht="18" thickBot="1" x14ac:dyDescent="0.25">
      <c r="A82" s="73" t="s">
        <v>120</v>
      </c>
      <c r="B82" s="74" t="s">
        <v>121</v>
      </c>
      <c r="C82" s="75">
        <f>[19]С2!F32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[19]С3!F14</f>
        <v>6998.3755440420418</v>
      </c>
    </row>
    <row r="86" spans="1:3" s="64" customFormat="1" ht="42.75" x14ac:dyDescent="0.2">
      <c r="A86" s="78" t="s">
        <v>126</v>
      </c>
      <c r="B86" s="54" t="s">
        <v>127</v>
      </c>
      <c r="C86" s="79">
        <f>[19]С3!F15</f>
        <v>0.2</v>
      </c>
    </row>
    <row r="87" spans="1:3" s="64" customFormat="1" ht="14.25" x14ac:dyDescent="0.2">
      <c r="A87" s="78" t="s">
        <v>128</v>
      </c>
      <c r="B87" s="80" t="s">
        <v>129</v>
      </c>
      <c r="C87" s="63">
        <f>[19]С3!F18</f>
        <v>15</v>
      </c>
    </row>
    <row r="88" spans="1:3" s="64" customFormat="1" ht="17.25" x14ac:dyDescent="0.2">
      <c r="A88" s="78" t="s">
        <v>130</v>
      </c>
      <c r="B88" s="34" t="s">
        <v>131</v>
      </c>
      <c r="C88" s="35">
        <f>[19]С3!F19</f>
        <v>3487.1555421534131</v>
      </c>
    </row>
    <row r="89" spans="1:3" s="64" customFormat="1" ht="55.5" x14ac:dyDescent="0.2">
      <c r="A89" s="78" t="s">
        <v>132</v>
      </c>
      <c r="B89" s="54" t="s">
        <v>133</v>
      </c>
      <c r="C89" s="81">
        <f>[19]С3!F20</f>
        <v>2.1999999999999999E-2</v>
      </c>
    </row>
    <row r="90" spans="1:3" s="64" customFormat="1" ht="14.25" x14ac:dyDescent="0.2">
      <c r="A90" s="78" t="s">
        <v>134</v>
      </c>
      <c r="B90" s="59" t="s">
        <v>80</v>
      </c>
      <c r="C90" s="63">
        <f>[19]С3!F21</f>
        <v>10</v>
      </c>
    </row>
    <row r="91" spans="1:3" s="64" customFormat="1" ht="17.25" x14ac:dyDescent="0.2">
      <c r="A91" s="78" t="s">
        <v>135</v>
      </c>
      <c r="B91" s="34" t="s">
        <v>136</v>
      </c>
      <c r="C91" s="35">
        <f>[19]С3!F22</f>
        <v>3.370944844282</v>
      </c>
    </row>
    <row r="92" spans="1:3" s="64" customFormat="1" ht="55.5" x14ac:dyDescent="0.2">
      <c r="A92" s="78" t="s">
        <v>137</v>
      </c>
      <c r="B92" s="54" t="s">
        <v>138</v>
      </c>
      <c r="C92" s="81">
        <f>[19]С3!F23</f>
        <v>3.0000000000000001E-3</v>
      </c>
    </row>
    <row r="93" spans="1:3" s="64" customFormat="1" ht="27.75" thickBot="1" x14ac:dyDescent="0.25">
      <c r="A93" s="82" t="s">
        <v>139</v>
      </c>
      <c r="B93" s="83" t="s">
        <v>140</v>
      </c>
      <c r="C93" s="84">
        <f>[19]С3!F24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[19]С4!F16</f>
        <v>1652.5</v>
      </c>
    </row>
    <row r="97" spans="1:3" ht="30" x14ac:dyDescent="0.2">
      <c r="A97" s="60" t="s">
        <v>145</v>
      </c>
      <c r="B97" s="59" t="s">
        <v>146</v>
      </c>
      <c r="C97" s="35">
        <f>[19]С4!F17</f>
        <v>73547</v>
      </c>
    </row>
    <row r="98" spans="1:3" ht="17.25" x14ac:dyDescent="0.2">
      <c r="A98" s="60" t="s">
        <v>147</v>
      </c>
      <c r="B98" s="59" t="s">
        <v>148</v>
      </c>
      <c r="C98" s="41">
        <f>[19]С4!F18</f>
        <v>0.02</v>
      </c>
    </row>
    <row r="99" spans="1:3" ht="30" x14ac:dyDescent="0.2">
      <c r="A99" s="60" t="s">
        <v>149</v>
      </c>
      <c r="B99" s="59" t="s">
        <v>150</v>
      </c>
      <c r="C99" s="35">
        <f>[19]С4!F19</f>
        <v>12104</v>
      </c>
    </row>
    <row r="100" spans="1:3" ht="31.5" x14ac:dyDescent="0.2">
      <c r="A100" s="60" t="s">
        <v>151</v>
      </c>
      <c r="B100" s="59" t="s">
        <v>152</v>
      </c>
      <c r="C100" s="41">
        <f>[19]С4!F20</f>
        <v>1.4999999999999999E-2</v>
      </c>
    </row>
    <row r="101" spans="1:3" ht="30" x14ac:dyDescent="0.2">
      <c r="A101" s="60" t="s">
        <v>153</v>
      </c>
      <c r="B101" s="34" t="s">
        <v>154</v>
      </c>
      <c r="C101" s="35">
        <f>[19]С4!F21</f>
        <v>1933.1949342509995</v>
      </c>
    </row>
    <row r="102" spans="1:3" ht="24" customHeight="1" x14ac:dyDescent="0.2">
      <c r="A102" s="60" t="s">
        <v>155</v>
      </c>
      <c r="B102" s="54" t="s">
        <v>156</v>
      </c>
      <c r="C102" s="86">
        <f>IF([19]С4.2!F8="да",[19]С4.2!D21,[19]С4.2!D15)</f>
        <v>0</v>
      </c>
    </row>
    <row r="103" spans="1:3" ht="68.25" x14ac:dyDescent="0.2">
      <c r="A103" s="60" t="s">
        <v>157</v>
      </c>
      <c r="B103" s="54" t="s">
        <v>158</v>
      </c>
      <c r="C103" s="35">
        <f>[19]С4!F22</f>
        <v>3.6112641666666665</v>
      </c>
    </row>
    <row r="104" spans="1:3" ht="30" x14ac:dyDescent="0.2">
      <c r="A104" s="60" t="s">
        <v>159</v>
      </c>
      <c r="B104" s="59" t="s">
        <v>160</v>
      </c>
      <c r="C104" s="35">
        <f>[19]С4!F23</f>
        <v>180</v>
      </c>
    </row>
    <row r="105" spans="1:3" ht="14.25" x14ac:dyDescent="0.2">
      <c r="A105" s="60" t="s">
        <v>161</v>
      </c>
      <c r="B105" s="54" t="s">
        <v>162</v>
      </c>
      <c r="C105" s="35">
        <f>[19]С4!F24</f>
        <v>8497.1999999999989</v>
      </c>
    </row>
    <row r="106" spans="1:3" ht="14.25" x14ac:dyDescent="0.2">
      <c r="A106" s="60" t="s">
        <v>163</v>
      </c>
      <c r="B106" s="59" t="s">
        <v>164</v>
      </c>
      <c r="C106" s="41">
        <f>[19]С4!F25</f>
        <v>0.35</v>
      </c>
    </row>
    <row r="107" spans="1:3" ht="17.25" x14ac:dyDescent="0.2">
      <c r="A107" s="60" t="s">
        <v>165</v>
      </c>
      <c r="B107" s="34" t="s">
        <v>166</v>
      </c>
      <c r="C107" s="35">
        <f>[19]С4!F26</f>
        <v>55.985610000000001</v>
      </c>
    </row>
    <row r="108" spans="1:3" ht="25.5" x14ac:dyDescent="0.2">
      <c r="A108" s="60" t="s">
        <v>167</v>
      </c>
      <c r="B108" s="54" t="s">
        <v>94</v>
      </c>
      <c r="C108" s="86">
        <f>[19]С4.3!E16</f>
        <v>0</v>
      </c>
    </row>
    <row r="109" spans="1:3" ht="25.5" x14ac:dyDescent="0.2">
      <c r="A109" s="60" t="s">
        <v>168</v>
      </c>
      <c r="B109" s="54" t="s">
        <v>169</v>
      </c>
      <c r="C109" s="35">
        <f>[19]С4.3!E17</f>
        <v>14.59</v>
      </c>
    </row>
    <row r="110" spans="1:3" ht="38.25" x14ac:dyDescent="0.2">
      <c r="A110" s="60" t="s">
        <v>170</v>
      </c>
      <c r="B110" s="54" t="s">
        <v>106</v>
      </c>
      <c r="C110" s="86">
        <f>[19]С4.3!E18</f>
        <v>0</v>
      </c>
    </row>
    <row r="111" spans="1:3" x14ac:dyDescent="0.2">
      <c r="A111" s="60" t="s">
        <v>171</v>
      </c>
      <c r="B111" s="54" t="s">
        <v>172</v>
      </c>
      <c r="C111" s="35">
        <f>[19]С4.3!E19</f>
        <v>23.62</v>
      </c>
    </row>
    <row r="112" spans="1:3" x14ac:dyDescent="0.2">
      <c r="A112" s="60" t="s">
        <v>173</v>
      </c>
      <c r="B112" s="59" t="s">
        <v>174</v>
      </c>
      <c r="C112" s="35">
        <f>[19]С4.3!E11</f>
        <v>1871</v>
      </c>
    </row>
    <row r="113" spans="1:3" x14ac:dyDescent="0.2">
      <c r="A113" s="60" t="s">
        <v>175</v>
      </c>
      <c r="B113" s="59" t="s">
        <v>176</v>
      </c>
      <c r="C113" s="53">
        <f>[19]С4.3!E12</f>
        <v>1636</v>
      </c>
    </row>
    <row r="114" spans="1:3" x14ac:dyDescent="0.2">
      <c r="A114" s="60" t="s">
        <v>177</v>
      </c>
      <c r="B114" s="59" t="s">
        <v>178</v>
      </c>
      <c r="C114" s="53">
        <f>[19]С4.3!E13</f>
        <v>204</v>
      </c>
    </row>
    <row r="115" spans="1:3" ht="30" x14ac:dyDescent="0.2">
      <c r="A115" s="60" t="s">
        <v>179</v>
      </c>
      <c r="B115" s="34" t="s">
        <v>180</v>
      </c>
      <c r="C115" s="35">
        <f>[19]С4!F27</f>
        <v>776.44759830395003</v>
      </c>
    </row>
    <row r="116" spans="1:3" ht="25.5" x14ac:dyDescent="0.2">
      <c r="A116" s="60" t="s">
        <v>181</v>
      </c>
      <c r="B116" s="54" t="s">
        <v>182</v>
      </c>
      <c r="C116" s="35">
        <f>[19]С4!F28</f>
        <v>596.34992189243474</v>
      </c>
    </row>
    <row r="117" spans="1:3" ht="42.75" x14ac:dyDescent="0.2">
      <c r="A117" s="60" t="s">
        <v>183</v>
      </c>
      <c r="B117" s="54" t="s">
        <v>184</v>
      </c>
      <c r="C117" s="35">
        <f>[19]С4!F29</f>
        <v>180.09767641151529</v>
      </c>
    </row>
    <row r="118" spans="1:3" ht="30" x14ac:dyDescent="0.2">
      <c r="A118" s="60" t="s">
        <v>185</v>
      </c>
      <c r="B118" s="40" t="s">
        <v>186</v>
      </c>
      <c r="C118" s="35">
        <f>[19]С4!F30</f>
        <v>2057.3172086427667</v>
      </c>
    </row>
    <row r="119" spans="1:3" ht="42.75" x14ac:dyDescent="0.2">
      <c r="A119" s="60" t="s">
        <v>187</v>
      </c>
      <c r="B119" s="87" t="s">
        <v>188</v>
      </c>
      <c r="C119" s="35">
        <f>[19]С4!F33</f>
        <v>1361.1290892426057</v>
      </c>
    </row>
    <row r="120" spans="1:3" ht="30" x14ac:dyDescent="0.2">
      <c r="A120" s="60" t="s">
        <v>189</v>
      </c>
      <c r="B120" s="88" t="s">
        <v>190</v>
      </c>
      <c r="C120" s="35">
        <f>[19]С4!F35</f>
        <v>17.040680999999999</v>
      </c>
    </row>
    <row r="121" spans="1:3" ht="14.25" x14ac:dyDescent="0.2">
      <c r="A121" s="60" t="s">
        <v>191</v>
      </c>
      <c r="B121" s="57" t="s">
        <v>192</v>
      </c>
      <c r="C121" s="35">
        <f>[19]С4!F36</f>
        <v>14319.9</v>
      </c>
    </row>
    <row r="122" spans="1:3" ht="28.5" thickBot="1" x14ac:dyDescent="0.25">
      <c r="A122" s="73" t="s">
        <v>193</v>
      </c>
      <c r="B122" s="89" t="s">
        <v>194</v>
      </c>
      <c r="C122" s="84">
        <f>[19]С4!F37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[19]С5!F17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[19]С2!F37</f>
        <v>20.818139999999996</v>
      </c>
    </row>
    <row r="136" spans="1:4" ht="14.25" x14ac:dyDescent="0.2">
      <c r="A136" s="60" t="s">
        <v>216</v>
      </c>
      <c r="B136" s="102" t="s">
        <v>217</v>
      </c>
      <c r="C136" s="35">
        <f>[19]С2!F38</f>
        <v>7</v>
      </c>
    </row>
    <row r="137" spans="1:4" ht="17.25" x14ac:dyDescent="0.2">
      <c r="A137" s="60" t="s">
        <v>218</v>
      </c>
      <c r="B137" s="102" t="s">
        <v>219</v>
      </c>
      <c r="C137" s="35">
        <f>[19]С2!F40</f>
        <v>0.97</v>
      </c>
    </row>
    <row r="138" spans="1:4" ht="15" thickBot="1" x14ac:dyDescent="0.25">
      <c r="A138" s="73" t="s">
        <v>220</v>
      </c>
      <c r="B138" s="103" t="s">
        <v>221</v>
      </c>
      <c r="C138" s="47">
        <f>[19]С2!F42</f>
        <v>0.35</v>
      </c>
    </row>
    <row r="139" spans="1:4" s="90" customFormat="1" ht="13.5" thickBot="1" x14ac:dyDescent="0.25">
      <c r="A139" s="48"/>
      <c r="B139" s="76"/>
      <c r="C139" s="15"/>
    </row>
    <row r="140" spans="1:4" ht="30" x14ac:dyDescent="0.2">
      <c r="A140" s="85" t="s">
        <v>222</v>
      </c>
      <c r="B140" s="104" t="s">
        <v>223</v>
      </c>
      <c r="C140" s="105">
        <f>[19]С2!F35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[19]С2.5!$E$11</f>
        <v>-2.9000000000000026E-2</v>
      </c>
      <c r="D143" s="90"/>
    </row>
    <row r="144" spans="1:4" x14ac:dyDescent="0.2">
      <c r="A144" s="107"/>
      <c r="B144" s="112">
        <f>B143+1</f>
        <v>2021</v>
      </c>
      <c r="C144" s="113">
        <f>[19]С2.5!$F$11</f>
        <v>0.245</v>
      </c>
      <c r="D144" s="90"/>
    </row>
    <row r="145" spans="1:4" x14ac:dyDescent="0.2">
      <c r="A145" s="107"/>
      <c r="B145" s="112">
        <f t="shared" ref="B145:B208" si="0">B144+1</f>
        <v>2022</v>
      </c>
      <c r="C145" s="113">
        <f>[19]С2.5!$G$11</f>
        <v>0.121</v>
      </c>
      <c r="D145" s="90"/>
    </row>
    <row r="146" spans="1:4" ht="13.5" thickBot="1" x14ac:dyDescent="0.25">
      <c r="A146" s="107"/>
      <c r="B146" s="114">
        <f t="shared" si="0"/>
        <v>2023</v>
      </c>
      <c r="C146" s="115">
        <f>[19]С2.5!$H$11</f>
        <v>0.02</v>
      </c>
      <c r="D146" s="90"/>
    </row>
    <row r="147" spans="1:4" hidden="1" x14ac:dyDescent="0.2">
      <c r="A147" s="107"/>
      <c r="B147" s="116">
        <f t="shared" si="0"/>
        <v>2024</v>
      </c>
      <c r="C147" s="117">
        <f>[19]С2.5!$I$11</f>
        <v>-2.93E-2</v>
      </c>
      <c r="D147" s="90"/>
    </row>
    <row r="148" spans="1:4" hidden="1" x14ac:dyDescent="0.2">
      <c r="A148" s="107"/>
      <c r="B148" s="112">
        <f t="shared" si="0"/>
        <v>2025</v>
      </c>
      <c r="C148" s="113">
        <f>[19]С2.5!$J$11</f>
        <v>0.21215960863291</v>
      </c>
      <c r="D148" s="90"/>
    </row>
    <row r="149" spans="1:4" hidden="1" x14ac:dyDescent="0.2">
      <c r="A149" s="107"/>
      <c r="B149" s="112">
        <f t="shared" si="0"/>
        <v>2026</v>
      </c>
      <c r="C149" s="113">
        <f>[19]С2.5!$K$11</f>
        <v>3.5813361771260002E-2</v>
      </c>
      <c r="D149" s="90"/>
    </row>
    <row r="150" spans="1:4" hidden="1" x14ac:dyDescent="0.2">
      <c r="A150" s="107"/>
      <c r="B150" s="112">
        <f t="shared" si="0"/>
        <v>2027</v>
      </c>
      <c r="C150" s="113">
        <f>[19]С2.5!$L$11</f>
        <v>3.2682303599220003E-2</v>
      </c>
      <c r="D150" s="90"/>
    </row>
    <row r="151" spans="1:4" hidden="1" x14ac:dyDescent="0.2">
      <c r="A151" s="107"/>
      <c r="B151" s="112">
        <f t="shared" si="0"/>
        <v>2028</v>
      </c>
      <c r="C151" s="113">
        <f>[19]С2.5!$M$11</f>
        <v>0</v>
      </c>
      <c r="D151" s="90"/>
    </row>
    <row r="152" spans="1:4" hidden="1" x14ac:dyDescent="0.2">
      <c r="A152" s="107"/>
      <c r="B152" s="112">
        <f t="shared" si="0"/>
        <v>2029</v>
      </c>
      <c r="C152" s="113">
        <f>[19]С2.5!$N$11</f>
        <v>0</v>
      </c>
      <c r="D152" s="90"/>
    </row>
    <row r="153" spans="1:4" hidden="1" x14ac:dyDescent="0.2">
      <c r="A153" s="107"/>
      <c r="B153" s="112">
        <f t="shared" si="0"/>
        <v>2030</v>
      </c>
      <c r="C153" s="113">
        <f>[19]С2.5!$O$11</f>
        <v>0</v>
      </c>
      <c r="D153" s="90"/>
    </row>
    <row r="154" spans="1:4" hidden="1" x14ac:dyDescent="0.2">
      <c r="A154" s="107"/>
      <c r="B154" s="112">
        <f t="shared" si="0"/>
        <v>2031</v>
      </c>
      <c r="C154" s="113">
        <f>[19]С2.5!$P$11</f>
        <v>0</v>
      </c>
      <c r="D154" s="90"/>
    </row>
    <row r="155" spans="1:4" hidden="1" x14ac:dyDescent="0.2">
      <c r="A155" s="90"/>
      <c r="B155" s="112">
        <f t="shared" si="0"/>
        <v>2032</v>
      </c>
      <c r="C155" s="113">
        <f>[19]С2.5!$Q$11</f>
        <v>0</v>
      </c>
      <c r="D155" s="90"/>
    </row>
    <row r="156" spans="1:4" hidden="1" x14ac:dyDescent="0.2">
      <c r="A156" s="90"/>
      <c r="B156" s="112">
        <f t="shared" si="0"/>
        <v>2033</v>
      </c>
      <c r="C156" s="113">
        <f>[19]С2.5!$R$11</f>
        <v>0</v>
      </c>
      <c r="D156" s="90"/>
    </row>
    <row r="157" spans="1:4" hidden="1" x14ac:dyDescent="0.2">
      <c r="B157" s="112">
        <f t="shared" si="0"/>
        <v>2034</v>
      </c>
      <c r="C157" s="113">
        <f>[19]С2.5!$S$11</f>
        <v>0</v>
      </c>
    </row>
    <row r="158" spans="1:4" hidden="1" x14ac:dyDescent="0.2">
      <c r="B158" s="112">
        <f t="shared" si="0"/>
        <v>2035</v>
      </c>
      <c r="C158" s="113">
        <f>[19]С2.5!$T$11</f>
        <v>0</v>
      </c>
    </row>
    <row r="159" spans="1:4" hidden="1" x14ac:dyDescent="0.2">
      <c r="B159" s="112">
        <f t="shared" si="0"/>
        <v>2036</v>
      </c>
      <c r="C159" s="113">
        <f>[19]С2.5!$U$11</f>
        <v>0</v>
      </c>
    </row>
    <row r="160" spans="1:4" hidden="1" x14ac:dyDescent="0.2">
      <c r="B160" s="112">
        <f t="shared" si="0"/>
        <v>2037</v>
      </c>
      <c r="C160" s="113">
        <f>[19]С2.5!$V$11</f>
        <v>0</v>
      </c>
    </row>
    <row r="161" spans="2:3" hidden="1" x14ac:dyDescent="0.2">
      <c r="B161" s="112">
        <f t="shared" si="0"/>
        <v>2038</v>
      </c>
      <c r="C161" s="113">
        <f>[19]С2.5!$W$11</f>
        <v>0</v>
      </c>
    </row>
    <row r="162" spans="2:3" hidden="1" x14ac:dyDescent="0.2">
      <c r="B162" s="112">
        <f t="shared" si="0"/>
        <v>2039</v>
      </c>
      <c r="C162" s="113">
        <f>[19]С2.5!$X$11</f>
        <v>0</v>
      </c>
    </row>
    <row r="163" spans="2:3" hidden="1" x14ac:dyDescent="0.2">
      <c r="B163" s="112">
        <f t="shared" si="0"/>
        <v>2040</v>
      </c>
      <c r="C163" s="113">
        <f>[19]С2.5!$Y$11</f>
        <v>0</v>
      </c>
    </row>
    <row r="164" spans="2:3" hidden="1" x14ac:dyDescent="0.2">
      <c r="B164" s="112">
        <f t="shared" si="0"/>
        <v>2041</v>
      </c>
      <c r="C164" s="113">
        <f>[19]С2.5!$Z$11</f>
        <v>0</v>
      </c>
    </row>
    <row r="165" spans="2:3" hidden="1" x14ac:dyDescent="0.2">
      <c r="B165" s="112">
        <f t="shared" si="0"/>
        <v>2042</v>
      </c>
      <c r="C165" s="113">
        <f>[19]С2.5!$AA$11</f>
        <v>0</v>
      </c>
    </row>
    <row r="166" spans="2:3" hidden="1" x14ac:dyDescent="0.2">
      <c r="B166" s="112">
        <f t="shared" si="0"/>
        <v>2043</v>
      </c>
      <c r="C166" s="113">
        <f>[19]С2.5!$AB$11</f>
        <v>0</v>
      </c>
    </row>
    <row r="167" spans="2:3" hidden="1" x14ac:dyDescent="0.2">
      <c r="B167" s="112">
        <f t="shared" si="0"/>
        <v>2044</v>
      </c>
      <c r="C167" s="113">
        <f>[19]С2.5!$AC$11</f>
        <v>0</v>
      </c>
    </row>
    <row r="168" spans="2:3" hidden="1" x14ac:dyDescent="0.2">
      <c r="B168" s="112">
        <f t="shared" si="0"/>
        <v>2045</v>
      </c>
      <c r="C168" s="113">
        <f>[19]С2.5!$AD$11</f>
        <v>0</v>
      </c>
    </row>
    <row r="169" spans="2:3" hidden="1" x14ac:dyDescent="0.2">
      <c r="B169" s="112">
        <f t="shared" si="0"/>
        <v>2046</v>
      </c>
      <c r="C169" s="113">
        <f>[19]С2.5!$AE$11</f>
        <v>0</v>
      </c>
    </row>
    <row r="170" spans="2:3" hidden="1" x14ac:dyDescent="0.2">
      <c r="B170" s="112">
        <f t="shared" si="0"/>
        <v>2047</v>
      </c>
      <c r="C170" s="113">
        <f>[19]С2.5!$AF$11</f>
        <v>0</v>
      </c>
    </row>
    <row r="171" spans="2:3" hidden="1" x14ac:dyDescent="0.2">
      <c r="B171" s="112">
        <f t="shared" si="0"/>
        <v>2048</v>
      </c>
      <c r="C171" s="113">
        <f>[19]С2.5!$AG$11</f>
        <v>0</v>
      </c>
    </row>
    <row r="172" spans="2:3" hidden="1" x14ac:dyDescent="0.2">
      <c r="B172" s="112">
        <f t="shared" si="0"/>
        <v>2049</v>
      </c>
      <c r="C172" s="113">
        <f>[19]С2.5!$AH$11</f>
        <v>0</v>
      </c>
    </row>
    <row r="173" spans="2:3" hidden="1" x14ac:dyDescent="0.2">
      <c r="B173" s="112">
        <f t="shared" si="0"/>
        <v>2050</v>
      </c>
      <c r="C173" s="113">
        <f>[19]С2.5!$AI$11</f>
        <v>0</v>
      </c>
    </row>
    <row r="174" spans="2:3" hidden="1" x14ac:dyDescent="0.2">
      <c r="B174" s="112">
        <f t="shared" si="0"/>
        <v>2051</v>
      </c>
      <c r="C174" s="113">
        <f>[19]С2.5!$AJ$11</f>
        <v>0</v>
      </c>
    </row>
    <row r="175" spans="2:3" hidden="1" x14ac:dyDescent="0.2">
      <c r="B175" s="112">
        <f t="shared" si="0"/>
        <v>2052</v>
      </c>
      <c r="C175" s="113">
        <f>[19]С2.5!$AK$11</f>
        <v>0</v>
      </c>
    </row>
    <row r="176" spans="2:3" hidden="1" x14ac:dyDescent="0.2">
      <c r="B176" s="112">
        <f t="shared" si="0"/>
        <v>2053</v>
      </c>
      <c r="C176" s="113">
        <f>[19]С2.5!$AL$11</f>
        <v>0</v>
      </c>
    </row>
    <row r="177" spans="2:3" hidden="1" x14ac:dyDescent="0.2">
      <c r="B177" s="112">
        <f t="shared" si="0"/>
        <v>2054</v>
      </c>
      <c r="C177" s="113">
        <f>[19]С2.5!$AM$11</f>
        <v>0</v>
      </c>
    </row>
    <row r="178" spans="2:3" hidden="1" x14ac:dyDescent="0.2">
      <c r="B178" s="112">
        <f t="shared" si="0"/>
        <v>2055</v>
      </c>
      <c r="C178" s="113">
        <f>[19]С2.5!$AN$11</f>
        <v>0</v>
      </c>
    </row>
    <row r="179" spans="2:3" hidden="1" x14ac:dyDescent="0.2">
      <c r="B179" s="112">
        <f t="shared" si="0"/>
        <v>2056</v>
      </c>
      <c r="C179" s="113">
        <f>[19]С2.5!$AO$11</f>
        <v>0</v>
      </c>
    </row>
    <row r="180" spans="2:3" hidden="1" x14ac:dyDescent="0.2">
      <c r="B180" s="112">
        <f t="shared" si="0"/>
        <v>2057</v>
      </c>
      <c r="C180" s="113">
        <f>[19]С2.5!$AP$11</f>
        <v>0</v>
      </c>
    </row>
    <row r="181" spans="2:3" hidden="1" x14ac:dyDescent="0.2">
      <c r="B181" s="112">
        <f t="shared" si="0"/>
        <v>2058</v>
      </c>
      <c r="C181" s="113">
        <f>[19]С2.5!$AQ$11</f>
        <v>0</v>
      </c>
    </row>
    <row r="182" spans="2:3" hidden="1" x14ac:dyDescent="0.2">
      <c r="B182" s="112">
        <f t="shared" si="0"/>
        <v>2059</v>
      </c>
      <c r="C182" s="113">
        <f>[19]С2.5!$AR$11</f>
        <v>0</v>
      </c>
    </row>
    <row r="183" spans="2:3" hidden="1" x14ac:dyDescent="0.2">
      <c r="B183" s="112">
        <f t="shared" si="0"/>
        <v>2060</v>
      </c>
      <c r="C183" s="113">
        <f>[19]С2.5!$AS$11</f>
        <v>0</v>
      </c>
    </row>
    <row r="184" spans="2:3" hidden="1" x14ac:dyDescent="0.2">
      <c r="B184" s="112">
        <f t="shared" si="0"/>
        <v>2061</v>
      </c>
      <c r="C184" s="113">
        <f>[19]С2.5!$AT$11</f>
        <v>0</v>
      </c>
    </row>
    <row r="185" spans="2:3" hidden="1" x14ac:dyDescent="0.2">
      <c r="B185" s="112">
        <f t="shared" si="0"/>
        <v>2062</v>
      </c>
      <c r="C185" s="113">
        <f>[19]С2.5!$AU$11</f>
        <v>0</v>
      </c>
    </row>
    <row r="186" spans="2:3" hidden="1" x14ac:dyDescent="0.2">
      <c r="B186" s="112">
        <f t="shared" si="0"/>
        <v>2063</v>
      </c>
      <c r="C186" s="113">
        <f>[19]С2.5!$AV$11</f>
        <v>0</v>
      </c>
    </row>
    <row r="187" spans="2:3" hidden="1" x14ac:dyDescent="0.2">
      <c r="B187" s="112">
        <f t="shared" si="0"/>
        <v>2064</v>
      </c>
      <c r="C187" s="113">
        <f>[19]С2.5!$AW$11</f>
        <v>0</v>
      </c>
    </row>
    <row r="188" spans="2:3" hidden="1" x14ac:dyDescent="0.2">
      <c r="B188" s="112">
        <f t="shared" si="0"/>
        <v>2065</v>
      </c>
      <c r="C188" s="113">
        <f>[19]С2.5!$AX$11</f>
        <v>0</v>
      </c>
    </row>
    <row r="189" spans="2:3" hidden="1" x14ac:dyDescent="0.2">
      <c r="B189" s="112">
        <f t="shared" si="0"/>
        <v>2066</v>
      </c>
      <c r="C189" s="113">
        <f>[19]С2.5!$AY$11</f>
        <v>0</v>
      </c>
    </row>
    <row r="190" spans="2:3" hidden="1" x14ac:dyDescent="0.2">
      <c r="B190" s="112">
        <f t="shared" si="0"/>
        <v>2067</v>
      </c>
      <c r="C190" s="113">
        <f>[19]С2.5!$AZ$11</f>
        <v>0</v>
      </c>
    </row>
    <row r="191" spans="2:3" hidden="1" x14ac:dyDescent="0.2">
      <c r="B191" s="112">
        <f t="shared" si="0"/>
        <v>2068</v>
      </c>
      <c r="C191" s="113">
        <f>[19]С2.5!$BA$11</f>
        <v>0</v>
      </c>
    </row>
    <row r="192" spans="2:3" hidden="1" x14ac:dyDescent="0.2">
      <c r="B192" s="112">
        <f t="shared" si="0"/>
        <v>2069</v>
      </c>
      <c r="C192" s="113">
        <f>[19]С2.5!$BB$11</f>
        <v>0</v>
      </c>
    </row>
    <row r="193" spans="2:3" hidden="1" x14ac:dyDescent="0.2">
      <c r="B193" s="112">
        <f t="shared" si="0"/>
        <v>2070</v>
      </c>
      <c r="C193" s="113">
        <f>[19]С2.5!$BC$11</f>
        <v>0</v>
      </c>
    </row>
    <row r="194" spans="2:3" hidden="1" x14ac:dyDescent="0.2">
      <c r="B194" s="112">
        <f t="shared" si="0"/>
        <v>2071</v>
      </c>
      <c r="C194" s="113">
        <f>[19]С2.5!$BD$11</f>
        <v>0</v>
      </c>
    </row>
    <row r="195" spans="2:3" hidden="1" x14ac:dyDescent="0.2">
      <c r="B195" s="112">
        <f t="shared" si="0"/>
        <v>2072</v>
      </c>
      <c r="C195" s="113">
        <f>[19]С2.5!$BE$11</f>
        <v>0</v>
      </c>
    </row>
    <row r="196" spans="2:3" hidden="1" x14ac:dyDescent="0.2">
      <c r="B196" s="112">
        <f t="shared" si="0"/>
        <v>2073</v>
      </c>
      <c r="C196" s="113">
        <f>[19]С2.5!$BF$11</f>
        <v>0</v>
      </c>
    </row>
    <row r="197" spans="2:3" hidden="1" x14ac:dyDescent="0.2">
      <c r="B197" s="112">
        <f t="shared" si="0"/>
        <v>2074</v>
      </c>
      <c r="C197" s="113">
        <f>[19]С2.5!$BG$11</f>
        <v>0</v>
      </c>
    </row>
    <row r="198" spans="2:3" hidden="1" x14ac:dyDescent="0.2">
      <c r="B198" s="112">
        <f t="shared" si="0"/>
        <v>2075</v>
      </c>
      <c r="C198" s="113">
        <f>[19]С2.5!$BH$11</f>
        <v>0</v>
      </c>
    </row>
    <row r="199" spans="2:3" hidden="1" x14ac:dyDescent="0.2">
      <c r="B199" s="112">
        <f t="shared" si="0"/>
        <v>2076</v>
      </c>
      <c r="C199" s="113">
        <f>[19]С2.5!$BI$11</f>
        <v>0</v>
      </c>
    </row>
    <row r="200" spans="2:3" hidden="1" x14ac:dyDescent="0.2">
      <c r="B200" s="112">
        <f t="shared" si="0"/>
        <v>2077</v>
      </c>
      <c r="C200" s="113">
        <f>[19]С2.5!$BJ$11</f>
        <v>0</v>
      </c>
    </row>
    <row r="201" spans="2:3" hidden="1" x14ac:dyDescent="0.2">
      <c r="B201" s="112">
        <f t="shared" si="0"/>
        <v>2078</v>
      </c>
      <c r="C201" s="113">
        <f>[19]С2.5!$BK$11</f>
        <v>0</v>
      </c>
    </row>
    <row r="202" spans="2:3" hidden="1" x14ac:dyDescent="0.2">
      <c r="B202" s="112">
        <f t="shared" si="0"/>
        <v>2079</v>
      </c>
      <c r="C202" s="113">
        <f>[19]С2.5!$BL$11</f>
        <v>0</v>
      </c>
    </row>
    <row r="203" spans="2:3" hidden="1" x14ac:dyDescent="0.2">
      <c r="B203" s="112">
        <f t="shared" si="0"/>
        <v>2080</v>
      </c>
      <c r="C203" s="113">
        <f>[19]С2.5!$BM$11</f>
        <v>0</v>
      </c>
    </row>
    <row r="204" spans="2:3" hidden="1" x14ac:dyDescent="0.2">
      <c r="B204" s="112">
        <f t="shared" si="0"/>
        <v>2081</v>
      </c>
      <c r="C204" s="113">
        <f>[19]С2.5!$BN$11</f>
        <v>0</v>
      </c>
    </row>
    <row r="205" spans="2:3" hidden="1" x14ac:dyDescent="0.2">
      <c r="B205" s="112">
        <f t="shared" si="0"/>
        <v>2082</v>
      </c>
      <c r="C205" s="113">
        <f>[19]С2.5!$BO$11</f>
        <v>0</v>
      </c>
    </row>
    <row r="206" spans="2:3" hidden="1" x14ac:dyDescent="0.2">
      <c r="B206" s="112">
        <f t="shared" si="0"/>
        <v>2083</v>
      </c>
      <c r="C206" s="113">
        <f>[19]С2.5!$BP$11</f>
        <v>0</v>
      </c>
    </row>
    <row r="207" spans="2:3" hidden="1" x14ac:dyDescent="0.2">
      <c r="B207" s="112">
        <f t="shared" si="0"/>
        <v>2084</v>
      </c>
      <c r="C207" s="113">
        <f>[19]С2.5!$BQ$11</f>
        <v>0</v>
      </c>
    </row>
    <row r="208" spans="2:3" hidden="1" x14ac:dyDescent="0.2">
      <c r="B208" s="112">
        <f t="shared" si="0"/>
        <v>2085</v>
      </c>
      <c r="C208" s="113">
        <f>[19]С2.5!$BR$11</f>
        <v>0</v>
      </c>
    </row>
    <row r="209" spans="2:3" hidden="1" x14ac:dyDescent="0.2">
      <c r="B209" s="112">
        <f t="shared" ref="B209:B223" si="1">B208+1</f>
        <v>2086</v>
      </c>
      <c r="C209" s="113">
        <f>[19]С2.5!$BS$11</f>
        <v>0</v>
      </c>
    </row>
    <row r="210" spans="2:3" hidden="1" x14ac:dyDescent="0.2">
      <c r="B210" s="112">
        <f t="shared" si="1"/>
        <v>2087</v>
      </c>
      <c r="C210" s="113">
        <f>[19]С2.5!$BT$11</f>
        <v>0</v>
      </c>
    </row>
    <row r="211" spans="2:3" hidden="1" x14ac:dyDescent="0.2">
      <c r="B211" s="112">
        <f t="shared" si="1"/>
        <v>2088</v>
      </c>
      <c r="C211" s="113">
        <f>[19]С2.5!$BU$11</f>
        <v>0</v>
      </c>
    </row>
    <row r="212" spans="2:3" hidden="1" x14ac:dyDescent="0.2">
      <c r="B212" s="112">
        <f t="shared" si="1"/>
        <v>2089</v>
      </c>
      <c r="C212" s="113">
        <f>[19]С2.5!$BV$11</f>
        <v>0</v>
      </c>
    </row>
    <row r="213" spans="2:3" hidden="1" x14ac:dyDescent="0.2">
      <c r="B213" s="112">
        <f t="shared" si="1"/>
        <v>2090</v>
      </c>
      <c r="C213" s="113">
        <f>[19]С2.5!$BW$11</f>
        <v>0</v>
      </c>
    </row>
    <row r="214" spans="2:3" hidden="1" x14ac:dyDescent="0.2">
      <c r="B214" s="112">
        <f t="shared" si="1"/>
        <v>2091</v>
      </c>
      <c r="C214" s="113">
        <f>[19]С2.5!$BX$11</f>
        <v>0</v>
      </c>
    </row>
    <row r="215" spans="2:3" hidden="1" x14ac:dyDescent="0.2">
      <c r="B215" s="112">
        <f t="shared" si="1"/>
        <v>2092</v>
      </c>
      <c r="C215" s="113">
        <f>[19]С2.5!$BY$11</f>
        <v>0</v>
      </c>
    </row>
    <row r="216" spans="2:3" hidden="1" x14ac:dyDescent="0.2">
      <c r="B216" s="112">
        <f t="shared" si="1"/>
        <v>2093</v>
      </c>
      <c r="C216" s="113">
        <f>[19]С2.5!$BZ$11</f>
        <v>0</v>
      </c>
    </row>
    <row r="217" spans="2:3" hidden="1" x14ac:dyDescent="0.2">
      <c r="B217" s="112">
        <f t="shared" si="1"/>
        <v>2094</v>
      </c>
      <c r="C217" s="113">
        <f>[19]С2.5!$CA$11</f>
        <v>0</v>
      </c>
    </row>
    <row r="218" spans="2:3" hidden="1" x14ac:dyDescent="0.2">
      <c r="B218" s="112">
        <f t="shared" si="1"/>
        <v>2095</v>
      </c>
      <c r="C218" s="113">
        <f>[19]С2.5!$CB$11</f>
        <v>0</v>
      </c>
    </row>
    <row r="219" spans="2:3" hidden="1" x14ac:dyDescent="0.2">
      <c r="B219" s="112">
        <f t="shared" si="1"/>
        <v>2096</v>
      </c>
      <c r="C219" s="113">
        <f>[19]С2.5!$CC$11</f>
        <v>0</v>
      </c>
    </row>
    <row r="220" spans="2:3" hidden="1" x14ac:dyDescent="0.2">
      <c r="B220" s="112">
        <f t="shared" si="1"/>
        <v>2097</v>
      </c>
      <c r="C220" s="113">
        <f>[19]С2.5!$CD$11</f>
        <v>0</v>
      </c>
    </row>
    <row r="221" spans="2:3" hidden="1" x14ac:dyDescent="0.2">
      <c r="B221" s="112">
        <f t="shared" si="1"/>
        <v>2098</v>
      </c>
      <c r="C221" s="113">
        <f>[19]С2.5!$CE$11</f>
        <v>0</v>
      </c>
    </row>
    <row r="222" spans="2:3" hidden="1" x14ac:dyDescent="0.2">
      <c r="B222" s="112">
        <f t="shared" si="1"/>
        <v>2099</v>
      </c>
      <c r="C222" s="113">
        <f>[19]С2.5!$CF$11</f>
        <v>0</v>
      </c>
    </row>
    <row r="223" spans="2:3" ht="13.5" hidden="1" thickBot="1" x14ac:dyDescent="0.25">
      <c r="B223" s="114">
        <f t="shared" si="1"/>
        <v>2100</v>
      </c>
      <c r="C223" s="115">
        <f>[19]С2.5!$CG$11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Button 1">
              <controlPr defaultSize="0" print="0" autoFill="0" autoPict="0" macro="[19]!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topLeftCell="A4" workbookViewId="0">
      <selection activeCell="F22" sqref="F2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t="s">
        <v>227</v>
      </c>
      <c r="B1" s="124" t="s">
        <v>0</v>
      </c>
      <c r="C1" s="124"/>
    </row>
    <row r="2" spans="1:3" x14ac:dyDescent="0.2">
      <c r="A2" s="3"/>
      <c r="B2" s="4" t="s">
        <v>1</v>
      </c>
      <c r="C2" s="5">
        <f ca="1">TODAY()</f>
        <v>44944</v>
      </c>
    </row>
    <row r="3" spans="1:3" x14ac:dyDescent="0.2">
      <c r="A3" s="3"/>
      <c r="B3" s="6" t="s">
        <v>2</v>
      </c>
    </row>
    <row r="4" spans="1:3" ht="25.5" x14ac:dyDescent="0.2">
      <c r="A4" s="8"/>
      <c r="B4" s="9" t="str">
        <f>[10]И1!D13</f>
        <v>Субъект Российской Федерации</v>
      </c>
      <c r="C4" s="10" t="str">
        <f>[10]И1!E13</f>
        <v>Новосибирская область</v>
      </c>
    </row>
    <row r="5" spans="1:3" ht="38.25" x14ac:dyDescent="0.2">
      <c r="A5" s="8"/>
      <c r="B5" s="9" t="str">
        <f>[10]И1!D14</f>
        <v>Тип муниципального образования (выберите из списка)</v>
      </c>
      <c r="C5" s="10" t="str">
        <f>[10]И1!E14</f>
        <v xml:space="preserve">село Майское, Краснозерский муниципальный район </v>
      </c>
    </row>
    <row r="6" spans="1:3" x14ac:dyDescent="0.2">
      <c r="A6" s="8"/>
      <c r="B6" s="9" t="str">
        <f>IF([10]И1!E15="","",[10]И1!D15)</f>
        <v/>
      </c>
      <c r="C6" s="10" t="str">
        <f>IF([10]И1!E15="","",[10]И1!E15)</f>
        <v/>
      </c>
    </row>
    <row r="7" spans="1:3" x14ac:dyDescent="0.2">
      <c r="A7" s="8"/>
      <c r="B7" s="9" t="str">
        <f>[10]И1!D16</f>
        <v>Код ОКТМО</v>
      </c>
      <c r="C7" s="11" t="str">
        <f>[10]И1!E16</f>
        <v>(50627422101)</v>
      </c>
    </row>
    <row r="8" spans="1:3" x14ac:dyDescent="0.2">
      <c r="A8" s="8"/>
      <c r="B8" s="12" t="str">
        <f>[10]И1!D17</f>
        <v>Система теплоснабжения</v>
      </c>
      <c r="C8" s="13">
        <f>[10]И1!E17</f>
        <v>0</v>
      </c>
    </row>
    <row r="9" spans="1:3" x14ac:dyDescent="0.2">
      <c r="A9" s="8"/>
      <c r="B9" s="9" t="str">
        <f>[10]И1!D8</f>
        <v>Период регулирования (i)-й</v>
      </c>
      <c r="C9" s="14">
        <f>[10]И1!E8</f>
        <v>2023</v>
      </c>
    </row>
    <row r="10" spans="1:3" x14ac:dyDescent="0.2">
      <c r="A10" s="8"/>
      <c r="B10" s="9" t="str">
        <f>[10]И1!D9</f>
        <v>Период регулирования (i-1)-й</v>
      </c>
      <c r="C10" s="14">
        <f>[10]И1!E9</f>
        <v>2022</v>
      </c>
    </row>
    <row r="11" spans="1:3" x14ac:dyDescent="0.2">
      <c r="A11" s="8"/>
      <c r="B11" s="9" t="str">
        <f>[10]И1!D10</f>
        <v>Период регулирования (i-2)-й</v>
      </c>
      <c r="C11" s="14">
        <f>[10]И1!E10</f>
        <v>2021</v>
      </c>
    </row>
    <row r="12" spans="1:3" x14ac:dyDescent="0.2">
      <c r="A12" s="8"/>
      <c r="B12" s="9" t="str">
        <f>[10]И1!D11</f>
        <v>Базовый год (б)</v>
      </c>
      <c r="C12" s="14">
        <f>[10]И1!E11</f>
        <v>2019</v>
      </c>
    </row>
    <row r="13" spans="1:3" ht="38.25" x14ac:dyDescent="0.2">
      <c r="A13" s="8"/>
      <c r="B13" s="9" t="str">
        <f>[10]И1!D18</f>
        <v>Вид топлива, использование которого преобладает в системе теплоснабжения</v>
      </c>
      <c r="C13" s="15" t="str">
        <f>[10]С1.1!E13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4147.8925462683374</v>
      </c>
    </row>
    <row r="18" spans="1:3" ht="42.75" x14ac:dyDescent="0.2">
      <c r="A18" s="22" t="s">
        <v>8</v>
      </c>
      <c r="B18" s="25" t="s">
        <v>9</v>
      </c>
      <c r="C18" s="26">
        <f>[10]С1!F12</f>
        <v>1056.2203484150468</v>
      </c>
    </row>
    <row r="19" spans="1:3" ht="42.75" x14ac:dyDescent="0.2">
      <c r="A19" s="22" t="s">
        <v>10</v>
      </c>
      <c r="B19" s="25" t="s">
        <v>11</v>
      </c>
      <c r="C19" s="26">
        <f>[10]С2!F12</f>
        <v>2106.0579468653982</v>
      </c>
    </row>
    <row r="20" spans="1:3" ht="30" x14ac:dyDescent="0.2">
      <c r="A20" s="22" t="s">
        <v>12</v>
      </c>
      <c r="B20" s="25" t="s">
        <v>13</v>
      </c>
      <c r="C20" s="26">
        <f>[10]С3!F12</f>
        <v>503.83473408478085</v>
      </c>
    </row>
    <row r="21" spans="1:3" ht="42.75" x14ac:dyDescent="0.2">
      <c r="A21" s="22" t="s">
        <v>14</v>
      </c>
      <c r="B21" s="25" t="s">
        <v>15</v>
      </c>
      <c r="C21" s="26">
        <f>[10]С4!F12</f>
        <v>400.44829050569314</v>
      </c>
    </row>
    <row r="22" spans="1:3" ht="30" x14ac:dyDescent="0.2">
      <c r="A22" s="22" t="s">
        <v>16</v>
      </c>
      <c r="B22" s="25" t="s">
        <v>17</v>
      </c>
      <c r="C22" s="26">
        <f>[10]С5!F12</f>
        <v>81.331226397418376</v>
      </c>
    </row>
    <row r="23" spans="1:3" ht="43.5" thickBot="1" x14ac:dyDescent="0.25">
      <c r="A23" s="27" t="s">
        <v>18</v>
      </c>
      <c r="B23" s="119" t="s">
        <v>19</v>
      </c>
      <c r="C23" s="29" t="str">
        <f>[10]С6!F12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[10]С1.1!E16</f>
        <v>5100</v>
      </c>
    </row>
    <row r="29" spans="1:3" ht="42.75" x14ac:dyDescent="0.2">
      <c r="A29" s="22" t="s">
        <v>10</v>
      </c>
      <c r="B29" s="34" t="s">
        <v>22</v>
      </c>
      <c r="C29" s="35">
        <f>[10]С1.1!E27</f>
        <v>2840</v>
      </c>
    </row>
    <row r="30" spans="1:3" ht="17.25" x14ac:dyDescent="0.2">
      <c r="A30" s="22" t="s">
        <v>12</v>
      </c>
      <c r="B30" s="34" t="s">
        <v>23</v>
      </c>
      <c r="C30" s="36">
        <f>[10]С1.1!E19</f>
        <v>0.59499999999999997</v>
      </c>
    </row>
    <row r="31" spans="1:3" ht="17.25" x14ac:dyDescent="0.2">
      <c r="A31" s="22" t="s">
        <v>14</v>
      </c>
      <c r="B31" s="34" t="s">
        <v>24</v>
      </c>
      <c r="C31" s="36">
        <f>[10]С1.1!E20</f>
        <v>-0.113</v>
      </c>
    </row>
    <row r="32" spans="1:3" ht="30" x14ac:dyDescent="0.2">
      <c r="A32" s="22" t="s">
        <v>16</v>
      </c>
      <c r="B32" s="37" t="s">
        <v>25</v>
      </c>
      <c r="C32" s="38">
        <f>[10]С1!F13</f>
        <v>176.4</v>
      </c>
    </row>
    <row r="33" spans="1:3" x14ac:dyDescent="0.2">
      <c r="A33" s="22" t="s">
        <v>18</v>
      </c>
      <c r="B33" s="37" t="s">
        <v>26</v>
      </c>
      <c r="C33" s="39">
        <f>[10]С1!F16</f>
        <v>7000</v>
      </c>
    </row>
    <row r="34" spans="1:3" ht="14.25" x14ac:dyDescent="0.2">
      <c r="A34" s="22" t="s">
        <v>27</v>
      </c>
      <c r="B34" s="40" t="s">
        <v>28</v>
      </c>
      <c r="C34" s="41">
        <f>[10]С1!F17</f>
        <v>0.72857142857142854</v>
      </c>
    </row>
    <row r="35" spans="1:3" ht="15.75" x14ac:dyDescent="0.2">
      <c r="A35" s="42" t="s">
        <v>29</v>
      </c>
      <c r="B35" s="43" t="s">
        <v>30</v>
      </c>
      <c r="C35" s="41">
        <f>[10]С1!F20</f>
        <v>21.588411179999994</v>
      </c>
    </row>
    <row r="36" spans="1:3" ht="15.75" x14ac:dyDescent="0.2">
      <c r="A36" s="42" t="s">
        <v>31</v>
      </c>
      <c r="B36" s="44" t="s">
        <v>32</v>
      </c>
      <c r="C36" s="41">
        <f>[10]С1!F21</f>
        <v>20.818139999999996</v>
      </c>
    </row>
    <row r="37" spans="1:3" ht="14.25" x14ac:dyDescent="0.2">
      <c r="A37" s="42" t="s">
        <v>33</v>
      </c>
      <c r="B37" s="45" t="s">
        <v>34</v>
      </c>
      <c r="C37" s="41">
        <f>[10]С1!F22</f>
        <v>1.0369999999999999</v>
      </c>
    </row>
    <row r="38" spans="1:3" ht="53.25" thickBot="1" x14ac:dyDescent="0.25">
      <c r="A38" s="27" t="s">
        <v>35</v>
      </c>
      <c r="B38" s="46" t="s">
        <v>36</v>
      </c>
      <c r="C38" s="47">
        <f>[10]С1!F23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[10]С2.1!E12</f>
        <v>V</v>
      </c>
    </row>
    <row r="42" spans="1:3" ht="25.5" x14ac:dyDescent="0.2">
      <c r="A42" s="22" t="s">
        <v>41</v>
      </c>
      <c r="B42" s="34" t="s">
        <v>42</v>
      </c>
      <c r="C42" s="52" t="str">
        <f>[10]С2.1!E13</f>
        <v>6 и менее баллов</v>
      </c>
    </row>
    <row r="43" spans="1:3" ht="25.5" x14ac:dyDescent="0.2">
      <c r="A43" s="22" t="s">
        <v>43</v>
      </c>
      <c r="B43" s="34" t="s">
        <v>44</v>
      </c>
      <c r="C43" s="52" t="str">
        <f>[10]С2.1!E14</f>
        <v>от 200 до 500</v>
      </c>
    </row>
    <row r="44" spans="1:3" ht="25.5" x14ac:dyDescent="0.2">
      <c r="A44" s="22" t="s">
        <v>45</v>
      </c>
      <c r="B44" s="34" t="s">
        <v>46</v>
      </c>
      <c r="C44" s="53" t="str">
        <f>[10]С2.1!E15</f>
        <v>нет</v>
      </c>
    </row>
    <row r="45" spans="1:3" ht="30" x14ac:dyDescent="0.2">
      <c r="A45" s="22" t="s">
        <v>47</v>
      </c>
      <c r="B45" s="34" t="s">
        <v>48</v>
      </c>
      <c r="C45" s="35">
        <f>[10]С2!F18</f>
        <v>32402.627334033532</v>
      </c>
    </row>
    <row r="46" spans="1:3" ht="30" x14ac:dyDescent="0.2">
      <c r="A46" s="22" t="s">
        <v>49</v>
      </c>
      <c r="B46" s="54" t="s">
        <v>50</v>
      </c>
      <c r="C46" s="35">
        <f>IF([10]С2!F19&gt;0,[10]С2!F19,[10]С2!F20)</f>
        <v>23441.524932855718</v>
      </c>
    </row>
    <row r="47" spans="1:3" ht="25.5" x14ac:dyDescent="0.2">
      <c r="A47" s="22" t="s">
        <v>51</v>
      </c>
      <c r="B47" s="55" t="s">
        <v>52</v>
      </c>
      <c r="C47" s="35">
        <f>[10]С2.1!E19</f>
        <v>-37</v>
      </c>
    </row>
    <row r="48" spans="1:3" ht="25.5" x14ac:dyDescent="0.2">
      <c r="A48" s="22" t="s">
        <v>53</v>
      </c>
      <c r="B48" s="55" t="s">
        <v>54</v>
      </c>
      <c r="C48" s="35" t="str">
        <f>[10]С2.1!E22</f>
        <v>нет</v>
      </c>
    </row>
    <row r="49" spans="1:3" ht="38.25" x14ac:dyDescent="0.2">
      <c r="A49" s="22" t="s">
        <v>55</v>
      </c>
      <c r="B49" s="56" t="s">
        <v>56</v>
      </c>
      <c r="C49" s="35">
        <f>[10]С2.2!E10</f>
        <v>1287</v>
      </c>
    </row>
    <row r="50" spans="1:3" ht="25.5" x14ac:dyDescent="0.2">
      <c r="A50" s="22" t="s">
        <v>57</v>
      </c>
      <c r="B50" s="57" t="s">
        <v>58</v>
      </c>
      <c r="C50" s="35">
        <f>[10]С2.2!E12</f>
        <v>5.97</v>
      </c>
    </row>
    <row r="51" spans="1:3" ht="52.5" x14ac:dyDescent="0.2">
      <c r="A51" s="22" t="s">
        <v>59</v>
      </c>
      <c r="B51" s="58" t="s">
        <v>60</v>
      </c>
      <c r="C51" s="35">
        <f>[10]С2.2!E13</f>
        <v>1</v>
      </c>
    </row>
    <row r="52" spans="1:3" ht="27.75" x14ac:dyDescent="0.2">
      <c r="A52" s="22" t="s">
        <v>61</v>
      </c>
      <c r="B52" s="57" t="s">
        <v>62</v>
      </c>
      <c r="C52" s="35">
        <f>[10]С2.2!E14</f>
        <v>12104</v>
      </c>
    </row>
    <row r="53" spans="1:3" ht="25.5" x14ac:dyDescent="0.2">
      <c r="A53" s="22" t="s">
        <v>63</v>
      </c>
      <c r="B53" s="58" t="s">
        <v>64</v>
      </c>
      <c r="C53" s="36">
        <f>[10]С2.2!E15</f>
        <v>4.8000000000000001E-2</v>
      </c>
    </row>
    <row r="54" spans="1:3" x14ac:dyDescent="0.2">
      <c r="A54" s="22" t="s">
        <v>65</v>
      </c>
      <c r="B54" s="58" t="s">
        <v>66</v>
      </c>
      <c r="C54" s="35">
        <f>[10]С2.2!E16</f>
        <v>1</v>
      </c>
    </row>
    <row r="55" spans="1:3" ht="15.75" x14ac:dyDescent="0.2">
      <c r="A55" s="22" t="s">
        <v>67</v>
      </c>
      <c r="B55" s="59" t="s">
        <v>68</v>
      </c>
      <c r="C55" s="35">
        <f>[10]С2!F21</f>
        <v>1</v>
      </c>
    </row>
    <row r="56" spans="1:3" ht="30" x14ac:dyDescent="0.2">
      <c r="A56" s="60" t="s">
        <v>69</v>
      </c>
      <c r="B56" s="34" t="s">
        <v>70</v>
      </c>
      <c r="C56" s="35">
        <f>[10]С2!F13</f>
        <v>169640.22915965237</v>
      </c>
    </row>
    <row r="57" spans="1:3" ht="30" x14ac:dyDescent="0.2">
      <c r="A57" s="60" t="s">
        <v>71</v>
      </c>
      <c r="B57" s="59" t="s">
        <v>72</v>
      </c>
      <c r="C57" s="35">
        <f>[10]С2!F14</f>
        <v>113455</v>
      </c>
    </row>
    <row r="58" spans="1:3" ht="15.75" x14ac:dyDescent="0.2">
      <c r="A58" s="60" t="s">
        <v>73</v>
      </c>
      <c r="B58" s="61" t="s">
        <v>74</v>
      </c>
      <c r="C58" s="41">
        <f>[10]С2!F15</f>
        <v>1.071</v>
      </c>
    </row>
    <row r="59" spans="1:3" ht="15.75" x14ac:dyDescent="0.2">
      <c r="A59" s="60" t="s">
        <v>75</v>
      </c>
      <c r="B59" s="61" t="s">
        <v>76</v>
      </c>
      <c r="C59" s="41">
        <f>[10]С2!F16</f>
        <v>1</v>
      </c>
    </row>
    <row r="60" spans="1:3" ht="17.25" x14ac:dyDescent="0.2">
      <c r="A60" s="60" t="s">
        <v>77</v>
      </c>
      <c r="B60" s="59" t="s">
        <v>78</v>
      </c>
      <c r="C60" s="35">
        <f>[10]С2!F17</f>
        <v>1.01</v>
      </c>
    </row>
    <row r="61" spans="1:3" s="64" customFormat="1" ht="14.25" x14ac:dyDescent="0.2">
      <c r="A61" s="60" t="s">
        <v>79</v>
      </c>
      <c r="B61" s="62" t="s">
        <v>80</v>
      </c>
      <c r="C61" s="63">
        <f>[10]С2!F33</f>
        <v>10</v>
      </c>
    </row>
    <row r="62" spans="1:3" ht="30" x14ac:dyDescent="0.2">
      <c r="A62" s="60" t="s">
        <v>81</v>
      </c>
      <c r="B62" s="65" t="s">
        <v>82</v>
      </c>
      <c r="C62" s="35">
        <f>[10]С2!F26</f>
        <v>1123.6482814273334</v>
      </c>
    </row>
    <row r="63" spans="1:3" ht="17.25" x14ac:dyDescent="0.2">
      <c r="A63" s="60" t="s">
        <v>83</v>
      </c>
      <c r="B63" s="54" t="s">
        <v>84</v>
      </c>
      <c r="C63" s="35">
        <f>[10]С2!F27</f>
        <v>0.19354712999999998</v>
      </c>
    </row>
    <row r="64" spans="1:3" ht="17.25" x14ac:dyDescent="0.2">
      <c r="A64" s="60" t="s">
        <v>85</v>
      </c>
      <c r="B64" s="59" t="s">
        <v>86</v>
      </c>
      <c r="C64" s="63">
        <f>[10]С2!F28</f>
        <v>4200</v>
      </c>
    </row>
    <row r="65" spans="1:3" ht="42.75" x14ac:dyDescent="0.2">
      <c r="A65" s="60" t="s">
        <v>87</v>
      </c>
      <c r="B65" s="34" t="s">
        <v>88</v>
      </c>
      <c r="C65" s="35">
        <f>[10]С2!F22</f>
        <v>35717.748653137714</v>
      </c>
    </row>
    <row r="66" spans="1:3" ht="30" x14ac:dyDescent="0.2">
      <c r="A66" s="60" t="s">
        <v>89</v>
      </c>
      <c r="B66" s="61" t="s">
        <v>90</v>
      </c>
      <c r="C66" s="35">
        <f>[10]С2!F23</f>
        <v>1990</v>
      </c>
    </row>
    <row r="67" spans="1:3" ht="30" x14ac:dyDescent="0.2">
      <c r="A67" s="60" t="s">
        <v>91</v>
      </c>
      <c r="B67" s="54" t="s">
        <v>92</v>
      </c>
      <c r="C67" s="35">
        <f>[10]С2.1!E27</f>
        <v>14307.876789999998</v>
      </c>
    </row>
    <row r="68" spans="1:3" ht="38.25" x14ac:dyDescent="0.2">
      <c r="A68" s="60" t="s">
        <v>93</v>
      </c>
      <c r="B68" s="66" t="s">
        <v>94</v>
      </c>
      <c r="C68" s="53">
        <f>[10]С2.3!E21</f>
        <v>0</v>
      </c>
    </row>
    <row r="69" spans="1:3" ht="25.5" x14ac:dyDescent="0.2">
      <c r="A69" s="60" t="s">
        <v>95</v>
      </c>
      <c r="B69" s="67" t="s">
        <v>96</v>
      </c>
      <c r="C69" s="68">
        <f>[10]С2.3!E11</f>
        <v>9.89</v>
      </c>
    </row>
    <row r="70" spans="1:3" ht="25.5" x14ac:dyDescent="0.2">
      <c r="A70" s="60" t="s">
        <v>97</v>
      </c>
      <c r="B70" s="67" t="s">
        <v>98</v>
      </c>
      <c r="C70" s="63">
        <f>[10]С2.3!E13</f>
        <v>300</v>
      </c>
    </row>
    <row r="71" spans="1:3" ht="25.5" x14ac:dyDescent="0.2">
      <c r="A71" s="60" t="s">
        <v>99</v>
      </c>
      <c r="B71" s="66" t="s">
        <v>100</v>
      </c>
      <c r="C71" s="69">
        <f>IF([10]С2.3!E22&gt;0,[10]С2.3!E22,[10]С2.3!E14)</f>
        <v>61211</v>
      </c>
    </row>
    <row r="72" spans="1:3" ht="38.25" x14ac:dyDescent="0.2">
      <c r="A72" s="60" t="s">
        <v>101</v>
      </c>
      <c r="B72" s="66" t="s">
        <v>102</v>
      </c>
      <c r="C72" s="69">
        <f>IF([10]С2.3!E23&gt;0,[10]С2.3!E23,[10]С2.3!E15)</f>
        <v>45675</v>
      </c>
    </row>
    <row r="73" spans="1:3" ht="30" x14ac:dyDescent="0.2">
      <c r="A73" s="60" t="s">
        <v>103</v>
      </c>
      <c r="B73" s="54" t="s">
        <v>104</v>
      </c>
      <c r="C73" s="35">
        <f>[10]С2.1!E28</f>
        <v>9541.9567200000001</v>
      </c>
    </row>
    <row r="74" spans="1:3" ht="38.25" x14ac:dyDescent="0.2">
      <c r="A74" s="60" t="s">
        <v>105</v>
      </c>
      <c r="B74" s="66" t="s">
        <v>106</v>
      </c>
      <c r="C74" s="53">
        <f>[10]С2.3!E25</f>
        <v>0</v>
      </c>
    </row>
    <row r="75" spans="1:3" ht="25.5" x14ac:dyDescent="0.2">
      <c r="A75" s="60" t="s">
        <v>107</v>
      </c>
      <c r="B75" s="67" t="s">
        <v>108</v>
      </c>
      <c r="C75" s="68">
        <f>[10]С2.3!E12</f>
        <v>0.56000000000000005</v>
      </c>
    </row>
    <row r="76" spans="1:3" ht="25.5" x14ac:dyDescent="0.2">
      <c r="A76" s="60" t="s">
        <v>109</v>
      </c>
      <c r="B76" s="67" t="s">
        <v>98</v>
      </c>
      <c r="C76" s="63">
        <f>[10]С2.3!E13</f>
        <v>300</v>
      </c>
    </row>
    <row r="77" spans="1:3" ht="25.5" x14ac:dyDescent="0.2">
      <c r="A77" s="60" t="s">
        <v>110</v>
      </c>
      <c r="B77" s="70" t="s">
        <v>111</v>
      </c>
      <c r="C77" s="69">
        <f>IF([10]С2.3!E26&gt;0,[10]С2.3!E26,[10]С2.3!E16)</f>
        <v>65637</v>
      </c>
    </row>
    <row r="78" spans="1:3" ht="38.25" x14ac:dyDescent="0.2">
      <c r="A78" s="60" t="s">
        <v>112</v>
      </c>
      <c r="B78" s="70" t="s">
        <v>113</v>
      </c>
      <c r="C78" s="69">
        <f>IF([10]С2.3!E27&gt;0,[10]С2.3!E27,[10]С2.3!E17)</f>
        <v>31684</v>
      </c>
    </row>
    <row r="79" spans="1:3" ht="17.25" x14ac:dyDescent="0.2">
      <c r="A79" s="60" t="s">
        <v>114</v>
      </c>
      <c r="B79" s="34" t="s">
        <v>115</v>
      </c>
      <c r="C79" s="36">
        <f>[10]С2!F29</f>
        <v>0.128978033685065</v>
      </c>
    </row>
    <row r="80" spans="1:3" ht="30" x14ac:dyDescent="0.2">
      <c r="A80" s="60" t="s">
        <v>116</v>
      </c>
      <c r="B80" s="54" t="s">
        <v>117</v>
      </c>
      <c r="C80" s="71">
        <f>[10]С2!F30</f>
        <v>0.11668498168498169</v>
      </c>
    </row>
    <row r="81" spans="1:3" ht="17.25" x14ac:dyDescent="0.2">
      <c r="A81" s="60" t="s">
        <v>118</v>
      </c>
      <c r="B81" s="72" t="s">
        <v>119</v>
      </c>
      <c r="C81" s="36">
        <f>[10]С2!F31</f>
        <v>0.13880000000000001</v>
      </c>
    </row>
    <row r="82" spans="1:3" s="64" customFormat="1" ht="18" thickBot="1" x14ac:dyDescent="0.25">
      <c r="A82" s="73" t="s">
        <v>120</v>
      </c>
      <c r="B82" s="74" t="s">
        <v>121</v>
      </c>
      <c r="C82" s="75">
        <f>[10]С2!F32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[10]С3!F14</f>
        <v>6998.3755440420418</v>
      </c>
    </row>
    <row r="86" spans="1:3" s="64" customFormat="1" ht="42.75" x14ac:dyDescent="0.2">
      <c r="A86" s="78" t="s">
        <v>126</v>
      </c>
      <c r="B86" s="54" t="s">
        <v>127</v>
      </c>
      <c r="C86" s="79">
        <f>[10]С3!F15</f>
        <v>0.2</v>
      </c>
    </row>
    <row r="87" spans="1:3" s="64" customFormat="1" ht="14.25" x14ac:dyDescent="0.2">
      <c r="A87" s="78" t="s">
        <v>128</v>
      </c>
      <c r="B87" s="80" t="s">
        <v>129</v>
      </c>
      <c r="C87" s="63">
        <f>[10]С3!F18</f>
        <v>15</v>
      </c>
    </row>
    <row r="88" spans="1:3" s="64" customFormat="1" ht="17.25" x14ac:dyDescent="0.2">
      <c r="A88" s="78" t="s">
        <v>130</v>
      </c>
      <c r="B88" s="34" t="s">
        <v>131</v>
      </c>
      <c r="C88" s="35">
        <f>[10]С3!F19</f>
        <v>3487.1555421534131</v>
      </c>
    </row>
    <row r="89" spans="1:3" s="64" customFormat="1" ht="55.5" x14ac:dyDescent="0.2">
      <c r="A89" s="78" t="s">
        <v>132</v>
      </c>
      <c r="B89" s="54" t="s">
        <v>133</v>
      </c>
      <c r="C89" s="81">
        <f>[10]С3!F20</f>
        <v>2.1999999999999999E-2</v>
      </c>
    </row>
    <row r="90" spans="1:3" s="64" customFormat="1" ht="14.25" x14ac:dyDescent="0.2">
      <c r="A90" s="78" t="s">
        <v>134</v>
      </c>
      <c r="B90" s="59" t="s">
        <v>80</v>
      </c>
      <c r="C90" s="63">
        <f>[10]С3!F21</f>
        <v>10</v>
      </c>
    </row>
    <row r="91" spans="1:3" s="64" customFormat="1" ht="17.25" x14ac:dyDescent="0.2">
      <c r="A91" s="78" t="s">
        <v>135</v>
      </c>
      <c r="B91" s="34" t="s">
        <v>136</v>
      </c>
      <c r="C91" s="35">
        <f>[10]С3!F22</f>
        <v>3.370944844282</v>
      </c>
    </row>
    <row r="92" spans="1:3" s="64" customFormat="1" ht="55.5" x14ac:dyDescent="0.2">
      <c r="A92" s="78" t="s">
        <v>137</v>
      </c>
      <c r="B92" s="54" t="s">
        <v>138</v>
      </c>
      <c r="C92" s="81">
        <f>[10]С3!F23</f>
        <v>3.0000000000000001E-3</v>
      </c>
    </row>
    <row r="93" spans="1:3" s="64" customFormat="1" ht="27.75" thickBot="1" x14ac:dyDescent="0.25">
      <c r="A93" s="82" t="s">
        <v>139</v>
      </c>
      <c r="B93" s="83" t="s">
        <v>140</v>
      </c>
      <c r="C93" s="84">
        <f>[10]С3!F24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[10]С4!F16</f>
        <v>1652.5</v>
      </c>
    </row>
    <row r="97" spans="1:3" ht="30" x14ac:dyDescent="0.2">
      <c r="A97" s="60" t="s">
        <v>145</v>
      </c>
      <c r="B97" s="59" t="s">
        <v>146</v>
      </c>
      <c r="C97" s="35">
        <f>[10]С4!F17</f>
        <v>73547</v>
      </c>
    </row>
    <row r="98" spans="1:3" ht="17.25" x14ac:dyDescent="0.2">
      <c r="A98" s="60" t="s">
        <v>147</v>
      </c>
      <c r="B98" s="59" t="s">
        <v>148</v>
      </c>
      <c r="C98" s="41">
        <f>[10]С4!F18</f>
        <v>0.02</v>
      </c>
    </row>
    <row r="99" spans="1:3" ht="30" x14ac:dyDescent="0.2">
      <c r="A99" s="60" t="s">
        <v>149</v>
      </c>
      <c r="B99" s="59" t="s">
        <v>150</v>
      </c>
      <c r="C99" s="35">
        <f>[10]С4!F19</f>
        <v>12104</v>
      </c>
    </row>
    <row r="100" spans="1:3" ht="31.5" x14ac:dyDescent="0.2">
      <c r="A100" s="60" t="s">
        <v>151</v>
      </c>
      <c r="B100" s="59" t="s">
        <v>152</v>
      </c>
      <c r="C100" s="41">
        <f>[10]С4!F20</f>
        <v>1.4999999999999999E-2</v>
      </c>
    </row>
    <row r="101" spans="1:3" ht="30" x14ac:dyDescent="0.2">
      <c r="A101" s="60" t="s">
        <v>153</v>
      </c>
      <c r="B101" s="34" t="s">
        <v>154</v>
      </c>
      <c r="C101" s="35">
        <f>[10]С4!F21</f>
        <v>1933.1949342509995</v>
      </c>
    </row>
    <row r="102" spans="1:3" ht="24" customHeight="1" x14ac:dyDescent="0.2">
      <c r="A102" s="60" t="s">
        <v>155</v>
      </c>
      <c r="B102" s="54" t="s">
        <v>156</v>
      </c>
      <c r="C102" s="86">
        <f>IF([10]С4.2!F8="да",[10]С4.2!D21,[10]С4.2!D15)</f>
        <v>0</v>
      </c>
    </row>
    <row r="103" spans="1:3" ht="68.25" x14ac:dyDescent="0.2">
      <c r="A103" s="60" t="s">
        <v>157</v>
      </c>
      <c r="B103" s="54" t="s">
        <v>158</v>
      </c>
      <c r="C103" s="35">
        <f>[10]С4!F22</f>
        <v>3.6112641666666665</v>
      </c>
    </row>
    <row r="104" spans="1:3" ht="30" x14ac:dyDescent="0.2">
      <c r="A104" s="60" t="s">
        <v>159</v>
      </c>
      <c r="B104" s="59" t="s">
        <v>160</v>
      </c>
      <c r="C104" s="35">
        <f>[10]С4!F23</f>
        <v>180</v>
      </c>
    </row>
    <row r="105" spans="1:3" ht="14.25" x14ac:dyDescent="0.2">
      <c r="A105" s="60" t="s">
        <v>161</v>
      </c>
      <c r="B105" s="54" t="s">
        <v>162</v>
      </c>
      <c r="C105" s="35">
        <f>[10]С4!F24</f>
        <v>8497.1999999999989</v>
      </c>
    </row>
    <row r="106" spans="1:3" ht="14.25" x14ac:dyDescent="0.2">
      <c r="A106" s="60" t="s">
        <v>163</v>
      </c>
      <c r="B106" s="59" t="s">
        <v>164</v>
      </c>
      <c r="C106" s="41">
        <f>[10]С4!F25</f>
        <v>0.35</v>
      </c>
    </row>
    <row r="107" spans="1:3" ht="17.25" x14ac:dyDescent="0.2">
      <c r="A107" s="60" t="s">
        <v>165</v>
      </c>
      <c r="B107" s="34" t="s">
        <v>166</v>
      </c>
      <c r="C107" s="35">
        <f>[10]С4!F26</f>
        <v>40.20411</v>
      </c>
    </row>
    <row r="108" spans="1:3" ht="25.5" x14ac:dyDescent="0.2">
      <c r="A108" s="60" t="s">
        <v>167</v>
      </c>
      <c r="B108" s="54" t="s">
        <v>94</v>
      </c>
      <c r="C108" s="86">
        <f>[10]С4.3!E16</f>
        <v>0</v>
      </c>
    </row>
    <row r="109" spans="1:3" ht="25.5" x14ac:dyDescent="0.2">
      <c r="A109" s="60" t="s">
        <v>168</v>
      </c>
      <c r="B109" s="54" t="s">
        <v>169</v>
      </c>
      <c r="C109" s="35">
        <f>[10]С4.3!E17</f>
        <v>10.09</v>
      </c>
    </row>
    <row r="110" spans="1:3" ht="38.25" x14ac:dyDescent="0.2">
      <c r="A110" s="60" t="s">
        <v>170</v>
      </c>
      <c r="B110" s="54" t="s">
        <v>106</v>
      </c>
      <c r="C110" s="86">
        <f>[10]С4.3!E18</f>
        <v>0</v>
      </c>
    </row>
    <row r="111" spans="1:3" x14ac:dyDescent="0.2">
      <c r="A111" s="60" t="s">
        <v>171</v>
      </c>
      <c r="B111" s="54" t="s">
        <v>172</v>
      </c>
      <c r="C111" s="35">
        <f>[10]С4.3!E19</f>
        <v>23.62</v>
      </c>
    </row>
    <row r="112" spans="1:3" x14ac:dyDescent="0.2">
      <c r="A112" s="60" t="s">
        <v>173</v>
      </c>
      <c r="B112" s="59" t="s">
        <v>174</v>
      </c>
      <c r="C112" s="35">
        <f>[10]С4.3!E11</f>
        <v>1871</v>
      </c>
    </row>
    <row r="113" spans="1:3" x14ac:dyDescent="0.2">
      <c r="A113" s="60" t="s">
        <v>175</v>
      </c>
      <c r="B113" s="59" t="s">
        <v>176</v>
      </c>
      <c r="C113" s="53">
        <f>[10]С4.3!E12</f>
        <v>1636</v>
      </c>
    </row>
    <row r="114" spans="1:3" x14ac:dyDescent="0.2">
      <c r="A114" s="60" t="s">
        <v>177</v>
      </c>
      <c r="B114" s="59" t="s">
        <v>178</v>
      </c>
      <c r="C114" s="53">
        <f>[10]С4.3!E13</f>
        <v>204</v>
      </c>
    </row>
    <row r="115" spans="1:3" ht="30" x14ac:dyDescent="0.2">
      <c r="A115" s="60" t="s">
        <v>179</v>
      </c>
      <c r="B115" s="34" t="s">
        <v>180</v>
      </c>
      <c r="C115" s="35">
        <f>[10]С4!F27</f>
        <v>776.44759830395003</v>
      </c>
    </row>
    <row r="116" spans="1:3" ht="25.5" x14ac:dyDescent="0.2">
      <c r="A116" s="60" t="s">
        <v>181</v>
      </c>
      <c r="B116" s="54" t="s">
        <v>182</v>
      </c>
      <c r="C116" s="35">
        <f>[10]С4!F28</f>
        <v>596.34992189243474</v>
      </c>
    </row>
    <row r="117" spans="1:3" ht="42.75" x14ac:dyDescent="0.2">
      <c r="A117" s="60" t="s">
        <v>183</v>
      </c>
      <c r="B117" s="54" t="s">
        <v>184</v>
      </c>
      <c r="C117" s="35">
        <f>[10]С4!F29</f>
        <v>180.09767641151529</v>
      </c>
    </row>
    <row r="118" spans="1:3" ht="30" x14ac:dyDescent="0.2">
      <c r="A118" s="60" t="s">
        <v>185</v>
      </c>
      <c r="B118" s="40" t="s">
        <v>186</v>
      </c>
      <c r="C118" s="35">
        <f>[10]С4!F30</f>
        <v>2251.3360978654923</v>
      </c>
    </row>
    <row r="119" spans="1:3" ht="42.75" x14ac:dyDescent="0.2">
      <c r="A119" s="60" t="s">
        <v>187</v>
      </c>
      <c r="B119" s="87" t="s">
        <v>188</v>
      </c>
      <c r="C119" s="35">
        <f>[10]С4!F33</f>
        <v>1556.2386968907254</v>
      </c>
    </row>
    <row r="120" spans="1:3" ht="30" x14ac:dyDescent="0.2">
      <c r="A120" s="60" t="s">
        <v>189</v>
      </c>
      <c r="B120" s="88" t="s">
        <v>190</v>
      </c>
      <c r="C120" s="35">
        <f>[10]С4!F35</f>
        <v>17.040680999999999</v>
      </c>
    </row>
    <row r="121" spans="1:3" ht="14.25" x14ac:dyDescent="0.2">
      <c r="A121" s="60" t="s">
        <v>191</v>
      </c>
      <c r="B121" s="57" t="s">
        <v>192</v>
      </c>
      <c r="C121" s="35">
        <f>[10]С4!F36</f>
        <v>14319.9</v>
      </c>
    </row>
    <row r="122" spans="1:3" ht="28.5" thickBot="1" x14ac:dyDescent="0.25">
      <c r="A122" s="73" t="s">
        <v>193</v>
      </c>
      <c r="B122" s="89" t="s">
        <v>194</v>
      </c>
      <c r="C122" s="84">
        <f>[10]С4!F37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[10]С5!F17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[10]С2!F37</f>
        <v>20.818139999999996</v>
      </c>
    </row>
    <row r="136" spans="1:4" ht="14.25" x14ac:dyDescent="0.2">
      <c r="A136" s="60" t="s">
        <v>216</v>
      </c>
      <c r="B136" s="102" t="s">
        <v>217</v>
      </c>
      <c r="C136" s="35">
        <f>[10]С2!F38</f>
        <v>7</v>
      </c>
    </row>
    <row r="137" spans="1:4" ht="17.25" x14ac:dyDescent="0.2">
      <c r="A137" s="60" t="s">
        <v>218</v>
      </c>
      <c r="B137" s="102" t="s">
        <v>219</v>
      </c>
      <c r="C137" s="35">
        <f>[10]С2!F40</f>
        <v>0.97</v>
      </c>
    </row>
    <row r="138" spans="1:4" ht="15" thickBot="1" x14ac:dyDescent="0.25">
      <c r="A138" s="73" t="s">
        <v>220</v>
      </c>
      <c r="B138" s="103" t="s">
        <v>221</v>
      </c>
      <c r="C138" s="47">
        <f>[10]С2!F42</f>
        <v>0.35</v>
      </c>
    </row>
    <row r="139" spans="1:4" s="90" customFormat="1" ht="13.5" thickBot="1" x14ac:dyDescent="0.25">
      <c r="A139" s="48"/>
      <c r="B139" s="76"/>
      <c r="C139" s="15"/>
    </row>
    <row r="140" spans="1:4" ht="30" x14ac:dyDescent="0.2">
      <c r="A140" s="85" t="s">
        <v>222</v>
      </c>
      <c r="B140" s="104" t="s">
        <v>223</v>
      </c>
      <c r="C140" s="105">
        <f>[10]С2!F35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[10]С2.5!$E$11</f>
        <v>-2.9000000000000026E-2</v>
      </c>
      <c r="D143" s="90"/>
    </row>
    <row r="144" spans="1:4" x14ac:dyDescent="0.2">
      <c r="A144" s="107"/>
      <c r="B144" s="112">
        <f>B143+1</f>
        <v>2021</v>
      </c>
      <c r="C144" s="113">
        <f>[10]С2.5!$F$11</f>
        <v>0.245</v>
      </c>
      <c r="D144" s="90"/>
    </row>
    <row r="145" spans="1:4" x14ac:dyDescent="0.2">
      <c r="A145" s="107"/>
      <c r="B145" s="112">
        <f t="shared" ref="B145:B208" si="0">B144+1</f>
        <v>2022</v>
      </c>
      <c r="C145" s="113">
        <f>[10]С2.5!$G$11</f>
        <v>0.121</v>
      </c>
      <c r="D145" s="90"/>
    </row>
    <row r="146" spans="1:4" ht="13.5" thickBot="1" x14ac:dyDescent="0.25">
      <c r="A146" s="107"/>
      <c r="B146" s="114">
        <f t="shared" si="0"/>
        <v>2023</v>
      </c>
      <c r="C146" s="115">
        <f>[10]С2.5!$H$11</f>
        <v>0.02</v>
      </c>
      <c r="D146" s="90"/>
    </row>
    <row r="147" spans="1:4" hidden="1" x14ac:dyDescent="0.2">
      <c r="A147" s="107"/>
      <c r="B147" s="116">
        <f t="shared" si="0"/>
        <v>2024</v>
      </c>
      <c r="C147" s="117">
        <f>[10]С2.5!$I$11</f>
        <v>-2.93E-2</v>
      </c>
      <c r="D147" s="90"/>
    </row>
    <row r="148" spans="1:4" hidden="1" x14ac:dyDescent="0.2">
      <c r="A148" s="107"/>
      <c r="B148" s="112">
        <f t="shared" si="0"/>
        <v>2025</v>
      </c>
      <c r="C148" s="113">
        <f>[10]С2.5!$J$11</f>
        <v>0.21215960863291</v>
      </c>
      <c r="D148" s="90"/>
    </row>
    <row r="149" spans="1:4" hidden="1" x14ac:dyDescent="0.2">
      <c r="A149" s="107"/>
      <c r="B149" s="112">
        <f t="shared" si="0"/>
        <v>2026</v>
      </c>
      <c r="C149" s="113">
        <f>[10]С2.5!$K$11</f>
        <v>3.5813361771260002E-2</v>
      </c>
      <c r="D149" s="90"/>
    </row>
    <row r="150" spans="1:4" hidden="1" x14ac:dyDescent="0.2">
      <c r="A150" s="107"/>
      <c r="B150" s="112">
        <f t="shared" si="0"/>
        <v>2027</v>
      </c>
      <c r="C150" s="113">
        <f>[10]С2.5!$L$11</f>
        <v>3.2682303599220003E-2</v>
      </c>
      <c r="D150" s="90"/>
    </row>
    <row r="151" spans="1:4" hidden="1" x14ac:dyDescent="0.2">
      <c r="A151" s="107"/>
      <c r="B151" s="112">
        <f t="shared" si="0"/>
        <v>2028</v>
      </c>
      <c r="C151" s="113">
        <f>[10]С2.5!$M$11</f>
        <v>0</v>
      </c>
      <c r="D151" s="90"/>
    </row>
    <row r="152" spans="1:4" hidden="1" x14ac:dyDescent="0.2">
      <c r="A152" s="107"/>
      <c r="B152" s="112">
        <f t="shared" si="0"/>
        <v>2029</v>
      </c>
      <c r="C152" s="113">
        <f>[10]С2.5!$N$11</f>
        <v>0</v>
      </c>
      <c r="D152" s="90"/>
    </row>
    <row r="153" spans="1:4" hidden="1" x14ac:dyDescent="0.2">
      <c r="A153" s="107"/>
      <c r="B153" s="112">
        <f t="shared" si="0"/>
        <v>2030</v>
      </c>
      <c r="C153" s="113">
        <f>[10]С2.5!$O$11</f>
        <v>0</v>
      </c>
      <c r="D153" s="90"/>
    </row>
    <row r="154" spans="1:4" hidden="1" x14ac:dyDescent="0.2">
      <c r="A154" s="107"/>
      <c r="B154" s="112">
        <f t="shared" si="0"/>
        <v>2031</v>
      </c>
      <c r="C154" s="113">
        <f>[10]С2.5!$P$11</f>
        <v>0</v>
      </c>
      <c r="D154" s="90"/>
    </row>
    <row r="155" spans="1:4" hidden="1" x14ac:dyDescent="0.2">
      <c r="A155" s="90"/>
      <c r="B155" s="112">
        <f t="shared" si="0"/>
        <v>2032</v>
      </c>
      <c r="C155" s="113">
        <f>[10]С2.5!$Q$11</f>
        <v>0</v>
      </c>
      <c r="D155" s="90"/>
    </row>
    <row r="156" spans="1:4" hidden="1" x14ac:dyDescent="0.2">
      <c r="A156" s="90"/>
      <c r="B156" s="112">
        <f t="shared" si="0"/>
        <v>2033</v>
      </c>
      <c r="C156" s="113">
        <f>[10]С2.5!$R$11</f>
        <v>0</v>
      </c>
      <c r="D156" s="90"/>
    </row>
    <row r="157" spans="1:4" hidden="1" x14ac:dyDescent="0.2">
      <c r="B157" s="112">
        <f t="shared" si="0"/>
        <v>2034</v>
      </c>
      <c r="C157" s="113">
        <f>[10]С2.5!$S$11</f>
        <v>0</v>
      </c>
    </row>
    <row r="158" spans="1:4" hidden="1" x14ac:dyDescent="0.2">
      <c r="B158" s="112">
        <f t="shared" si="0"/>
        <v>2035</v>
      </c>
      <c r="C158" s="113">
        <f>[10]С2.5!$T$11</f>
        <v>0</v>
      </c>
    </row>
    <row r="159" spans="1:4" hidden="1" x14ac:dyDescent="0.2">
      <c r="B159" s="112">
        <f t="shared" si="0"/>
        <v>2036</v>
      </c>
      <c r="C159" s="113">
        <f>[10]С2.5!$U$11</f>
        <v>0</v>
      </c>
    </row>
    <row r="160" spans="1:4" hidden="1" x14ac:dyDescent="0.2">
      <c r="B160" s="112">
        <f t="shared" si="0"/>
        <v>2037</v>
      </c>
      <c r="C160" s="113">
        <f>[10]С2.5!$V$11</f>
        <v>0</v>
      </c>
    </row>
    <row r="161" spans="2:3" hidden="1" x14ac:dyDescent="0.2">
      <c r="B161" s="112">
        <f t="shared" si="0"/>
        <v>2038</v>
      </c>
      <c r="C161" s="113">
        <f>[10]С2.5!$W$11</f>
        <v>0</v>
      </c>
    </row>
    <row r="162" spans="2:3" hidden="1" x14ac:dyDescent="0.2">
      <c r="B162" s="112">
        <f t="shared" si="0"/>
        <v>2039</v>
      </c>
      <c r="C162" s="113">
        <f>[10]С2.5!$X$11</f>
        <v>0</v>
      </c>
    </row>
    <row r="163" spans="2:3" hidden="1" x14ac:dyDescent="0.2">
      <c r="B163" s="112">
        <f t="shared" si="0"/>
        <v>2040</v>
      </c>
      <c r="C163" s="113">
        <f>[10]С2.5!$Y$11</f>
        <v>0</v>
      </c>
    </row>
    <row r="164" spans="2:3" hidden="1" x14ac:dyDescent="0.2">
      <c r="B164" s="112">
        <f t="shared" si="0"/>
        <v>2041</v>
      </c>
      <c r="C164" s="113">
        <f>[10]С2.5!$Z$11</f>
        <v>0</v>
      </c>
    </row>
    <row r="165" spans="2:3" hidden="1" x14ac:dyDescent="0.2">
      <c r="B165" s="112">
        <f t="shared" si="0"/>
        <v>2042</v>
      </c>
      <c r="C165" s="113">
        <f>[10]С2.5!$AA$11</f>
        <v>0</v>
      </c>
    </row>
    <row r="166" spans="2:3" hidden="1" x14ac:dyDescent="0.2">
      <c r="B166" s="112">
        <f t="shared" si="0"/>
        <v>2043</v>
      </c>
      <c r="C166" s="113">
        <f>[10]С2.5!$AB$11</f>
        <v>0</v>
      </c>
    </row>
    <row r="167" spans="2:3" hidden="1" x14ac:dyDescent="0.2">
      <c r="B167" s="112">
        <f t="shared" si="0"/>
        <v>2044</v>
      </c>
      <c r="C167" s="113">
        <f>[10]С2.5!$AC$11</f>
        <v>0</v>
      </c>
    </row>
    <row r="168" spans="2:3" hidden="1" x14ac:dyDescent="0.2">
      <c r="B168" s="112">
        <f t="shared" si="0"/>
        <v>2045</v>
      </c>
      <c r="C168" s="113">
        <f>[10]С2.5!$AD$11</f>
        <v>0</v>
      </c>
    </row>
    <row r="169" spans="2:3" hidden="1" x14ac:dyDescent="0.2">
      <c r="B169" s="112">
        <f t="shared" si="0"/>
        <v>2046</v>
      </c>
      <c r="C169" s="113">
        <f>[10]С2.5!$AE$11</f>
        <v>0</v>
      </c>
    </row>
    <row r="170" spans="2:3" hidden="1" x14ac:dyDescent="0.2">
      <c r="B170" s="112">
        <f t="shared" si="0"/>
        <v>2047</v>
      </c>
      <c r="C170" s="113">
        <f>[10]С2.5!$AF$11</f>
        <v>0</v>
      </c>
    </row>
    <row r="171" spans="2:3" hidden="1" x14ac:dyDescent="0.2">
      <c r="B171" s="112">
        <f t="shared" si="0"/>
        <v>2048</v>
      </c>
      <c r="C171" s="113">
        <f>[10]С2.5!$AG$11</f>
        <v>0</v>
      </c>
    </row>
    <row r="172" spans="2:3" hidden="1" x14ac:dyDescent="0.2">
      <c r="B172" s="112">
        <f t="shared" si="0"/>
        <v>2049</v>
      </c>
      <c r="C172" s="113">
        <f>[10]С2.5!$AH$11</f>
        <v>0</v>
      </c>
    </row>
    <row r="173" spans="2:3" hidden="1" x14ac:dyDescent="0.2">
      <c r="B173" s="112">
        <f t="shared" si="0"/>
        <v>2050</v>
      </c>
      <c r="C173" s="113">
        <f>[10]С2.5!$AI$11</f>
        <v>0</v>
      </c>
    </row>
    <row r="174" spans="2:3" hidden="1" x14ac:dyDescent="0.2">
      <c r="B174" s="112">
        <f t="shared" si="0"/>
        <v>2051</v>
      </c>
      <c r="C174" s="113">
        <f>[10]С2.5!$AJ$11</f>
        <v>0</v>
      </c>
    </row>
    <row r="175" spans="2:3" hidden="1" x14ac:dyDescent="0.2">
      <c r="B175" s="112">
        <f t="shared" si="0"/>
        <v>2052</v>
      </c>
      <c r="C175" s="113">
        <f>[10]С2.5!$AK$11</f>
        <v>0</v>
      </c>
    </row>
    <row r="176" spans="2:3" hidden="1" x14ac:dyDescent="0.2">
      <c r="B176" s="112">
        <f t="shared" si="0"/>
        <v>2053</v>
      </c>
      <c r="C176" s="113">
        <f>[10]С2.5!$AL$11</f>
        <v>0</v>
      </c>
    </row>
    <row r="177" spans="2:3" hidden="1" x14ac:dyDescent="0.2">
      <c r="B177" s="112">
        <f t="shared" si="0"/>
        <v>2054</v>
      </c>
      <c r="C177" s="113">
        <f>[10]С2.5!$AM$11</f>
        <v>0</v>
      </c>
    </row>
    <row r="178" spans="2:3" hidden="1" x14ac:dyDescent="0.2">
      <c r="B178" s="112">
        <f t="shared" si="0"/>
        <v>2055</v>
      </c>
      <c r="C178" s="113">
        <f>[10]С2.5!$AN$11</f>
        <v>0</v>
      </c>
    </row>
    <row r="179" spans="2:3" hidden="1" x14ac:dyDescent="0.2">
      <c r="B179" s="112">
        <f t="shared" si="0"/>
        <v>2056</v>
      </c>
      <c r="C179" s="113">
        <f>[10]С2.5!$AO$11</f>
        <v>0</v>
      </c>
    </row>
    <row r="180" spans="2:3" hidden="1" x14ac:dyDescent="0.2">
      <c r="B180" s="112">
        <f t="shared" si="0"/>
        <v>2057</v>
      </c>
      <c r="C180" s="113">
        <f>[10]С2.5!$AP$11</f>
        <v>0</v>
      </c>
    </row>
    <row r="181" spans="2:3" hidden="1" x14ac:dyDescent="0.2">
      <c r="B181" s="112">
        <f t="shared" si="0"/>
        <v>2058</v>
      </c>
      <c r="C181" s="113">
        <f>[10]С2.5!$AQ$11</f>
        <v>0</v>
      </c>
    </row>
    <row r="182" spans="2:3" hidden="1" x14ac:dyDescent="0.2">
      <c r="B182" s="112">
        <f t="shared" si="0"/>
        <v>2059</v>
      </c>
      <c r="C182" s="113">
        <f>[10]С2.5!$AR$11</f>
        <v>0</v>
      </c>
    </row>
    <row r="183" spans="2:3" hidden="1" x14ac:dyDescent="0.2">
      <c r="B183" s="112">
        <f t="shared" si="0"/>
        <v>2060</v>
      </c>
      <c r="C183" s="113">
        <f>[10]С2.5!$AS$11</f>
        <v>0</v>
      </c>
    </row>
    <row r="184" spans="2:3" hidden="1" x14ac:dyDescent="0.2">
      <c r="B184" s="112">
        <f t="shared" si="0"/>
        <v>2061</v>
      </c>
      <c r="C184" s="113">
        <f>[10]С2.5!$AT$11</f>
        <v>0</v>
      </c>
    </row>
    <row r="185" spans="2:3" hidden="1" x14ac:dyDescent="0.2">
      <c r="B185" s="112">
        <f t="shared" si="0"/>
        <v>2062</v>
      </c>
      <c r="C185" s="113">
        <f>[10]С2.5!$AU$11</f>
        <v>0</v>
      </c>
    </row>
    <row r="186" spans="2:3" hidden="1" x14ac:dyDescent="0.2">
      <c r="B186" s="112">
        <f t="shared" si="0"/>
        <v>2063</v>
      </c>
      <c r="C186" s="113">
        <f>[10]С2.5!$AV$11</f>
        <v>0</v>
      </c>
    </row>
    <row r="187" spans="2:3" hidden="1" x14ac:dyDescent="0.2">
      <c r="B187" s="112">
        <f t="shared" si="0"/>
        <v>2064</v>
      </c>
      <c r="C187" s="113">
        <f>[10]С2.5!$AW$11</f>
        <v>0</v>
      </c>
    </row>
    <row r="188" spans="2:3" hidden="1" x14ac:dyDescent="0.2">
      <c r="B188" s="112">
        <f t="shared" si="0"/>
        <v>2065</v>
      </c>
      <c r="C188" s="113">
        <f>[10]С2.5!$AX$11</f>
        <v>0</v>
      </c>
    </row>
    <row r="189" spans="2:3" hidden="1" x14ac:dyDescent="0.2">
      <c r="B189" s="112">
        <f t="shared" si="0"/>
        <v>2066</v>
      </c>
      <c r="C189" s="113">
        <f>[10]С2.5!$AY$11</f>
        <v>0</v>
      </c>
    </row>
    <row r="190" spans="2:3" hidden="1" x14ac:dyDescent="0.2">
      <c r="B190" s="112">
        <f t="shared" si="0"/>
        <v>2067</v>
      </c>
      <c r="C190" s="113">
        <f>[10]С2.5!$AZ$11</f>
        <v>0</v>
      </c>
    </row>
    <row r="191" spans="2:3" hidden="1" x14ac:dyDescent="0.2">
      <c r="B191" s="112">
        <f t="shared" si="0"/>
        <v>2068</v>
      </c>
      <c r="C191" s="113">
        <f>[10]С2.5!$BA$11</f>
        <v>0</v>
      </c>
    </row>
    <row r="192" spans="2:3" hidden="1" x14ac:dyDescent="0.2">
      <c r="B192" s="112">
        <f t="shared" si="0"/>
        <v>2069</v>
      </c>
      <c r="C192" s="113">
        <f>[10]С2.5!$BB$11</f>
        <v>0</v>
      </c>
    </row>
    <row r="193" spans="2:3" hidden="1" x14ac:dyDescent="0.2">
      <c r="B193" s="112">
        <f t="shared" si="0"/>
        <v>2070</v>
      </c>
      <c r="C193" s="113">
        <f>[10]С2.5!$BC$11</f>
        <v>0</v>
      </c>
    </row>
    <row r="194" spans="2:3" hidden="1" x14ac:dyDescent="0.2">
      <c r="B194" s="112">
        <f t="shared" si="0"/>
        <v>2071</v>
      </c>
      <c r="C194" s="113">
        <f>[10]С2.5!$BD$11</f>
        <v>0</v>
      </c>
    </row>
    <row r="195" spans="2:3" hidden="1" x14ac:dyDescent="0.2">
      <c r="B195" s="112">
        <f t="shared" si="0"/>
        <v>2072</v>
      </c>
      <c r="C195" s="113">
        <f>[10]С2.5!$BE$11</f>
        <v>0</v>
      </c>
    </row>
    <row r="196" spans="2:3" hidden="1" x14ac:dyDescent="0.2">
      <c r="B196" s="112">
        <f t="shared" si="0"/>
        <v>2073</v>
      </c>
      <c r="C196" s="113">
        <f>[10]С2.5!$BF$11</f>
        <v>0</v>
      </c>
    </row>
    <row r="197" spans="2:3" hidden="1" x14ac:dyDescent="0.2">
      <c r="B197" s="112">
        <f t="shared" si="0"/>
        <v>2074</v>
      </c>
      <c r="C197" s="113">
        <f>[10]С2.5!$BG$11</f>
        <v>0</v>
      </c>
    </row>
    <row r="198" spans="2:3" hidden="1" x14ac:dyDescent="0.2">
      <c r="B198" s="112">
        <f t="shared" si="0"/>
        <v>2075</v>
      </c>
      <c r="C198" s="113">
        <f>[10]С2.5!$BH$11</f>
        <v>0</v>
      </c>
    </row>
    <row r="199" spans="2:3" hidden="1" x14ac:dyDescent="0.2">
      <c r="B199" s="112">
        <f t="shared" si="0"/>
        <v>2076</v>
      </c>
      <c r="C199" s="113">
        <f>[10]С2.5!$BI$11</f>
        <v>0</v>
      </c>
    </row>
    <row r="200" spans="2:3" hidden="1" x14ac:dyDescent="0.2">
      <c r="B200" s="112">
        <f t="shared" si="0"/>
        <v>2077</v>
      </c>
      <c r="C200" s="113">
        <f>[10]С2.5!$BJ$11</f>
        <v>0</v>
      </c>
    </row>
    <row r="201" spans="2:3" hidden="1" x14ac:dyDescent="0.2">
      <c r="B201" s="112">
        <f t="shared" si="0"/>
        <v>2078</v>
      </c>
      <c r="C201" s="113">
        <f>[10]С2.5!$BK$11</f>
        <v>0</v>
      </c>
    </row>
    <row r="202" spans="2:3" hidden="1" x14ac:dyDescent="0.2">
      <c r="B202" s="112">
        <f t="shared" si="0"/>
        <v>2079</v>
      </c>
      <c r="C202" s="113">
        <f>[10]С2.5!$BL$11</f>
        <v>0</v>
      </c>
    </row>
    <row r="203" spans="2:3" hidden="1" x14ac:dyDescent="0.2">
      <c r="B203" s="112">
        <f t="shared" si="0"/>
        <v>2080</v>
      </c>
      <c r="C203" s="113">
        <f>[10]С2.5!$BM$11</f>
        <v>0</v>
      </c>
    </row>
    <row r="204" spans="2:3" hidden="1" x14ac:dyDescent="0.2">
      <c r="B204" s="112">
        <f t="shared" si="0"/>
        <v>2081</v>
      </c>
      <c r="C204" s="113">
        <f>[10]С2.5!$BN$11</f>
        <v>0</v>
      </c>
    </row>
    <row r="205" spans="2:3" hidden="1" x14ac:dyDescent="0.2">
      <c r="B205" s="112">
        <f t="shared" si="0"/>
        <v>2082</v>
      </c>
      <c r="C205" s="113">
        <f>[10]С2.5!$BO$11</f>
        <v>0</v>
      </c>
    </row>
    <row r="206" spans="2:3" hidden="1" x14ac:dyDescent="0.2">
      <c r="B206" s="112">
        <f t="shared" si="0"/>
        <v>2083</v>
      </c>
      <c r="C206" s="113">
        <f>[10]С2.5!$BP$11</f>
        <v>0</v>
      </c>
    </row>
    <row r="207" spans="2:3" hidden="1" x14ac:dyDescent="0.2">
      <c r="B207" s="112">
        <f t="shared" si="0"/>
        <v>2084</v>
      </c>
      <c r="C207" s="113">
        <f>[10]С2.5!$BQ$11</f>
        <v>0</v>
      </c>
    </row>
    <row r="208" spans="2:3" hidden="1" x14ac:dyDescent="0.2">
      <c r="B208" s="112">
        <f t="shared" si="0"/>
        <v>2085</v>
      </c>
      <c r="C208" s="113">
        <f>[10]С2.5!$BR$11</f>
        <v>0</v>
      </c>
    </row>
    <row r="209" spans="2:3" hidden="1" x14ac:dyDescent="0.2">
      <c r="B209" s="112">
        <f t="shared" ref="B209:B223" si="1">B208+1</f>
        <v>2086</v>
      </c>
      <c r="C209" s="113">
        <f>[10]С2.5!$BS$11</f>
        <v>0</v>
      </c>
    </row>
    <row r="210" spans="2:3" hidden="1" x14ac:dyDescent="0.2">
      <c r="B210" s="112">
        <f t="shared" si="1"/>
        <v>2087</v>
      </c>
      <c r="C210" s="113">
        <f>[10]С2.5!$BT$11</f>
        <v>0</v>
      </c>
    </row>
    <row r="211" spans="2:3" hidden="1" x14ac:dyDescent="0.2">
      <c r="B211" s="112">
        <f t="shared" si="1"/>
        <v>2088</v>
      </c>
      <c r="C211" s="113">
        <f>[10]С2.5!$BU$11</f>
        <v>0</v>
      </c>
    </row>
    <row r="212" spans="2:3" hidden="1" x14ac:dyDescent="0.2">
      <c r="B212" s="112">
        <f t="shared" si="1"/>
        <v>2089</v>
      </c>
      <c r="C212" s="113">
        <f>[10]С2.5!$BV$11</f>
        <v>0</v>
      </c>
    </row>
    <row r="213" spans="2:3" hidden="1" x14ac:dyDescent="0.2">
      <c r="B213" s="112">
        <f t="shared" si="1"/>
        <v>2090</v>
      </c>
      <c r="C213" s="113">
        <f>[10]С2.5!$BW$11</f>
        <v>0</v>
      </c>
    </row>
    <row r="214" spans="2:3" hidden="1" x14ac:dyDescent="0.2">
      <c r="B214" s="112">
        <f t="shared" si="1"/>
        <v>2091</v>
      </c>
      <c r="C214" s="113">
        <f>[10]С2.5!$BX$11</f>
        <v>0</v>
      </c>
    </row>
    <row r="215" spans="2:3" hidden="1" x14ac:dyDescent="0.2">
      <c r="B215" s="112">
        <f t="shared" si="1"/>
        <v>2092</v>
      </c>
      <c r="C215" s="113">
        <f>[10]С2.5!$BY$11</f>
        <v>0</v>
      </c>
    </row>
    <row r="216" spans="2:3" hidden="1" x14ac:dyDescent="0.2">
      <c r="B216" s="112">
        <f t="shared" si="1"/>
        <v>2093</v>
      </c>
      <c r="C216" s="113">
        <f>[10]С2.5!$BZ$11</f>
        <v>0</v>
      </c>
    </row>
    <row r="217" spans="2:3" hidden="1" x14ac:dyDescent="0.2">
      <c r="B217" s="112">
        <f t="shared" si="1"/>
        <v>2094</v>
      </c>
      <c r="C217" s="113">
        <f>[10]С2.5!$CA$11</f>
        <v>0</v>
      </c>
    </row>
    <row r="218" spans="2:3" hidden="1" x14ac:dyDescent="0.2">
      <c r="B218" s="112">
        <f t="shared" si="1"/>
        <v>2095</v>
      </c>
      <c r="C218" s="113">
        <f>[10]С2.5!$CB$11</f>
        <v>0</v>
      </c>
    </row>
    <row r="219" spans="2:3" hidden="1" x14ac:dyDescent="0.2">
      <c r="B219" s="112">
        <f t="shared" si="1"/>
        <v>2096</v>
      </c>
      <c r="C219" s="113">
        <f>[10]С2.5!$CC$11</f>
        <v>0</v>
      </c>
    </row>
    <row r="220" spans="2:3" hidden="1" x14ac:dyDescent="0.2">
      <c r="B220" s="112">
        <f t="shared" si="1"/>
        <v>2097</v>
      </c>
      <c r="C220" s="113">
        <f>[10]С2.5!$CD$11</f>
        <v>0</v>
      </c>
    </row>
    <row r="221" spans="2:3" hidden="1" x14ac:dyDescent="0.2">
      <c r="B221" s="112">
        <f t="shared" si="1"/>
        <v>2098</v>
      </c>
      <c r="C221" s="113">
        <f>[10]С2.5!$CE$11</f>
        <v>0</v>
      </c>
    </row>
    <row r="222" spans="2:3" hidden="1" x14ac:dyDescent="0.2">
      <c r="B222" s="112">
        <f t="shared" si="1"/>
        <v>2099</v>
      </c>
      <c r="C222" s="113">
        <f>[10]С2.5!$CF$11</f>
        <v>0</v>
      </c>
    </row>
    <row r="223" spans="2:3" ht="13.5" hidden="1" thickBot="1" x14ac:dyDescent="0.25">
      <c r="B223" s="114">
        <f t="shared" si="1"/>
        <v>2100</v>
      </c>
      <c r="C223" s="115">
        <f>[10]С2.5!$CG$11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Button 1">
              <controlPr defaultSize="0" print="0" autoFill="0" autoPict="0" macro="[10]!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[11]И1!D13</f>
        <v>Субъект Российской Федерации</v>
      </c>
      <c r="C4" s="10" t="str">
        <f>[11]И1!E13</f>
        <v>Новосибирская область</v>
      </c>
    </row>
    <row r="5" spans="1:3" ht="38.25" x14ac:dyDescent="0.2">
      <c r="A5" s="8"/>
      <c r="B5" s="9" t="str">
        <f>[11]И1!D14</f>
        <v>Тип муниципального образования (выберите из списка)</v>
      </c>
      <c r="C5" s="10" t="str">
        <f>[11]И1!E14</f>
        <v>село Мохнатый Лог, Краснозерский муниципальный район</v>
      </c>
    </row>
    <row r="6" spans="1:3" x14ac:dyDescent="0.2">
      <c r="A6" s="8"/>
      <c r="B6" s="9" t="str">
        <f>IF([11]И1!E15="","",[11]И1!D15)</f>
        <v/>
      </c>
      <c r="C6" s="10" t="str">
        <f>IF([11]И1!E15="","",[11]И1!E15)</f>
        <v/>
      </c>
    </row>
    <row r="7" spans="1:3" x14ac:dyDescent="0.2">
      <c r="A7" s="8"/>
      <c r="B7" s="9" t="str">
        <f>[11]И1!D16</f>
        <v>Код ОКТМО</v>
      </c>
      <c r="C7" s="11" t="str">
        <f>[11]И1!E16</f>
        <v xml:space="preserve"> (50627425101)</v>
      </c>
    </row>
    <row r="8" spans="1:3" x14ac:dyDescent="0.2">
      <c r="A8" s="8"/>
      <c r="B8" s="12" t="str">
        <f>[11]И1!D17</f>
        <v>Система теплоснабжения</v>
      </c>
      <c r="C8" s="13">
        <f>[11]И1!E17</f>
        <v>0</v>
      </c>
    </row>
    <row r="9" spans="1:3" x14ac:dyDescent="0.2">
      <c r="A9" s="8"/>
      <c r="B9" s="9" t="str">
        <f>[11]И1!D8</f>
        <v>Период регулирования (i)-й</v>
      </c>
      <c r="C9" s="14">
        <f>[11]И1!E8</f>
        <v>2023</v>
      </c>
    </row>
    <row r="10" spans="1:3" x14ac:dyDescent="0.2">
      <c r="A10" s="8"/>
      <c r="B10" s="9" t="str">
        <f>[11]И1!D9</f>
        <v>Период регулирования (i-1)-й</v>
      </c>
      <c r="C10" s="14">
        <f>[11]И1!E9</f>
        <v>2022</v>
      </c>
    </row>
    <row r="11" spans="1:3" x14ac:dyDescent="0.2">
      <c r="A11" s="8"/>
      <c r="B11" s="9" t="str">
        <f>[11]И1!D10</f>
        <v>Период регулирования (i-2)-й</v>
      </c>
      <c r="C11" s="14">
        <f>[11]И1!E10</f>
        <v>2021</v>
      </c>
    </row>
    <row r="12" spans="1:3" x14ac:dyDescent="0.2">
      <c r="A12" s="8"/>
      <c r="B12" s="9" t="str">
        <f>[11]И1!D11</f>
        <v>Базовый год (б)</v>
      </c>
      <c r="C12" s="14">
        <f>[11]И1!E11</f>
        <v>2019</v>
      </c>
    </row>
    <row r="13" spans="1:3" ht="38.25" x14ac:dyDescent="0.2">
      <c r="A13" s="8"/>
      <c r="B13" s="9" t="str">
        <f>[11]И1!D18</f>
        <v>Вид топлива, использование которого преобладает в системе теплоснабжения</v>
      </c>
      <c r="C13" s="15" t="str">
        <f>[11]С1.1!E13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4038.7217074249506</v>
      </c>
    </row>
    <row r="18" spans="1:3" ht="42.75" x14ac:dyDescent="0.2">
      <c r="A18" s="22" t="s">
        <v>8</v>
      </c>
      <c r="B18" s="25" t="s">
        <v>9</v>
      </c>
      <c r="C18" s="26">
        <f>[11]С1!F12</f>
        <v>954.56285896583267</v>
      </c>
    </row>
    <row r="19" spans="1:3" ht="42.75" x14ac:dyDescent="0.2">
      <c r="A19" s="22" t="s">
        <v>10</v>
      </c>
      <c r="B19" s="25" t="s">
        <v>11</v>
      </c>
      <c r="C19" s="26">
        <f>[11]С2!F12</f>
        <v>2106.0579468653982</v>
      </c>
    </row>
    <row r="20" spans="1:3" ht="30" x14ac:dyDescent="0.2">
      <c r="A20" s="22" t="s">
        <v>12</v>
      </c>
      <c r="B20" s="25" t="s">
        <v>13</v>
      </c>
      <c r="C20" s="26">
        <f>[11]С3!F12</f>
        <v>503.83473408478085</v>
      </c>
    </row>
    <row r="21" spans="1:3" ht="42.75" x14ac:dyDescent="0.2">
      <c r="A21" s="22" t="s">
        <v>14</v>
      </c>
      <c r="B21" s="25" t="s">
        <v>15</v>
      </c>
      <c r="C21" s="26">
        <f>[11]С4!F12</f>
        <v>395.07554579472423</v>
      </c>
    </row>
    <row r="22" spans="1:3" ht="30" x14ac:dyDescent="0.2">
      <c r="A22" s="22" t="s">
        <v>16</v>
      </c>
      <c r="B22" s="25" t="s">
        <v>17</v>
      </c>
      <c r="C22" s="26">
        <f>[11]С5!F12</f>
        <v>79.190621714214728</v>
      </c>
    </row>
    <row r="23" spans="1:3" ht="43.5" thickBot="1" x14ac:dyDescent="0.25">
      <c r="A23" s="27" t="s">
        <v>18</v>
      </c>
      <c r="B23" s="119" t="s">
        <v>19</v>
      </c>
      <c r="C23" s="29" t="str">
        <f>[11]С6!F12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[11]С1.1!E16</f>
        <v>5100</v>
      </c>
    </row>
    <row r="29" spans="1:3" ht="42.75" x14ac:dyDescent="0.2">
      <c r="A29" s="22" t="s">
        <v>10</v>
      </c>
      <c r="B29" s="34" t="s">
        <v>22</v>
      </c>
      <c r="C29" s="35">
        <f>[11]С1.1!E27</f>
        <v>2566.66</v>
      </c>
    </row>
    <row r="30" spans="1:3" ht="17.25" x14ac:dyDescent="0.2">
      <c r="A30" s="22" t="s">
        <v>12</v>
      </c>
      <c r="B30" s="34" t="s">
        <v>23</v>
      </c>
      <c r="C30" s="36">
        <f>[11]С1.1!E19</f>
        <v>0.59499999999999997</v>
      </c>
    </row>
    <row r="31" spans="1:3" ht="17.25" x14ac:dyDescent="0.2">
      <c r="A31" s="22" t="s">
        <v>14</v>
      </c>
      <c r="B31" s="34" t="s">
        <v>24</v>
      </c>
      <c r="C31" s="36">
        <f>[11]С1.1!E20</f>
        <v>-0.113</v>
      </c>
    </row>
    <row r="32" spans="1:3" ht="30" x14ac:dyDescent="0.2">
      <c r="A32" s="22" t="s">
        <v>16</v>
      </c>
      <c r="B32" s="37" t="s">
        <v>25</v>
      </c>
      <c r="C32" s="38">
        <f>[11]С1!F13</f>
        <v>176.4</v>
      </c>
    </row>
    <row r="33" spans="1:3" x14ac:dyDescent="0.2">
      <c r="A33" s="22" t="s">
        <v>18</v>
      </c>
      <c r="B33" s="37" t="s">
        <v>26</v>
      </c>
      <c r="C33" s="39">
        <f>[11]С1!F16</f>
        <v>7000</v>
      </c>
    </row>
    <row r="34" spans="1:3" ht="14.25" x14ac:dyDescent="0.2">
      <c r="A34" s="22" t="s">
        <v>27</v>
      </c>
      <c r="B34" s="40" t="s">
        <v>28</v>
      </c>
      <c r="C34" s="41">
        <f>[11]С1!F17</f>
        <v>0.72857142857142854</v>
      </c>
    </row>
    <row r="35" spans="1:3" ht="15.75" x14ac:dyDescent="0.2">
      <c r="A35" s="42" t="s">
        <v>29</v>
      </c>
      <c r="B35" s="43" t="s">
        <v>30</v>
      </c>
      <c r="C35" s="41">
        <f>[11]С1!F20</f>
        <v>21.588411179999994</v>
      </c>
    </row>
    <row r="36" spans="1:3" ht="15.75" x14ac:dyDescent="0.2">
      <c r="A36" s="42" t="s">
        <v>31</v>
      </c>
      <c r="B36" s="44" t="s">
        <v>32</v>
      </c>
      <c r="C36" s="41">
        <f>[11]С1!F21</f>
        <v>20.818139999999996</v>
      </c>
    </row>
    <row r="37" spans="1:3" ht="14.25" x14ac:dyDescent="0.2">
      <c r="A37" s="42" t="s">
        <v>33</v>
      </c>
      <c r="B37" s="45" t="s">
        <v>34</v>
      </c>
      <c r="C37" s="41">
        <f>[11]С1!F22</f>
        <v>1.0369999999999999</v>
      </c>
    </row>
    <row r="38" spans="1:3" ht="53.25" thickBot="1" x14ac:dyDescent="0.25">
      <c r="A38" s="27" t="s">
        <v>35</v>
      </c>
      <c r="B38" s="46" t="s">
        <v>36</v>
      </c>
      <c r="C38" s="47">
        <f>[11]С1!F23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[11]С2.1!E12</f>
        <v>V</v>
      </c>
    </row>
    <row r="42" spans="1:3" ht="25.5" x14ac:dyDescent="0.2">
      <c r="A42" s="22" t="s">
        <v>41</v>
      </c>
      <c r="B42" s="34" t="s">
        <v>42</v>
      </c>
      <c r="C42" s="52" t="str">
        <f>[11]С2.1!E13</f>
        <v>6 и менее баллов</v>
      </c>
    </row>
    <row r="43" spans="1:3" ht="25.5" x14ac:dyDescent="0.2">
      <c r="A43" s="22" t="s">
        <v>43</v>
      </c>
      <c r="B43" s="34" t="s">
        <v>44</v>
      </c>
      <c r="C43" s="52" t="str">
        <f>[11]С2.1!E14</f>
        <v>от 200 до 500</v>
      </c>
    </row>
    <row r="44" spans="1:3" ht="25.5" x14ac:dyDescent="0.2">
      <c r="A44" s="22" t="s">
        <v>45</v>
      </c>
      <c r="B44" s="34" t="s">
        <v>46</v>
      </c>
      <c r="C44" s="53" t="str">
        <f>[11]С2.1!E15</f>
        <v>нет</v>
      </c>
    </row>
    <row r="45" spans="1:3" ht="30" x14ac:dyDescent="0.2">
      <c r="A45" s="22" t="s">
        <v>47</v>
      </c>
      <c r="B45" s="34" t="s">
        <v>48</v>
      </c>
      <c r="C45" s="35">
        <f>[11]С2!F18</f>
        <v>32402.627334033532</v>
      </c>
    </row>
    <row r="46" spans="1:3" ht="30" x14ac:dyDescent="0.2">
      <c r="A46" s="22" t="s">
        <v>49</v>
      </c>
      <c r="B46" s="54" t="s">
        <v>50</v>
      </c>
      <c r="C46" s="35">
        <f>IF([11]С2!F19&gt;0,[11]С2!F19,[11]С2!F20)</f>
        <v>23441.524932855718</v>
      </c>
    </row>
    <row r="47" spans="1:3" ht="25.5" x14ac:dyDescent="0.2">
      <c r="A47" s="22" t="s">
        <v>51</v>
      </c>
      <c r="B47" s="55" t="s">
        <v>52</v>
      </c>
      <c r="C47" s="35">
        <f>[11]С2.1!E19</f>
        <v>-37</v>
      </c>
    </row>
    <row r="48" spans="1:3" ht="25.5" x14ac:dyDescent="0.2">
      <c r="A48" s="22" t="s">
        <v>53</v>
      </c>
      <c r="B48" s="55" t="s">
        <v>54</v>
      </c>
      <c r="C48" s="35" t="str">
        <f>[11]С2.1!E22</f>
        <v>нет</v>
      </c>
    </row>
    <row r="49" spans="1:3" ht="38.25" x14ac:dyDescent="0.2">
      <c r="A49" s="22" t="s">
        <v>55</v>
      </c>
      <c r="B49" s="56" t="s">
        <v>56</v>
      </c>
      <c r="C49" s="35">
        <f>[11]С2.2!E10</f>
        <v>1287</v>
      </c>
    </row>
    <row r="50" spans="1:3" ht="25.5" x14ac:dyDescent="0.2">
      <c r="A50" s="22" t="s">
        <v>57</v>
      </c>
      <c r="B50" s="57" t="s">
        <v>58</v>
      </c>
      <c r="C50" s="35">
        <f>[11]С2.2!E12</f>
        <v>5.97</v>
      </c>
    </row>
    <row r="51" spans="1:3" ht="52.5" x14ac:dyDescent="0.2">
      <c r="A51" s="22" t="s">
        <v>59</v>
      </c>
      <c r="B51" s="58" t="s">
        <v>60</v>
      </c>
      <c r="C51" s="35">
        <f>[11]С2.2!E13</f>
        <v>1</v>
      </c>
    </row>
    <row r="52" spans="1:3" ht="27.75" x14ac:dyDescent="0.2">
      <c r="A52" s="22" t="s">
        <v>61</v>
      </c>
      <c r="B52" s="57" t="s">
        <v>62</v>
      </c>
      <c r="C52" s="35">
        <f>[11]С2.2!E14</f>
        <v>12104</v>
      </c>
    </row>
    <row r="53" spans="1:3" ht="25.5" x14ac:dyDescent="0.2">
      <c r="A53" s="22" t="s">
        <v>63</v>
      </c>
      <c r="B53" s="58" t="s">
        <v>64</v>
      </c>
      <c r="C53" s="36">
        <f>[11]С2.2!E15</f>
        <v>4.8000000000000001E-2</v>
      </c>
    </row>
    <row r="54" spans="1:3" x14ac:dyDescent="0.2">
      <c r="A54" s="22" t="s">
        <v>65</v>
      </c>
      <c r="B54" s="58" t="s">
        <v>66</v>
      </c>
      <c r="C54" s="35">
        <f>[11]С2.2!E16</f>
        <v>1</v>
      </c>
    </row>
    <row r="55" spans="1:3" ht="15.75" x14ac:dyDescent="0.2">
      <c r="A55" s="22" t="s">
        <v>67</v>
      </c>
      <c r="B55" s="59" t="s">
        <v>68</v>
      </c>
      <c r="C55" s="35">
        <f>[11]С2!F21</f>
        <v>1</v>
      </c>
    </row>
    <row r="56" spans="1:3" ht="30" x14ac:dyDescent="0.2">
      <c r="A56" s="60" t="s">
        <v>69</v>
      </c>
      <c r="B56" s="34" t="s">
        <v>70</v>
      </c>
      <c r="C56" s="35">
        <f>[11]С2!F13</f>
        <v>169640.22915965237</v>
      </c>
    </row>
    <row r="57" spans="1:3" ht="30" x14ac:dyDescent="0.2">
      <c r="A57" s="60" t="s">
        <v>71</v>
      </c>
      <c r="B57" s="59" t="s">
        <v>72</v>
      </c>
      <c r="C57" s="35">
        <f>[11]С2!F14</f>
        <v>113455</v>
      </c>
    </row>
    <row r="58" spans="1:3" ht="15.75" x14ac:dyDescent="0.2">
      <c r="A58" s="60" t="s">
        <v>73</v>
      </c>
      <c r="B58" s="61" t="s">
        <v>74</v>
      </c>
      <c r="C58" s="41">
        <f>[11]С2!F15</f>
        <v>1.071</v>
      </c>
    </row>
    <row r="59" spans="1:3" ht="15.75" x14ac:dyDescent="0.2">
      <c r="A59" s="60" t="s">
        <v>75</v>
      </c>
      <c r="B59" s="61" t="s">
        <v>76</v>
      </c>
      <c r="C59" s="41">
        <f>[11]С2!F16</f>
        <v>1</v>
      </c>
    </row>
    <row r="60" spans="1:3" ht="17.25" x14ac:dyDescent="0.2">
      <c r="A60" s="60" t="s">
        <v>77</v>
      </c>
      <c r="B60" s="59" t="s">
        <v>78</v>
      </c>
      <c r="C60" s="35">
        <f>[11]С2!F17</f>
        <v>1.01</v>
      </c>
    </row>
    <row r="61" spans="1:3" s="64" customFormat="1" ht="14.25" x14ac:dyDescent="0.2">
      <c r="A61" s="60" t="s">
        <v>79</v>
      </c>
      <c r="B61" s="62" t="s">
        <v>80</v>
      </c>
      <c r="C61" s="63">
        <f>[11]С2!F33</f>
        <v>10</v>
      </c>
    </row>
    <row r="62" spans="1:3" ht="30" x14ac:dyDescent="0.2">
      <c r="A62" s="60" t="s">
        <v>81</v>
      </c>
      <c r="B62" s="65" t="s">
        <v>82</v>
      </c>
      <c r="C62" s="35">
        <f>[11]С2!F26</f>
        <v>1123.6482814273334</v>
      </c>
    </row>
    <row r="63" spans="1:3" ht="17.25" x14ac:dyDescent="0.2">
      <c r="A63" s="60" t="s">
        <v>83</v>
      </c>
      <c r="B63" s="54" t="s">
        <v>84</v>
      </c>
      <c r="C63" s="35">
        <f>[11]С2!F27</f>
        <v>0.19354712999999998</v>
      </c>
    </row>
    <row r="64" spans="1:3" ht="17.25" x14ac:dyDescent="0.2">
      <c r="A64" s="60" t="s">
        <v>85</v>
      </c>
      <c r="B64" s="59" t="s">
        <v>86</v>
      </c>
      <c r="C64" s="63">
        <f>[11]С2!F28</f>
        <v>4200</v>
      </c>
    </row>
    <row r="65" spans="1:3" ht="42.75" x14ac:dyDescent="0.2">
      <c r="A65" s="60" t="s">
        <v>87</v>
      </c>
      <c r="B65" s="34" t="s">
        <v>88</v>
      </c>
      <c r="C65" s="35">
        <f>[11]С2!F22</f>
        <v>35717.748653137714</v>
      </c>
    </row>
    <row r="66" spans="1:3" ht="30" x14ac:dyDescent="0.2">
      <c r="A66" s="60" t="s">
        <v>89</v>
      </c>
      <c r="B66" s="61" t="s">
        <v>90</v>
      </c>
      <c r="C66" s="35">
        <f>[11]С2!F23</f>
        <v>1990</v>
      </c>
    </row>
    <row r="67" spans="1:3" ht="30" x14ac:dyDescent="0.2">
      <c r="A67" s="60" t="s">
        <v>91</v>
      </c>
      <c r="B67" s="54" t="s">
        <v>92</v>
      </c>
      <c r="C67" s="35">
        <f>[11]С2.1!E27</f>
        <v>14307.876789999998</v>
      </c>
    </row>
    <row r="68" spans="1:3" ht="38.25" x14ac:dyDescent="0.2">
      <c r="A68" s="60" t="s">
        <v>93</v>
      </c>
      <c r="B68" s="66" t="s">
        <v>94</v>
      </c>
      <c r="C68" s="53">
        <f>[11]С2.3!E21</f>
        <v>0</v>
      </c>
    </row>
    <row r="69" spans="1:3" ht="25.5" x14ac:dyDescent="0.2">
      <c r="A69" s="60" t="s">
        <v>95</v>
      </c>
      <c r="B69" s="67" t="s">
        <v>96</v>
      </c>
      <c r="C69" s="68">
        <f>[11]С2.3!E11</f>
        <v>9.89</v>
      </c>
    </row>
    <row r="70" spans="1:3" ht="25.5" x14ac:dyDescent="0.2">
      <c r="A70" s="60" t="s">
        <v>97</v>
      </c>
      <c r="B70" s="67" t="s">
        <v>98</v>
      </c>
      <c r="C70" s="63">
        <f>[11]С2.3!E13</f>
        <v>300</v>
      </c>
    </row>
    <row r="71" spans="1:3" ht="25.5" x14ac:dyDescent="0.2">
      <c r="A71" s="60" t="s">
        <v>99</v>
      </c>
      <c r="B71" s="66" t="s">
        <v>100</v>
      </c>
      <c r="C71" s="69">
        <f>IF([11]С2.3!E22&gt;0,[11]С2.3!E22,[11]С2.3!E14)</f>
        <v>61211</v>
      </c>
    </row>
    <row r="72" spans="1:3" ht="38.25" x14ac:dyDescent="0.2">
      <c r="A72" s="60" t="s">
        <v>101</v>
      </c>
      <c r="B72" s="66" t="s">
        <v>102</v>
      </c>
      <c r="C72" s="69">
        <f>IF([11]С2.3!E23&gt;0,[11]С2.3!E23,[11]С2.3!E15)</f>
        <v>45675</v>
      </c>
    </row>
    <row r="73" spans="1:3" ht="30" x14ac:dyDescent="0.2">
      <c r="A73" s="60" t="s">
        <v>103</v>
      </c>
      <c r="B73" s="54" t="s">
        <v>104</v>
      </c>
      <c r="C73" s="35">
        <f>[11]С2.1!E28</f>
        <v>9541.9567200000001</v>
      </c>
    </row>
    <row r="74" spans="1:3" ht="38.25" x14ac:dyDescent="0.2">
      <c r="A74" s="60" t="s">
        <v>105</v>
      </c>
      <c r="B74" s="66" t="s">
        <v>106</v>
      </c>
      <c r="C74" s="53">
        <f>[11]С2.3!E25</f>
        <v>0</v>
      </c>
    </row>
    <row r="75" spans="1:3" ht="25.5" x14ac:dyDescent="0.2">
      <c r="A75" s="60" t="s">
        <v>107</v>
      </c>
      <c r="B75" s="67" t="s">
        <v>108</v>
      </c>
      <c r="C75" s="68">
        <f>[11]С2.3!E12</f>
        <v>0.56000000000000005</v>
      </c>
    </row>
    <row r="76" spans="1:3" ht="25.5" x14ac:dyDescent="0.2">
      <c r="A76" s="60" t="s">
        <v>109</v>
      </c>
      <c r="B76" s="67" t="s">
        <v>98</v>
      </c>
      <c r="C76" s="63">
        <f>[11]С2.3!E13</f>
        <v>300</v>
      </c>
    </row>
    <row r="77" spans="1:3" ht="25.5" x14ac:dyDescent="0.2">
      <c r="A77" s="60" t="s">
        <v>110</v>
      </c>
      <c r="B77" s="70" t="s">
        <v>111</v>
      </c>
      <c r="C77" s="69">
        <f>IF([11]С2.3!E26&gt;0,[11]С2.3!E26,[11]С2.3!E16)</f>
        <v>65637</v>
      </c>
    </row>
    <row r="78" spans="1:3" ht="38.25" x14ac:dyDescent="0.2">
      <c r="A78" s="60" t="s">
        <v>112</v>
      </c>
      <c r="B78" s="70" t="s">
        <v>113</v>
      </c>
      <c r="C78" s="69">
        <f>IF([11]С2.3!E27&gt;0,[11]С2.3!E27,[11]С2.3!E17)</f>
        <v>31684</v>
      </c>
    </row>
    <row r="79" spans="1:3" ht="17.25" x14ac:dyDescent="0.2">
      <c r="A79" s="60" t="s">
        <v>114</v>
      </c>
      <c r="B79" s="34" t="s">
        <v>115</v>
      </c>
      <c r="C79" s="36">
        <f>[11]С2!F29</f>
        <v>0.128978033685065</v>
      </c>
    </row>
    <row r="80" spans="1:3" ht="30" x14ac:dyDescent="0.2">
      <c r="A80" s="60" t="s">
        <v>116</v>
      </c>
      <c r="B80" s="54" t="s">
        <v>117</v>
      </c>
      <c r="C80" s="71">
        <f>[11]С2!F30</f>
        <v>0.11668498168498169</v>
      </c>
    </row>
    <row r="81" spans="1:3" ht="17.25" x14ac:dyDescent="0.2">
      <c r="A81" s="60" t="s">
        <v>118</v>
      </c>
      <c r="B81" s="72" t="s">
        <v>119</v>
      </c>
      <c r="C81" s="36">
        <f>[11]С2!F31</f>
        <v>0.13880000000000001</v>
      </c>
    </row>
    <row r="82" spans="1:3" s="64" customFormat="1" ht="18" thickBot="1" x14ac:dyDescent="0.25">
      <c r="A82" s="73" t="s">
        <v>120</v>
      </c>
      <c r="B82" s="74" t="s">
        <v>121</v>
      </c>
      <c r="C82" s="75">
        <f>[11]С2!F32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[11]С3!F14</f>
        <v>6998.3755440420418</v>
      </c>
    </row>
    <row r="86" spans="1:3" s="64" customFormat="1" ht="42.75" x14ac:dyDescent="0.2">
      <c r="A86" s="78" t="s">
        <v>126</v>
      </c>
      <c r="B86" s="54" t="s">
        <v>127</v>
      </c>
      <c r="C86" s="79">
        <f>[11]С3!F15</f>
        <v>0.2</v>
      </c>
    </row>
    <row r="87" spans="1:3" s="64" customFormat="1" ht="14.25" x14ac:dyDescent="0.2">
      <c r="A87" s="78" t="s">
        <v>128</v>
      </c>
      <c r="B87" s="80" t="s">
        <v>129</v>
      </c>
      <c r="C87" s="63">
        <f>[11]С3!F18</f>
        <v>15</v>
      </c>
    </row>
    <row r="88" spans="1:3" s="64" customFormat="1" ht="17.25" x14ac:dyDescent="0.2">
      <c r="A88" s="78" t="s">
        <v>130</v>
      </c>
      <c r="B88" s="34" t="s">
        <v>131</v>
      </c>
      <c r="C88" s="35">
        <f>[11]С3!F19</f>
        <v>3487.1555421534131</v>
      </c>
    </row>
    <row r="89" spans="1:3" s="64" customFormat="1" ht="55.5" x14ac:dyDescent="0.2">
      <c r="A89" s="78" t="s">
        <v>132</v>
      </c>
      <c r="B89" s="54" t="s">
        <v>133</v>
      </c>
      <c r="C89" s="81">
        <f>[11]С3!F20</f>
        <v>2.1999999999999999E-2</v>
      </c>
    </row>
    <row r="90" spans="1:3" s="64" customFormat="1" ht="14.25" x14ac:dyDescent="0.2">
      <c r="A90" s="78" t="s">
        <v>134</v>
      </c>
      <c r="B90" s="59" t="s">
        <v>80</v>
      </c>
      <c r="C90" s="63">
        <f>[11]С3!F21</f>
        <v>10</v>
      </c>
    </row>
    <row r="91" spans="1:3" s="64" customFormat="1" ht="17.25" x14ac:dyDescent="0.2">
      <c r="A91" s="78" t="s">
        <v>135</v>
      </c>
      <c r="B91" s="34" t="s">
        <v>136</v>
      </c>
      <c r="C91" s="35">
        <f>[11]С3!F22</f>
        <v>3.370944844282</v>
      </c>
    </row>
    <row r="92" spans="1:3" s="64" customFormat="1" ht="55.5" x14ac:dyDescent="0.2">
      <c r="A92" s="78" t="s">
        <v>137</v>
      </c>
      <c r="B92" s="54" t="s">
        <v>138</v>
      </c>
      <c r="C92" s="81">
        <f>[11]С3!F23</f>
        <v>3.0000000000000001E-3</v>
      </c>
    </row>
    <row r="93" spans="1:3" s="64" customFormat="1" ht="27.75" thickBot="1" x14ac:dyDescent="0.25">
      <c r="A93" s="82" t="s">
        <v>139</v>
      </c>
      <c r="B93" s="83" t="s">
        <v>140</v>
      </c>
      <c r="C93" s="84">
        <f>[11]С3!F24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[11]С4!F16</f>
        <v>1652.5</v>
      </c>
    </row>
    <row r="97" spans="1:3" ht="30" x14ac:dyDescent="0.2">
      <c r="A97" s="60" t="s">
        <v>145</v>
      </c>
      <c r="B97" s="59" t="s">
        <v>146</v>
      </c>
      <c r="C97" s="35">
        <f>[11]С4!F17</f>
        <v>73547</v>
      </c>
    </row>
    <row r="98" spans="1:3" ht="17.25" x14ac:dyDescent="0.2">
      <c r="A98" s="60" t="s">
        <v>147</v>
      </c>
      <c r="B98" s="59" t="s">
        <v>148</v>
      </c>
      <c r="C98" s="41">
        <f>[11]С4!F18</f>
        <v>0.02</v>
      </c>
    </row>
    <row r="99" spans="1:3" ht="30" x14ac:dyDescent="0.2">
      <c r="A99" s="60" t="s">
        <v>149</v>
      </c>
      <c r="B99" s="59" t="s">
        <v>150</v>
      </c>
      <c r="C99" s="35">
        <f>[11]С4!F19</f>
        <v>12104</v>
      </c>
    </row>
    <row r="100" spans="1:3" ht="31.5" x14ac:dyDescent="0.2">
      <c r="A100" s="60" t="s">
        <v>151</v>
      </c>
      <c r="B100" s="59" t="s">
        <v>152</v>
      </c>
      <c r="C100" s="41">
        <f>[11]С4!F20</f>
        <v>1.4999999999999999E-2</v>
      </c>
    </row>
    <row r="101" spans="1:3" ht="30" x14ac:dyDescent="0.2">
      <c r="A101" s="60" t="s">
        <v>153</v>
      </c>
      <c r="B101" s="34" t="s">
        <v>154</v>
      </c>
      <c r="C101" s="35">
        <f>[11]С4!F21</f>
        <v>1933.1949342509995</v>
      </c>
    </row>
    <row r="102" spans="1:3" ht="24" customHeight="1" x14ac:dyDescent="0.2">
      <c r="A102" s="60" t="s">
        <v>155</v>
      </c>
      <c r="B102" s="54" t="s">
        <v>156</v>
      </c>
      <c r="C102" s="86">
        <f>IF([11]С4.2!F8="да",[11]С4.2!D21,[11]С4.2!D15)</f>
        <v>0</v>
      </c>
    </row>
    <row r="103" spans="1:3" ht="68.25" x14ac:dyDescent="0.2">
      <c r="A103" s="60" t="s">
        <v>157</v>
      </c>
      <c r="B103" s="54" t="s">
        <v>158</v>
      </c>
      <c r="C103" s="35">
        <f>[11]С4!F22</f>
        <v>3.6112641666666665</v>
      </c>
    </row>
    <row r="104" spans="1:3" ht="30" x14ac:dyDescent="0.2">
      <c r="A104" s="60" t="s">
        <v>159</v>
      </c>
      <c r="B104" s="59" t="s">
        <v>160</v>
      </c>
      <c r="C104" s="35">
        <f>[11]С4!F23</f>
        <v>180</v>
      </c>
    </row>
    <row r="105" spans="1:3" ht="14.25" x14ac:dyDescent="0.2">
      <c r="A105" s="60" t="s">
        <v>161</v>
      </c>
      <c r="B105" s="54" t="s">
        <v>162</v>
      </c>
      <c r="C105" s="35">
        <f>[11]С4!F24</f>
        <v>8497.1999999999989</v>
      </c>
    </row>
    <row r="106" spans="1:3" ht="14.25" x14ac:dyDescent="0.2">
      <c r="A106" s="60" t="s">
        <v>163</v>
      </c>
      <c r="B106" s="59" t="s">
        <v>164</v>
      </c>
      <c r="C106" s="41">
        <f>[11]С4!F25</f>
        <v>0.35</v>
      </c>
    </row>
    <row r="107" spans="1:3" ht="17.25" x14ac:dyDescent="0.2">
      <c r="A107" s="60" t="s">
        <v>165</v>
      </c>
      <c r="B107" s="34" t="s">
        <v>166</v>
      </c>
      <c r="C107" s="35">
        <f>[11]С4!F26</f>
        <v>65.209019999999995</v>
      </c>
    </row>
    <row r="108" spans="1:3" ht="25.5" x14ac:dyDescent="0.2">
      <c r="A108" s="60" t="s">
        <v>167</v>
      </c>
      <c r="B108" s="54" t="s">
        <v>94</v>
      </c>
      <c r="C108" s="86">
        <f>[11]С4.3!E16</f>
        <v>0</v>
      </c>
    </row>
    <row r="109" spans="1:3" ht="25.5" x14ac:dyDescent="0.2">
      <c r="A109" s="60" t="s">
        <v>168</v>
      </c>
      <c r="B109" s="54" t="s">
        <v>169</v>
      </c>
      <c r="C109" s="35">
        <f>[11]С4.3!E17</f>
        <v>17.22</v>
      </c>
    </row>
    <row r="110" spans="1:3" ht="38.25" x14ac:dyDescent="0.2">
      <c r="A110" s="60" t="s">
        <v>170</v>
      </c>
      <c r="B110" s="54" t="s">
        <v>106</v>
      </c>
      <c r="C110" s="86">
        <f>[11]С4.3!E18</f>
        <v>0</v>
      </c>
    </row>
    <row r="111" spans="1:3" x14ac:dyDescent="0.2">
      <c r="A111" s="60" t="s">
        <v>171</v>
      </c>
      <c r="B111" s="54" t="s">
        <v>172</v>
      </c>
      <c r="C111" s="35">
        <f>[11]С4.3!E19</f>
        <v>23.62</v>
      </c>
    </row>
    <row r="112" spans="1:3" x14ac:dyDescent="0.2">
      <c r="A112" s="60" t="s">
        <v>173</v>
      </c>
      <c r="B112" s="59" t="s">
        <v>174</v>
      </c>
      <c r="C112" s="35">
        <f>[11]С4.3!E11</f>
        <v>1871</v>
      </c>
    </row>
    <row r="113" spans="1:3" x14ac:dyDescent="0.2">
      <c r="A113" s="60" t="s">
        <v>175</v>
      </c>
      <c r="B113" s="59" t="s">
        <v>176</v>
      </c>
      <c r="C113" s="53">
        <f>[11]С4.3!E12</f>
        <v>1636</v>
      </c>
    </row>
    <row r="114" spans="1:3" x14ac:dyDescent="0.2">
      <c r="A114" s="60" t="s">
        <v>177</v>
      </c>
      <c r="B114" s="59" t="s">
        <v>178</v>
      </c>
      <c r="C114" s="53">
        <f>[11]С4.3!E13</f>
        <v>204</v>
      </c>
    </row>
    <row r="115" spans="1:3" ht="30" x14ac:dyDescent="0.2">
      <c r="A115" s="60" t="s">
        <v>179</v>
      </c>
      <c r="B115" s="34" t="s">
        <v>180</v>
      </c>
      <c r="C115" s="35">
        <f>[11]С4!F27</f>
        <v>776.44759830395003</v>
      </c>
    </row>
    <row r="116" spans="1:3" ht="25.5" x14ac:dyDescent="0.2">
      <c r="A116" s="60" t="s">
        <v>181</v>
      </c>
      <c r="B116" s="54" t="s">
        <v>182</v>
      </c>
      <c r="C116" s="35">
        <f>[11]С4!F28</f>
        <v>596.34992189243474</v>
      </c>
    </row>
    <row r="117" spans="1:3" ht="42.75" x14ac:dyDescent="0.2">
      <c r="A117" s="60" t="s">
        <v>183</v>
      </c>
      <c r="B117" s="54" t="s">
        <v>184</v>
      </c>
      <c r="C117" s="35">
        <f>[11]С4!F29</f>
        <v>180.09767641151529</v>
      </c>
    </row>
    <row r="118" spans="1:3" ht="30" x14ac:dyDescent="0.2">
      <c r="A118" s="60" t="s">
        <v>185</v>
      </c>
      <c r="B118" s="40" t="s">
        <v>186</v>
      </c>
      <c r="C118" s="35">
        <f>[11]С4!F30</f>
        <v>2104.9218912969027</v>
      </c>
    </row>
    <row r="119" spans="1:3" ht="42.75" x14ac:dyDescent="0.2">
      <c r="A119" s="60" t="s">
        <v>187</v>
      </c>
      <c r="B119" s="87" t="s">
        <v>188</v>
      </c>
      <c r="C119" s="35">
        <f>[11]С4!F33</f>
        <v>1408.096307572567</v>
      </c>
    </row>
    <row r="120" spans="1:3" ht="30" x14ac:dyDescent="0.2">
      <c r="A120" s="60" t="s">
        <v>189</v>
      </c>
      <c r="B120" s="88" t="s">
        <v>190</v>
      </c>
      <c r="C120" s="35">
        <f>[11]С4!F35</f>
        <v>17.040680999999999</v>
      </c>
    </row>
    <row r="121" spans="1:3" ht="14.25" x14ac:dyDescent="0.2">
      <c r="A121" s="60" t="s">
        <v>191</v>
      </c>
      <c r="B121" s="57" t="s">
        <v>192</v>
      </c>
      <c r="C121" s="35">
        <f>[11]С4!F36</f>
        <v>14319.9</v>
      </c>
    </row>
    <row r="122" spans="1:3" ht="28.5" thickBot="1" x14ac:dyDescent="0.25">
      <c r="A122" s="73" t="s">
        <v>193</v>
      </c>
      <c r="B122" s="89" t="s">
        <v>194</v>
      </c>
      <c r="C122" s="84">
        <f>[11]С4!F37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[11]С5!F17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[11]С2!F37</f>
        <v>20.818139999999996</v>
      </c>
    </row>
    <row r="136" spans="1:4" ht="14.25" x14ac:dyDescent="0.2">
      <c r="A136" s="60" t="s">
        <v>216</v>
      </c>
      <c r="B136" s="102" t="s">
        <v>217</v>
      </c>
      <c r="C136" s="35">
        <f>[11]С2!F38</f>
        <v>7</v>
      </c>
    </row>
    <row r="137" spans="1:4" ht="17.25" x14ac:dyDescent="0.2">
      <c r="A137" s="60" t="s">
        <v>218</v>
      </c>
      <c r="B137" s="102" t="s">
        <v>219</v>
      </c>
      <c r="C137" s="35">
        <f>[11]С2!F40</f>
        <v>0.97</v>
      </c>
    </row>
    <row r="138" spans="1:4" ht="15" thickBot="1" x14ac:dyDescent="0.25">
      <c r="A138" s="73" t="s">
        <v>220</v>
      </c>
      <c r="B138" s="103" t="s">
        <v>221</v>
      </c>
      <c r="C138" s="47">
        <f>[11]С2!F42</f>
        <v>0.35</v>
      </c>
    </row>
    <row r="139" spans="1:4" s="90" customFormat="1" ht="13.5" thickBot="1" x14ac:dyDescent="0.25">
      <c r="A139" s="48"/>
      <c r="B139" s="76"/>
      <c r="C139" s="15"/>
    </row>
    <row r="140" spans="1:4" ht="30" x14ac:dyDescent="0.2">
      <c r="A140" s="85" t="s">
        <v>222</v>
      </c>
      <c r="B140" s="104" t="s">
        <v>223</v>
      </c>
      <c r="C140" s="105">
        <f>[11]С2!F35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[11]С2.5!$E$11</f>
        <v>-2.9000000000000026E-2</v>
      </c>
      <c r="D143" s="90"/>
    </row>
    <row r="144" spans="1:4" x14ac:dyDescent="0.2">
      <c r="A144" s="107"/>
      <c r="B144" s="112">
        <f>B143+1</f>
        <v>2021</v>
      </c>
      <c r="C144" s="113">
        <f>[11]С2.5!$F$11</f>
        <v>0.245</v>
      </c>
      <c r="D144" s="90"/>
    </row>
    <row r="145" spans="1:4" x14ac:dyDescent="0.2">
      <c r="A145" s="107"/>
      <c r="B145" s="112">
        <f t="shared" ref="B145:B208" si="0">B144+1</f>
        <v>2022</v>
      </c>
      <c r="C145" s="113">
        <f>[11]С2.5!$G$11</f>
        <v>0.121</v>
      </c>
      <c r="D145" s="90"/>
    </row>
    <row r="146" spans="1:4" ht="13.5" thickBot="1" x14ac:dyDescent="0.25">
      <c r="A146" s="107"/>
      <c r="B146" s="114">
        <f t="shared" si="0"/>
        <v>2023</v>
      </c>
      <c r="C146" s="115">
        <f>[11]С2.5!$H$11</f>
        <v>0.02</v>
      </c>
      <c r="D146" s="90"/>
    </row>
    <row r="147" spans="1:4" hidden="1" x14ac:dyDescent="0.2">
      <c r="A147" s="107"/>
      <c r="B147" s="116">
        <f t="shared" si="0"/>
        <v>2024</v>
      </c>
      <c r="C147" s="117">
        <f>[11]С2.5!$I$11</f>
        <v>-2.93E-2</v>
      </c>
      <c r="D147" s="90"/>
    </row>
    <row r="148" spans="1:4" hidden="1" x14ac:dyDescent="0.2">
      <c r="A148" s="107"/>
      <c r="B148" s="112">
        <f t="shared" si="0"/>
        <v>2025</v>
      </c>
      <c r="C148" s="113">
        <f>[11]С2.5!$J$11</f>
        <v>0.21215960863291</v>
      </c>
      <c r="D148" s="90"/>
    </row>
    <row r="149" spans="1:4" hidden="1" x14ac:dyDescent="0.2">
      <c r="A149" s="107"/>
      <c r="B149" s="112">
        <f t="shared" si="0"/>
        <v>2026</v>
      </c>
      <c r="C149" s="113">
        <f>[11]С2.5!$K$11</f>
        <v>3.5813361771260002E-2</v>
      </c>
      <c r="D149" s="90"/>
    </row>
    <row r="150" spans="1:4" hidden="1" x14ac:dyDescent="0.2">
      <c r="A150" s="107"/>
      <c r="B150" s="112">
        <f t="shared" si="0"/>
        <v>2027</v>
      </c>
      <c r="C150" s="113">
        <f>[11]С2.5!$L$11</f>
        <v>3.2682303599220003E-2</v>
      </c>
      <c r="D150" s="90"/>
    </row>
    <row r="151" spans="1:4" hidden="1" x14ac:dyDescent="0.2">
      <c r="A151" s="107"/>
      <c r="B151" s="112">
        <f t="shared" si="0"/>
        <v>2028</v>
      </c>
      <c r="C151" s="113">
        <f>[11]С2.5!$M$11</f>
        <v>0</v>
      </c>
      <c r="D151" s="90"/>
    </row>
    <row r="152" spans="1:4" hidden="1" x14ac:dyDescent="0.2">
      <c r="A152" s="107"/>
      <c r="B152" s="112">
        <f t="shared" si="0"/>
        <v>2029</v>
      </c>
      <c r="C152" s="113">
        <f>[11]С2.5!$N$11</f>
        <v>0</v>
      </c>
      <c r="D152" s="90"/>
    </row>
    <row r="153" spans="1:4" hidden="1" x14ac:dyDescent="0.2">
      <c r="A153" s="107"/>
      <c r="B153" s="112">
        <f t="shared" si="0"/>
        <v>2030</v>
      </c>
      <c r="C153" s="113">
        <f>[11]С2.5!$O$11</f>
        <v>0</v>
      </c>
      <c r="D153" s="90"/>
    </row>
    <row r="154" spans="1:4" hidden="1" x14ac:dyDescent="0.2">
      <c r="A154" s="107"/>
      <c r="B154" s="112">
        <f t="shared" si="0"/>
        <v>2031</v>
      </c>
      <c r="C154" s="113">
        <f>[11]С2.5!$P$11</f>
        <v>0</v>
      </c>
      <c r="D154" s="90"/>
    </row>
    <row r="155" spans="1:4" hidden="1" x14ac:dyDescent="0.2">
      <c r="A155" s="90"/>
      <c r="B155" s="112">
        <f t="shared" si="0"/>
        <v>2032</v>
      </c>
      <c r="C155" s="113">
        <f>[11]С2.5!$Q$11</f>
        <v>0</v>
      </c>
      <c r="D155" s="90"/>
    </row>
    <row r="156" spans="1:4" hidden="1" x14ac:dyDescent="0.2">
      <c r="A156" s="90"/>
      <c r="B156" s="112">
        <f t="shared" si="0"/>
        <v>2033</v>
      </c>
      <c r="C156" s="113">
        <f>[11]С2.5!$R$11</f>
        <v>0</v>
      </c>
      <c r="D156" s="90"/>
    </row>
    <row r="157" spans="1:4" hidden="1" x14ac:dyDescent="0.2">
      <c r="B157" s="112">
        <f t="shared" si="0"/>
        <v>2034</v>
      </c>
      <c r="C157" s="113">
        <f>[11]С2.5!$S$11</f>
        <v>0</v>
      </c>
    </row>
    <row r="158" spans="1:4" hidden="1" x14ac:dyDescent="0.2">
      <c r="B158" s="112">
        <f t="shared" si="0"/>
        <v>2035</v>
      </c>
      <c r="C158" s="113">
        <f>[11]С2.5!$T$11</f>
        <v>0</v>
      </c>
    </row>
    <row r="159" spans="1:4" hidden="1" x14ac:dyDescent="0.2">
      <c r="B159" s="112">
        <f t="shared" si="0"/>
        <v>2036</v>
      </c>
      <c r="C159" s="113">
        <f>[11]С2.5!$U$11</f>
        <v>0</v>
      </c>
    </row>
    <row r="160" spans="1:4" hidden="1" x14ac:dyDescent="0.2">
      <c r="B160" s="112">
        <f t="shared" si="0"/>
        <v>2037</v>
      </c>
      <c r="C160" s="113">
        <f>[11]С2.5!$V$11</f>
        <v>0</v>
      </c>
    </row>
    <row r="161" spans="2:3" hidden="1" x14ac:dyDescent="0.2">
      <c r="B161" s="112">
        <f t="shared" si="0"/>
        <v>2038</v>
      </c>
      <c r="C161" s="113">
        <f>[11]С2.5!$W$11</f>
        <v>0</v>
      </c>
    </row>
    <row r="162" spans="2:3" hidden="1" x14ac:dyDescent="0.2">
      <c r="B162" s="112">
        <f t="shared" si="0"/>
        <v>2039</v>
      </c>
      <c r="C162" s="113">
        <f>[11]С2.5!$X$11</f>
        <v>0</v>
      </c>
    </row>
    <row r="163" spans="2:3" hidden="1" x14ac:dyDescent="0.2">
      <c r="B163" s="112">
        <f t="shared" si="0"/>
        <v>2040</v>
      </c>
      <c r="C163" s="113">
        <f>[11]С2.5!$Y$11</f>
        <v>0</v>
      </c>
    </row>
    <row r="164" spans="2:3" hidden="1" x14ac:dyDescent="0.2">
      <c r="B164" s="112">
        <f t="shared" si="0"/>
        <v>2041</v>
      </c>
      <c r="C164" s="113">
        <f>[11]С2.5!$Z$11</f>
        <v>0</v>
      </c>
    </row>
    <row r="165" spans="2:3" hidden="1" x14ac:dyDescent="0.2">
      <c r="B165" s="112">
        <f t="shared" si="0"/>
        <v>2042</v>
      </c>
      <c r="C165" s="113">
        <f>[11]С2.5!$AA$11</f>
        <v>0</v>
      </c>
    </row>
    <row r="166" spans="2:3" hidden="1" x14ac:dyDescent="0.2">
      <c r="B166" s="112">
        <f t="shared" si="0"/>
        <v>2043</v>
      </c>
      <c r="C166" s="113">
        <f>[11]С2.5!$AB$11</f>
        <v>0</v>
      </c>
    </row>
    <row r="167" spans="2:3" hidden="1" x14ac:dyDescent="0.2">
      <c r="B167" s="112">
        <f t="shared" si="0"/>
        <v>2044</v>
      </c>
      <c r="C167" s="113">
        <f>[11]С2.5!$AC$11</f>
        <v>0</v>
      </c>
    </row>
    <row r="168" spans="2:3" hidden="1" x14ac:dyDescent="0.2">
      <c r="B168" s="112">
        <f t="shared" si="0"/>
        <v>2045</v>
      </c>
      <c r="C168" s="113">
        <f>[11]С2.5!$AD$11</f>
        <v>0</v>
      </c>
    </row>
    <row r="169" spans="2:3" hidden="1" x14ac:dyDescent="0.2">
      <c r="B169" s="112">
        <f t="shared" si="0"/>
        <v>2046</v>
      </c>
      <c r="C169" s="113">
        <f>[11]С2.5!$AE$11</f>
        <v>0</v>
      </c>
    </row>
    <row r="170" spans="2:3" hidden="1" x14ac:dyDescent="0.2">
      <c r="B170" s="112">
        <f t="shared" si="0"/>
        <v>2047</v>
      </c>
      <c r="C170" s="113">
        <f>[11]С2.5!$AF$11</f>
        <v>0</v>
      </c>
    </row>
    <row r="171" spans="2:3" hidden="1" x14ac:dyDescent="0.2">
      <c r="B171" s="112">
        <f t="shared" si="0"/>
        <v>2048</v>
      </c>
      <c r="C171" s="113">
        <f>[11]С2.5!$AG$11</f>
        <v>0</v>
      </c>
    </row>
    <row r="172" spans="2:3" hidden="1" x14ac:dyDescent="0.2">
      <c r="B172" s="112">
        <f t="shared" si="0"/>
        <v>2049</v>
      </c>
      <c r="C172" s="113">
        <f>[11]С2.5!$AH$11</f>
        <v>0</v>
      </c>
    </row>
    <row r="173" spans="2:3" hidden="1" x14ac:dyDescent="0.2">
      <c r="B173" s="112">
        <f t="shared" si="0"/>
        <v>2050</v>
      </c>
      <c r="C173" s="113">
        <f>[11]С2.5!$AI$11</f>
        <v>0</v>
      </c>
    </row>
    <row r="174" spans="2:3" hidden="1" x14ac:dyDescent="0.2">
      <c r="B174" s="112">
        <f t="shared" si="0"/>
        <v>2051</v>
      </c>
      <c r="C174" s="113">
        <f>[11]С2.5!$AJ$11</f>
        <v>0</v>
      </c>
    </row>
    <row r="175" spans="2:3" hidden="1" x14ac:dyDescent="0.2">
      <c r="B175" s="112">
        <f t="shared" si="0"/>
        <v>2052</v>
      </c>
      <c r="C175" s="113">
        <f>[11]С2.5!$AK$11</f>
        <v>0</v>
      </c>
    </row>
    <row r="176" spans="2:3" hidden="1" x14ac:dyDescent="0.2">
      <c r="B176" s="112">
        <f t="shared" si="0"/>
        <v>2053</v>
      </c>
      <c r="C176" s="113">
        <f>[11]С2.5!$AL$11</f>
        <v>0</v>
      </c>
    </row>
    <row r="177" spans="2:3" hidden="1" x14ac:dyDescent="0.2">
      <c r="B177" s="112">
        <f t="shared" si="0"/>
        <v>2054</v>
      </c>
      <c r="C177" s="113">
        <f>[11]С2.5!$AM$11</f>
        <v>0</v>
      </c>
    </row>
    <row r="178" spans="2:3" hidden="1" x14ac:dyDescent="0.2">
      <c r="B178" s="112">
        <f t="shared" si="0"/>
        <v>2055</v>
      </c>
      <c r="C178" s="113">
        <f>[11]С2.5!$AN$11</f>
        <v>0</v>
      </c>
    </row>
    <row r="179" spans="2:3" hidden="1" x14ac:dyDescent="0.2">
      <c r="B179" s="112">
        <f t="shared" si="0"/>
        <v>2056</v>
      </c>
      <c r="C179" s="113">
        <f>[11]С2.5!$AO$11</f>
        <v>0</v>
      </c>
    </row>
    <row r="180" spans="2:3" hidden="1" x14ac:dyDescent="0.2">
      <c r="B180" s="112">
        <f t="shared" si="0"/>
        <v>2057</v>
      </c>
      <c r="C180" s="113">
        <f>[11]С2.5!$AP$11</f>
        <v>0</v>
      </c>
    </row>
    <row r="181" spans="2:3" hidden="1" x14ac:dyDescent="0.2">
      <c r="B181" s="112">
        <f t="shared" si="0"/>
        <v>2058</v>
      </c>
      <c r="C181" s="113">
        <f>[11]С2.5!$AQ$11</f>
        <v>0</v>
      </c>
    </row>
    <row r="182" spans="2:3" hidden="1" x14ac:dyDescent="0.2">
      <c r="B182" s="112">
        <f t="shared" si="0"/>
        <v>2059</v>
      </c>
      <c r="C182" s="113">
        <f>[11]С2.5!$AR$11</f>
        <v>0</v>
      </c>
    </row>
    <row r="183" spans="2:3" hidden="1" x14ac:dyDescent="0.2">
      <c r="B183" s="112">
        <f t="shared" si="0"/>
        <v>2060</v>
      </c>
      <c r="C183" s="113">
        <f>[11]С2.5!$AS$11</f>
        <v>0</v>
      </c>
    </row>
    <row r="184" spans="2:3" hidden="1" x14ac:dyDescent="0.2">
      <c r="B184" s="112">
        <f t="shared" si="0"/>
        <v>2061</v>
      </c>
      <c r="C184" s="113">
        <f>[11]С2.5!$AT$11</f>
        <v>0</v>
      </c>
    </row>
    <row r="185" spans="2:3" hidden="1" x14ac:dyDescent="0.2">
      <c r="B185" s="112">
        <f t="shared" si="0"/>
        <v>2062</v>
      </c>
      <c r="C185" s="113">
        <f>[11]С2.5!$AU$11</f>
        <v>0</v>
      </c>
    </row>
    <row r="186" spans="2:3" hidden="1" x14ac:dyDescent="0.2">
      <c r="B186" s="112">
        <f t="shared" si="0"/>
        <v>2063</v>
      </c>
      <c r="C186" s="113">
        <f>[11]С2.5!$AV$11</f>
        <v>0</v>
      </c>
    </row>
    <row r="187" spans="2:3" hidden="1" x14ac:dyDescent="0.2">
      <c r="B187" s="112">
        <f t="shared" si="0"/>
        <v>2064</v>
      </c>
      <c r="C187" s="113">
        <f>[11]С2.5!$AW$11</f>
        <v>0</v>
      </c>
    </row>
    <row r="188" spans="2:3" hidden="1" x14ac:dyDescent="0.2">
      <c r="B188" s="112">
        <f t="shared" si="0"/>
        <v>2065</v>
      </c>
      <c r="C188" s="113">
        <f>[11]С2.5!$AX$11</f>
        <v>0</v>
      </c>
    </row>
    <row r="189" spans="2:3" hidden="1" x14ac:dyDescent="0.2">
      <c r="B189" s="112">
        <f t="shared" si="0"/>
        <v>2066</v>
      </c>
      <c r="C189" s="113">
        <f>[11]С2.5!$AY$11</f>
        <v>0</v>
      </c>
    </row>
    <row r="190" spans="2:3" hidden="1" x14ac:dyDescent="0.2">
      <c r="B190" s="112">
        <f t="shared" si="0"/>
        <v>2067</v>
      </c>
      <c r="C190" s="113">
        <f>[11]С2.5!$AZ$11</f>
        <v>0</v>
      </c>
    </row>
    <row r="191" spans="2:3" hidden="1" x14ac:dyDescent="0.2">
      <c r="B191" s="112">
        <f t="shared" si="0"/>
        <v>2068</v>
      </c>
      <c r="C191" s="113">
        <f>[11]С2.5!$BA$11</f>
        <v>0</v>
      </c>
    </row>
    <row r="192" spans="2:3" hidden="1" x14ac:dyDescent="0.2">
      <c r="B192" s="112">
        <f t="shared" si="0"/>
        <v>2069</v>
      </c>
      <c r="C192" s="113">
        <f>[11]С2.5!$BB$11</f>
        <v>0</v>
      </c>
    </row>
    <row r="193" spans="2:3" hidden="1" x14ac:dyDescent="0.2">
      <c r="B193" s="112">
        <f t="shared" si="0"/>
        <v>2070</v>
      </c>
      <c r="C193" s="113">
        <f>[11]С2.5!$BC$11</f>
        <v>0</v>
      </c>
    </row>
    <row r="194" spans="2:3" hidden="1" x14ac:dyDescent="0.2">
      <c r="B194" s="112">
        <f t="shared" si="0"/>
        <v>2071</v>
      </c>
      <c r="C194" s="113">
        <f>[11]С2.5!$BD$11</f>
        <v>0</v>
      </c>
    </row>
    <row r="195" spans="2:3" hidden="1" x14ac:dyDescent="0.2">
      <c r="B195" s="112">
        <f t="shared" si="0"/>
        <v>2072</v>
      </c>
      <c r="C195" s="113">
        <f>[11]С2.5!$BE$11</f>
        <v>0</v>
      </c>
    </row>
    <row r="196" spans="2:3" hidden="1" x14ac:dyDescent="0.2">
      <c r="B196" s="112">
        <f t="shared" si="0"/>
        <v>2073</v>
      </c>
      <c r="C196" s="113">
        <f>[11]С2.5!$BF$11</f>
        <v>0</v>
      </c>
    </row>
    <row r="197" spans="2:3" hidden="1" x14ac:dyDescent="0.2">
      <c r="B197" s="112">
        <f t="shared" si="0"/>
        <v>2074</v>
      </c>
      <c r="C197" s="113">
        <f>[11]С2.5!$BG$11</f>
        <v>0</v>
      </c>
    </row>
    <row r="198" spans="2:3" hidden="1" x14ac:dyDescent="0.2">
      <c r="B198" s="112">
        <f t="shared" si="0"/>
        <v>2075</v>
      </c>
      <c r="C198" s="113">
        <f>[11]С2.5!$BH$11</f>
        <v>0</v>
      </c>
    </row>
    <row r="199" spans="2:3" hidden="1" x14ac:dyDescent="0.2">
      <c r="B199" s="112">
        <f t="shared" si="0"/>
        <v>2076</v>
      </c>
      <c r="C199" s="113">
        <f>[11]С2.5!$BI$11</f>
        <v>0</v>
      </c>
    </row>
    <row r="200" spans="2:3" hidden="1" x14ac:dyDescent="0.2">
      <c r="B200" s="112">
        <f t="shared" si="0"/>
        <v>2077</v>
      </c>
      <c r="C200" s="113">
        <f>[11]С2.5!$BJ$11</f>
        <v>0</v>
      </c>
    </row>
    <row r="201" spans="2:3" hidden="1" x14ac:dyDescent="0.2">
      <c r="B201" s="112">
        <f t="shared" si="0"/>
        <v>2078</v>
      </c>
      <c r="C201" s="113">
        <f>[11]С2.5!$BK$11</f>
        <v>0</v>
      </c>
    </row>
    <row r="202" spans="2:3" hidden="1" x14ac:dyDescent="0.2">
      <c r="B202" s="112">
        <f t="shared" si="0"/>
        <v>2079</v>
      </c>
      <c r="C202" s="113">
        <f>[11]С2.5!$BL$11</f>
        <v>0</v>
      </c>
    </row>
    <row r="203" spans="2:3" hidden="1" x14ac:dyDescent="0.2">
      <c r="B203" s="112">
        <f t="shared" si="0"/>
        <v>2080</v>
      </c>
      <c r="C203" s="113">
        <f>[11]С2.5!$BM$11</f>
        <v>0</v>
      </c>
    </row>
    <row r="204" spans="2:3" hidden="1" x14ac:dyDescent="0.2">
      <c r="B204" s="112">
        <f t="shared" si="0"/>
        <v>2081</v>
      </c>
      <c r="C204" s="113">
        <f>[11]С2.5!$BN$11</f>
        <v>0</v>
      </c>
    </row>
    <row r="205" spans="2:3" hidden="1" x14ac:dyDescent="0.2">
      <c r="B205" s="112">
        <f t="shared" si="0"/>
        <v>2082</v>
      </c>
      <c r="C205" s="113">
        <f>[11]С2.5!$BO$11</f>
        <v>0</v>
      </c>
    </row>
    <row r="206" spans="2:3" hidden="1" x14ac:dyDescent="0.2">
      <c r="B206" s="112">
        <f t="shared" si="0"/>
        <v>2083</v>
      </c>
      <c r="C206" s="113">
        <f>[11]С2.5!$BP$11</f>
        <v>0</v>
      </c>
    </row>
    <row r="207" spans="2:3" hidden="1" x14ac:dyDescent="0.2">
      <c r="B207" s="112">
        <f t="shared" si="0"/>
        <v>2084</v>
      </c>
      <c r="C207" s="113">
        <f>[11]С2.5!$BQ$11</f>
        <v>0</v>
      </c>
    </row>
    <row r="208" spans="2:3" hidden="1" x14ac:dyDescent="0.2">
      <c r="B208" s="112">
        <f t="shared" si="0"/>
        <v>2085</v>
      </c>
      <c r="C208" s="113">
        <f>[11]С2.5!$BR$11</f>
        <v>0</v>
      </c>
    </row>
    <row r="209" spans="2:3" hidden="1" x14ac:dyDescent="0.2">
      <c r="B209" s="112">
        <f t="shared" ref="B209:B223" si="1">B208+1</f>
        <v>2086</v>
      </c>
      <c r="C209" s="113">
        <f>[11]С2.5!$BS$11</f>
        <v>0</v>
      </c>
    </row>
    <row r="210" spans="2:3" hidden="1" x14ac:dyDescent="0.2">
      <c r="B210" s="112">
        <f t="shared" si="1"/>
        <v>2087</v>
      </c>
      <c r="C210" s="113">
        <f>[11]С2.5!$BT$11</f>
        <v>0</v>
      </c>
    </row>
    <row r="211" spans="2:3" hidden="1" x14ac:dyDescent="0.2">
      <c r="B211" s="112">
        <f t="shared" si="1"/>
        <v>2088</v>
      </c>
      <c r="C211" s="113">
        <f>[11]С2.5!$BU$11</f>
        <v>0</v>
      </c>
    </row>
    <row r="212" spans="2:3" hidden="1" x14ac:dyDescent="0.2">
      <c r="B212" s="112">
        <f t="shared" si="1"/>
        <v>2089</v>
      </c>
      <c r="C212" s="113">
        <f>[11]С2.5!$BV$11</f>
        <v>0</v>
      </c>
    </row>
    <row r="213" spans="2:3" hidden="1" x14ac:dyDescent="0.2">
      <c r="B213" s="112">
        <f t="shared" si="1"/>
        <v>2090</v>
      </c>
      <c r="C213" s="113">
        <f>[11]С2.5!$BW$11</f>
        <v>0</v>
      </c>
    </row>
    <row r="214" spans="2:3" hidden="1" x14ac:dyDescent="0.2">
      <c r="B214" s="112">
        <f t="shared" si="1"/>
        <v>2091</v>
      </c>
      <c r="C214" s="113">
        <f>[11]С2.5!$BX$11</f>
        <v>0</v>
      </c>
    </row>
    <row r="215" spans="2:3" hidden="1" x14ac:dyDescent="0.2">
      <c r="B215" s="112">
        <f t="shared" si="1"/>
        <v>2092</v>
      </c>
      <c r="C215" s="113">
        <f>[11]С2.5!$BY$11</f>
        <v>0</v>
      </c>
    </row>
    <row r="216" spans="2:3" hidden="1" x14ac:dyDescent="0.2">
      <c r="B216" s="112">
        <f t="shared" si="1"/>
        <v>2093</v>
      </c>
      <c r="C216" s="113">
        <f>[11]С2.5!$BZ$11</f>
        <v>0</v>
      </c>
    </row>
    <row r="217" spans="2:3" hidden="1" x14ac:dyDescent="0.2">
      <c r="B217" s="112">
        <f t="shared" si="1"/>
        <v>2094</v>
      </c>
      <c r="C217" s="113">
        <f>[11]С2.5!$CA$11</f>
        <v>0</v>
      </c>
    </row>
    <row r="218" spans="2:3" hidden="1" x14ac:dyDescent="0.2">
      <c r="B218" s="112">
        <f t="shared" si="1"/>
        <v>2095</v>
      </c>
      <c r="C218" s="113">
        <f>[11]С2.5!$CB$11</f>
        <v>0</v>
      </c>
    </row>
    <row r="219" spans="2:3" hidden="1" x14ac:dyDescent="0.2">
      <c r="B219" s="112">
        <f t="shared" si="1"/>
        <v>2096</v>
      </c>
      <c r="C219" s="113">
        <f>[11]С2.5!$CC$11</f>
        <v>0</v>
      </c>
    </row>
    <row r="220" spans="2:3" hidden="1" x14ac:dyDescent="0.2">
      <c r="B220" s="112">
        <f t="shared" si="1"/>
        <v>2097</v>
      </c>
      <c r="C220" s="113">
        <f>[11]С2.5!$CD$11</f>
        <v>0</v>
      </c>
    </row>
    <row r="221" spans="2:3" hidden="1" x14ac:dyDescent="0.2">
      <c r="B221" s="112">
        <f t="shared" si="1"/>
        <v>2098</v>
      </c>
      <c r="C221" s="113">
        <f>[11]С2.5!$CE$11</f>
        <v>0</v>
      </c>
    </row>
    <row r="222" spans="2:3" hidden="1" x14ac:dyDescent="0.2">
      <c r="B222" s="112">
        <f t="shared" si="1"/>
        <v>2099</v>
      </c>
      <c r="C222" s="113">
        <f>[11]С2.5!$CF$11</f>
        <v>0</v>
      </c>
    </row>
    <row r="223" spans="2:3" ht="13.5" hidden="1" thickBot="1" x14ac:dyDescent="0.25">
      <c r="B223" s="114">
        <f t="shared" si="1"/>
        <v>2100</v>
      </c>
      <c r="C223" s="115">
        <f>[11]С2.5!$CG$11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Button 1">
              <controlPr defaultSize="0" print="0" autoFill="0" autoPict="0" macro="[11]!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[12]И1!D13</f>
        <v>Субъект Российской Федерации</v>
      </c>
      <c r="C4" s="10" t="str">
        <f>[12]И1!E13</f>
        <v>Новосибирская область</v>
      </c>
    </row>
    <row r="5" spans="1:3" ht="51" x14ac:dyDescent="0.2">
      <c r="A5" s="8"/>
      <c r="B5" s="9" t="str">
        <f>[12]И1!D14</f>
        <v>Тип муниципального образования (выберите из списка)</v>
      </c>
      <c r="C5" s="10" t="str">
        <f>[12]И1!E14</f>
        <v>село Нижнечеремошное, Краснозерский муниципальный район</v>
      </c>
    </row>
    <row r="6" spans="1:3" x14ac:dyDescent="0.2">
      <c r="A6" s="8"/>
      <c r="B6" s="9" t="str">
        <f>IF([12]И1!E15="","",[12]И1!D15)</f>
        <v/>
      </c>
      <c r="C6" s="10" t="str">
        <f>IF([12]И1!E15="","",[12]И1!E15)</f>
        <v/>
      </c>
    </row>
    <row r="7" spans="1:3" x14ac:dyDescent="0.2">
      <c r="A7" s="8"/>
      <c r="B7" s="9" t="str">
        <f>[12]И1!D16</f>
        <v>Код ОКТМО</v>
      </c>
      <c r="C7" s="11" t="str">
        <f>[12]И1!E16</f>
        <v xml:space="preserve"> (50627428101)</v>
      </c>
    </row>
    <row r="8" spans="1:3" x14ac:dyDescent="0.2">
      <c r="A8" s="8"/>
      <c r="B8" s="12" t="str">
        <f>[12]И1!D17</f>
        <v>Система теплоснабжения</v>
      </c>
      <c r="C8" s="13">
        <f>[12]И1!E17</f>
        <v>0</v>
      </c>
    </row>
    <row r="9" spans="1:3" x14ac:dyDescent="0.2">
      <c r="A9" s="8"/>
      <c r="B9" s="9" t="str">
        <f>[12]И1!D8</f>
        <v>Период регулирования (i)-й</v>
      </c>
      <c r="C9" s="14">
        <f>[12]И1!E8</f>
        <v>2023</v>
      </c>
    </row>
    <row r="10" spans="1:3" x14ac:dyDescent="0.2">
      <c r="A10" s="8"/>
      <c r="B10" s="9" t="str">
        <f>[12]И1!D9</f>
        <v>Период регулирования (i-1)-й</v>
      </c>
      <c r="C10" s="14">
        <f>[12]И1!E9</f>
        <v>2022</v>
      </c>
    </row>
    <row r="11" spans="1:3" x14ac:dyDescent="0.2">
      <c r="A11" s="8"/>
      <c r="B11" s="9" t="str">
        <f>[12]И1!D10</f>
        <v>Период регулирования (i-2)-й</v>
      </c>
      <c r="C11" s="14">
        <f>[12]И1!E10</f>
        <v>2021</v>
      </c>
    </row>
    <row r="12" spans="1:3" x14ac:dyDescent="0.2">
      <c r="A12" s="8"/>
      <c r="B12" s="9" t="str">
        <f>[12]И1!D11</f>
        <v>Базовый год (б)</v>
      </c>
      <c r="C12" s="14">
        <f>[12]И1!E11</f>
        <v>2019</v>
      </c>
    </row>
    <row r="13" spans="1:3" ht="38.25" x14ac:dyDescent="0.2">
      <c r="A13" s="8"/>
      <c r="B13" s="9" t="str">
        <f>[12]И1!D18</f>
        <v>Вид топлива, использование которого преобладает в системе теплоснабжения</v>
      </c>
      <c r="C13" s="15" t="str">
        <f>[12]С1.1!E13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3902.2079343427313</v>
      </c>
    </row>
    <row r="18" spans="1:3" ht="42.75" x14ac:dyDescent="0.2">
      <c r="A18" s="22" t="s">
        <v>8</v>
      </c>
      <c r="B18" s="25" t="s">
        <v>9</v>
      </c>
      <c r="C18" s="26">
        <f>[12]С1!F12</f>
        <v>831.52434563268116</v>
      </c>
    </row>
    <row r="19" spans="1:3" ht="42.75" x14ac:dyDescent="0.2">
      <c r="A19" s="22" t="s">
        <v>10</v>
      </c>
      <c r="B19" s="25" t="s">
        <v>11</v>
      </c>
      <c r="C19" s="26">
        <f>[12]С2!F12</f>
        <v>2106.0579468653982</v>
      </c>
    </row>
    <row r="20" spans="1:3" ht="30" x14ac:dyDescent="0.2">
      <c r="A20" s="22" t="s">
        <v>12</v>
      </c>
      <c r="B20" s="25" t="s">
        <v>13</v>
      </c>
      <c r="C20" s="26">
        <f>[12]С3!F12</f>
        <v>503.83473408478085</v>
      </c>
    </row>
    <row r="21" spans="1:3" ht="42.75" x14ac:dyDescent="0.2">
      <c r="A21" s="22" t="s">
        <v>14</v>
      </c>
      <c r="B21" s="25" t="s">
        <v>15</v>
      </c>
      <c r="C21" s="26">
        <f>[12]С4!F12</f>
        <v>384.27702669432699</v>
      </c>
    </row>
    <row r="22" spans="1:3" ht="30" x14ac:dyDescent="0.2">
      <c r="A22" s="22" t="s">
        <v>16</v>
      </c>
      <c r="B22" s="25" t="s">
        <v>17</v>
      </c>
      <c r="C22" s="26">
        <f>[12]С5!F12</f>
        <v>76.513881065543742</v>
      </c>
    </row>
    <row r="23" spans="1:3" ht="43.5" thickBot="1" x14ac:dyDescent="0.25">
      <c r="A23" s="27" t="s">
        <v>18</v>
      </c>
      <c r="B23" s="119" t="s">
        <v>19</v>
      </c>
      <c r="C23" s="29" t="str">
        <f>[12]С6!F12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[12]С1.1!E16</f>
        <v>5100</v>
      </c>
    </row>
    <row r="29" spans="1:3" ht="42.75" x14ac:dyDescent="0.2">
      <c r="A29" s="22" t="s">
        <v>10</v>
      </c>
      <c r="B29" s="34" t="s">
        <v>22</v>
      </c>
      <c r="C29" s="35">
        <f>[12]С1.1!E27</f>
        <v>2235.83</v>
      </c>
    </row>
    <row r="30" spans="1:3" ht="17.25" x14ac:dyDescent="0.2">
      <c r="A30" s="22" t="s">
        <v>12</v>
      </c>
      <c r="B30" s="34" t="s">
        <v>23</v>
      </c>
      <c r="C30" s="36">
        <f>[12]С1.1!E19</f>
        <v>0.59499999999999997</v>
      </c>
    </row>
    <row r="31" spans="1:3" ht="17.25" x14ac:dyDescent="0.2">
      <c r="A31" s="22" t="s">
        <v>14</v>
      </c>
      <c r="B31" s="34" t="s">
        <v>24</v>
      </c>
      <c r="C31" s="36">
        <f>[12]С1.1!E20</f>
        <v>-0.113</v>
      </c>
    </row>
    <row r="32" spans="1:3" ht="30" x14ac:dyDescent="0.2">
      <c r="A32" s="22" t="s">
        <v>16</v>
      </c>
      <c r="B32" s="37" t="s">
        <v>25</v>
      </c>
      <c r="C32" s="38">
        <f>[12]С1!F13</f>
        <v>176.4</v>
      </c>
    </row>
    <row r="33" spans="1:3" x14ac:dyDescent="0.2">
      <c r="A33" s="22" t="s">
        <v>18</v>
      </c>
      <c r="B33" s="37" t="s">
        <v>26</v>
      </c>
      <c r="C33" s="39">
        <f>[12]С1!F16</f>
        <v>7000</v>
      </c>
    </row>
    <row r="34" spans="1:3" ht="14.25" x14ac:dyDescent="0.2">
      <c r="A34" s="22" t="s">
        <v>27</v>
      </c>
      <c r="B34" s="40" t="s">
        <v>28</v>
      </c>
      <c r="C34" s="41">
        <f>[12]С1!F17</f>
        <v>0.72857142857142854</v>
      </c>
    </row>
    <row r="35" spans="1:3" ht="15.75" x14ac:dyDescent="0.2">
      <c r="A35" s="42" t="s">
        <v>29</v>
      </c>
      <c r="B35" s="43" t="s">
        <v>30</v>
      </c>
      <c r="C35" s="41">
        <f>[12]С1!F20</f>
        <v>21.588411179999994</v>
      </c>
    </row>
    <row r="36" spans="1:3" ht="15.75" x14ac:dyDescent="0.2">
      <c r="A36" s="42" t="s">
        <v>31</v>
      </c>
      <c r="B36" s="44" t="s">
        <v>32</v>
      </c>
      <c r="C36" s="41">
        <f>[12]С1!F21</f>
        <v>20.818139999999996</v>
      </c>
    </row>
    <row r="37" spans="1:3" ht="14.25" x14ac:dyDescent="0.2">
      <c r="A37" s="42" t="s">
        <v>33</v>
      </c>
      <c r="B37" s="45" t="s">
        <v>34</v>
      </c>
      <c r="C37" s="41">
        <f>[12]С1!F22</f>
        <v>1.0369999999999999</v>
      </c>
    </row>
    <row r="38" spans="1:3" ht="53.25" thickBot="1" x14ac:dyDescent="0.25">
      <c r="A38" s="27" t="s">
        <v>35</v>
      </c>
      <c r="B38" s="46" t="s">
        <v>36</v>
      </c>
      <c r="C38" s="47">
        <f>[12]С1!F23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[12]С2.1!E12</f>
        <v>V</v>
      </c>
    </row>
    <row r="42" spans="1:3" ht="25.5" x14ac:dyDescent="0.2">
      <c r="A42" s="22" t="s">
        <v>41</v>
      </c>
      <c r="B42" s="34" t="s">
        <v>42</v>
      </c>
      <c r="C42" s="52" t="str">
        <f>[12]С2.1!E13</f>
        <v>6 и менее баллов</v>
      </c>
    </row>
    <row r="43" spans="1:3" ht="25.5" x14ac:dyDescent="0.2">
      <c r="A43" s="22" t="s">
        <v>43</v>
      </c>
      <c r="B43" s="34" t="s">
        <v>44</v>
      </c>
      <c r="C43" s="52" t="str">
        <f>[12]С2.1!E14</f>
        <v>от 200 до 500</v>
      </c>
    </row>
    <row r="44" spans="1:3" ht="25.5" x14ac:dyDescent="0.2">
      <c r="A44" s="22" t="s">
        <v>45</v>
      </c>
      <c r="B44" s="34" t="s">
        <v>46</v>
      </c>
      <c r="C44" s="53" t="str">
        <f>[12]С2.1!E15</f>
        <v>нет</v>
      </c>
    </row>
    <row r="45" spans="1:3" ht="30" x14ac:dyDescent="0.2">
      <c r="A45" s="22" t="s">
        <v>47</v>
      </c>
      <c r="B45" s="34" t="s">
        <v>48</v>
      </c>
      <c r="C45" s="35">
        <f>[12]С2!F18</f>
        <v>32402.627334033532</v>
      </c>
    </row>
    <row r="46" spans="1:3" ht="30" x14ac:dyDescent="0.2">
      <c r="A46" s="22" t="s">
        <v>49</v>
      </c>
      <c r="B46" s="54" t="s">
        <v>50</v>
      </c>
      <c r="C46" s="35">
        <f>IF([12]С2!F19&gt;0,[12]С2!F19,[12]С2!F20)</f>
        <v>23441.524932855718</v>
      </c>
    </row>
    <row r="47" spans="1:3" ht="25.5" x14ac:dyDescent="0.2">
      <c r="A47" s="22" t="s">
        <v>51</v>
      </c>
      <c r="B47" s="55" t="s">
        <v>52</v>
      </c>
      <c r="C47" s="35">
        <f>[12]С2.1!E19</f>
        <v>-37</v>
      </c>
    </row>
    <row r="48" spans="1:3" ht="25.5" x14ac:dyDescent="0.2">
      <c r="A48" s="22" t="s">
        <v>53</v>
      </c>
      <c r="B48" s="55" t="s">
        <v>54</v>
      </c>
      <c r="C48" s="35" t="str">
        <f>[12]С2.1!E22</f>
        <v>нет</v>
      </c>
    </row>
    <row r="49" spans="1:3" ht="38.25" x14ac:dyDescent="0.2">
      <c r="A49" s="22" t="s">
        <v>55</v>
      </c>
      <c r="B49" s="56" t="s">
        <v>56</v>
      </c>
      <c r="C49" s="35">
        <f>[12]С2.2!E10</f>
        <v>1287</v>
      </c>
    </row>
    <row r="50" spans="1:3" ht="25.5" x14ac:dyDescent="0.2">
      <c r="A50" s="22" t="s">
        <v>57</v>
      </c>
      <c r="B50" s="57" t="s">
        <v>58</v>
      </c>
      <c r="C50" s="35">
        <f>[12]С2.2!E12</f>
        <v>5.97</v>
      </c>
    </row>
    <row r="51" spans="1:3" ht="52.5" x14ac:dyDescent="0.2">
      <c r="A51" s="22" t="s">
        <v>59</v>
      </c>
      <c r="B51" s="58" t="s">
        <v>60</v>
      </c>
      <c r="C51" s="35">
        <f>[12]С2.2!E13</f>
        <v>1</v>
      </c>
    </row>
    <row r="52" spans="1:3" ht="27.75" x14ac:dyDescent="0.2">
      <c r="A52" s="22" t="s">
        <v>61</v>
      </c>
      <c r="B52" s="57" t="s">
        <v>62</v>
      </c>
      <c r="C52" s="35">
        <f>[12]С2.2!E14</f>
        <v>12104</v>
      </c>
    </row>
    <row r="53" spans="1:3" ht="25.5" x14ac:dyDescent="0.2">
      <c r="A53" s="22" t="s">
        <v>63</v>
      </c>
      <c r="B53" s="58" t="s">
        <v>64</v>
      </c>
      <c r="C53" s="36">
        <f>[12]С2.2!E15</f>
        <v>4.8000000000000001E-2</v>
      </c>
    </row>
    <row r="54" spans="1:3" x14ac:dyDescent="0.2">
      <c r="A54" s="22" t="s">
        <v>65</v>
      </c>
      <c r="B54" s="58" t="s">
        <v>66</v>
      </c>
      <c r="C54" s="35">
        <f>[12]С2.2!E16</f>
        <v>1</v>
      </c>
    </row>
    <row r="55" spans="1:3" ht="15.75" x14ac:dyDescent="0.2">
      <c r="A55" s="22" t="s">
        <v>67</v>
      </c>
      <c r="B55" s="59" t="s">
        <v>68</v>
      </c>
      <c r="C55" s="35">
        <f>[12]С2!F21</f>
        <v>1</v>
      </c>
    </row>
    <row r="56" spans="1:3" ht="30" x14ac:dyDescent="0.2">
      <c r="A56" s="60" t="s">
        <v>69</v>
      </c>
      <c r="B56" s="34" t="s">
        <v>70</v>
      </c>
      <c r="C56" s="35">
        <f>[12]С2!F13</f>
        <v>169640.22915965237</v>
      </c>
    </row>
    <row r="57" spans="1:3" ht="30" x14ac:dyDescent="0.2">
      <c r="A57" s="60" t="s">
        <v>71</v>
      </c>
      <c r="B57" s="59" t="s">
        <v>72</v>
      </c>
      <c r="C57" s="35">
        <f>[12]С2!F14</f>
        <v>113455</v>
      </c>
    </row>
    <row r="58" spans="1:3" ht="15.75" x14ac:dyDescent="0.2">
      <c r="A58" s="60" t="s">
        <v>73</v>
      </c>
      <c r="B58" s="61" t="s">
        <v>74</v>
      </c>
      <c r="C58" s="41">
        <f>[12]С2!F15</f>
        <v>1.071</v>
      </c>
    </row>
    <row r="59" spans="1:3" ht="15.75" x14ac:dyDescent="0.2">
      <c r="A59" s="60" t="s">
        <v>75</v>
      </c>
      <c r="B59" s="61" t="s">
        <v>76</v>
      </c>
      <c r="C59" s="41">
        <f>[12]С2!F16</f>
        <v>1</v>
      </c>
    </row>
    <row r="60" spans="1:3" ht="17.25" x14ac:dyDescent="0.2">
      <c r="A60" s="60" t="s">
        <v>77</v>
      </c>
      <c r="B60" s="59" t="s">
        <v>78</v>
      </c>
      <c r="C60" s="35">
        <f>[12]С2!F17</f>
        <v>1.01</v>
      </c>
    </row>
    <row r="61" spans="1:3" s="64" customFormat="1" ht="14.25" x14ac:dyDescent="0.2">
      <c r="A61" s="60" t="s">
        <v>79</v>
      </c>
      <c r="B61" s="62" t="s">
        <v>80</v>
      </c>
      <c r="C61" s="63">
        <f>[12]С2!F33</f>
        <v>10</v>
      </c>
    </row>
    <row r="62" spans="1:3" ht="30" x14ac:dyDescent="0.2">
      <c r="A62" s="60" t="s">
        <v>81</v>
      </c>
      <c r="B62" s="65" t="s">
        <v>82</v>
      </c>
      <c r="C62" s="35">
        <f>[12]С2!F26</f>
        <v>1123.6482814273334</v>
      </c>
    </row>
    <row r="63" spans="1:3" ht="17.25" x14ac:dyDescent="0.2">
      <c r="A63" s="60" t="s">
        <v>83</v>
      </c>
      <c r="B63" s="54" t="s">
        <v>84</v>
      </c>
      <c r="C63" s="35">
        <f>[12]С2!F27</f>
        <v>0.19354712999999998</v>
      </c>
    </row>
    <row r="64" spans="1:3" ht="17.25" x14ac:dyDescent="0.2">
      <c r="A64" s="60" t="s">
        <v>85</v>
      </c>
      <c r="B64" s="59" t="s">
        <v>86</v>
      </c>
      <c r="C64" s="63">
        <f>[12]С2!F28</f>
        <v>4200</v>
      </c>
    </row>
    <row r="65" spans="1:3" ht="42.75" x14ac:dyDescent="0.2">
      <c r="A65" s="60" t="s">
        <v>87</v>
      </c>
      <c r="B65" s="34" t="s">
        <v>88</v>
      </c>
      <c r="C65" s="35">
        <f>[12]С2!F22</f>
        <v>35717.748653137714</v>
      </c>
    </row>
    <row r="66" spans="1:3" ht="30" x14ac:dyDescent="0.2">
      <c r="A66" s="60" t="s">
        <v>89</v>
      </c>
      <c r="B66" s="61" t="s">
        <v>90</v>
      </c>
      <c r="C66" s="35">
        <f>[12]С2!F23</f>
        <v>1990</v>
      </c>
    </row>
    <row r="67" spans="1:3" ht="30" x14ac:dyDescent="0.2">
      <c r="A67" s="60" t="s">
        <v>91</v>
      </c>
      <c r="B67" s="54" t="s">
        <v>92</v>
      </c>
      <c r="C67" s="35">
        <f>[12]С2.1!E27</f>
        <v>14307.876789999998</v>
      </c>
    </row>
    <row r="68" spans="1:3" ht="38.25" x14ac:dyDescent="0.2">
      <c r="A68" s="60" t="s">
        <v>93</v>
      </c>
      <c r="B68" s="66" t="s">
        <v>94</v>
      </c>
      <c r="C68" s="53">
        <f>[12]С2.3!E21</f>
        <v>0</v>
      </c>
    </row>
    <row r="69" spans="1:3" ht="25.5" x14ac:dyDescent="0.2">
      <c r="A69" s="60" t="s">
        <v>95</v>
      </c>
      <c r="B69" s="67" t="s">
        <v>96</v>
      </c>
      <c r="C69" s="68">
        <f>[12]С2.3!E11</f>
        <v>9.89</v>
      </c>
    </row>
    <row r="70" spans="1:3" ht="25.5" x14ac:dyDescent="0.2">
      <c r="A70" s="60" t="s">
        <v>97</v>
      </c>
      <c r="B70" s="67" t="s">
        <v>98</v>
      </c>
      <c r="C70" s="63">
        <f>[12]С2.3!E13</f>
        <v>300</v>
      </c>
    </row>
    <row r="71" spans="1:3" ht="25.5" x14ac:dyDescent="0.2">
      <c r="A71" s="60" t="s">
        <v>99</v>
      </c>
      <c r="B71" s="66" t="s">
        <v>100</v>
      </c>
      <c r="C71" s="69">
        <f>IF([12]С2.3!E22&gt;0,[12]С2.3!E22,[12]С2.3!E14)</f>
        <v>61211</v>
      </c>
    </row>
    <row r="72" spans="1:3" ht="38.25" x14ac:dyDescent="0.2">
      <c r="A72" s="60" t="s">
        <v>101</v>
      </c>
      <c r="B72" s="66" t="s">
        <v>102</v>
      </c>
      <c r="C72" s="69">
        <f>IF([12]С2.3!E23&gt;0,[12]С2.3!E23,[12]С2.3!E15)</f>
        <v>45675</v>
      </c>
    </row>
    <row r="73" spans="1:3" ht="30" x14ac:dyDescent="0.2">
      <c r="A73" s="60" t="s">
        <v>103</v>
      </c>
      <c r="B73" s="54" t="s">
        <v>104</v>
      </c>
      <c r="C73" s="35">
        <f>[12]С2.1!E28</f>
        <v>9541.9567200000001</v>
      </c>
    </row>
    <row r="74" spans="1:3" ht="38.25" x14ac:dyDescent="0.2">
      <c r="A74" s="60" t="s">
        <v>105</v>
      </c>
      <c r="B74" s="66" t="s">
        <v>106</v>
      </c>
      <c r="C74" s="53">
        <f>[12]С2.3!E25</f>
        <v>0</v>
      </c>
    </row>
    <row r="75" spans="1:3" ht="25.5" x14ac:dyDescent="0.2">
      <c r="A75" s="60" t="s">
        <v>107</v>
      </c>
      <c r="B75" s="67" t="s">
        <v>108</v>
      </c>
      <c r="C75" s="68">
        <f>[12]С2.3!E12</f>
        <v>0.56000000000000005</v>
      </c>
    </row>
    <row r="76" spans="1:3" ht="25.5" x14ac:dyDescent="0.2">
      <c r="A76" s="60" t="s">
        <v>109</v>
      </c>
      <c r="B76" s="67" t="s">
        <v>98</v>
      </c>
      <c r="C76" s="63">
        <f>[12]С2.3!E13</f>
        <v>300</v>
      </c>
    </row>
    <row r="77" spans="1:3" ht="25.5" x14ac:dyDescent="0.2">
      <c r="A77" s="60" t="s">
        <v>110</v>
      </c>
      <c r="B77" s="70" t="s">
        <v>111</v>
      </c>
      <c r="C77" s="69">
        <f>IF([12]С2.3!E26&gt;0,[12]С2.3!E26,[12]С2.3!E16)</f>
        <v>65637</v>
      </c>
    </row>
    <row r="78" spans="1:3" ht="38.25" x14ac:dyDescent="0.2">
      <c r="A78" s="60" t="s">
        <v>112</v>
      </c>
      <c r="B78" s="70" t="s">
        <v>113</v>
      </c>
      <c r="C78" s="69">
        <f>IF([12]С2.3!E27&gt;0,[12]С2.3!E27,[12]С2.3!E17)</f>
        <v>31684</v>
      </c>
    </row>
    <row r="79" spans="1:3" ht="17.25" x14ac:dyDescent="0.2">
      <c r="A79" s="60" t="s">
        <v>114</v>
      </c>
      <c r="B79" s="34" t="s">
        <v>115</v>
      </c>
      <c r="C79" s="36">
        <f>[12]С2!F29</f>
        <v>0.128978033685065</v>
      </c>
    </row>
    <row r="80" spans="1:3" ht="30" x14ac:dyDescent="0.2">
      <c r="A80" s="60" t="s">
        <v>116</v>
      </c>
      <c r="B80" s="54" t="s">
        <v>117</v>
      </c>
      <c r="C80" s="71">
        <f>[12]С2!F30</f>
        <v>0.11668498168498169</v>
      </c>
    </row>
    <row r="81" spans="1:3" ht="17.25" x14ac:dyDescent="0.2">
      <c r="A81" s="60" t="s">
        <v>118</v>
      </c>
      <c r="B81" s="72" t="s">
        <v>119</v>
      </c>
      <c r="C81" s="36">
        <f>[12]С2!F31</f>
        <v>0.13880000000000001</v>
      </c>
    </row>
    <row r="82" spans="1:3" s="64" customFormat="1" ht="18" thickBot="1" x14ac:dyDescent="0.25">
      <c r="A82" s="73" t="s">
        <v>120</v>
      </c>
      <c r="B82" s="74" t="s">
        <v>121</v>
      </c>
      <c r="C82" s="75">
        <f>[12]С2!F32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[12]С3!F14</f>
        <v>6998.3755440420418</v>
      </c>
    </row>
    <row r="86" spans="1:3" s="64" customFormat="1" ht="42.75" x14ac:dyDescent="0.2">
      <c r="A86" s="78" t="s">
        <v>126</v>
      </c>
      <c r="B86" s="54" t="s">
        <v>127</v>
      </c>
      <c r="C86" s="79">
        <f>[12]С3!F15</f>
        <v>0.2</v>
      </c>
    </row>
    <row r="87" spans="1:3" s="64" customFormat="1" ht="14.25" x14ac:dyDescent="0.2">
      <c r="A87" s="78" t="s">
        <v>128</v>
      </c>
      <c r="B87" s="80" t="s">
        <v>129</v>
      </c>
      <c r="C87" s="63">
        <f>[12]С3!F18</f>
        <v>15</v>
      </c>
    </row>
    <row r="88" spans="1:3" s="64" customFormat="1" ht="17.25" x14ac:dyDescent="0.2">
      <c r="A88" s="78" t="s">
        <v>130</v>
      </c>
      <c r="B88" s="34" t="s">
        <v>131</v>
      </c>
      <c r="C88" s="35">
        <f>[12]С3!F19</f>
        <v>3487.1555421534131</v>
      </c>
    </row>
    <row r="89" spans="1:3" s="64" customFormat="1" ht="55.5" x14ac:dyDescent="0.2">
      <c r="A89" s="78" t="s">
        <v>132</v>
      </c>
      <c r="B89" s="54" t="s">
        <v>133</v>
      </c>
      <c r="C89" s="81">
        <f>[12]С3!F20</f>
        <v>2.1999999999999999E-2</v>
      </c>
    </row>
    <row r="90" spans="1:3" s="64" customFormat="1" ht="14.25" x14ac:dyDescent="0.2">
      <c r="A90" s="78" t="s">
        <v>134</v>
      </c>
      <c r="B90" s="59" t="s">
        <v>80</v>
      </c>
      <c r="C90" s="63">
        <f>[12]С3!F21</f>
        <v>10</v>
      </c>
    </row>
    <row r="91" spans="1:3" s="64" customFormat="1" ht="17.25" x14ac:dyDescent="0.2">
      <c r="A91" s="78" t="s">
        <v>135</v>
      </c>
      <c r="B91" s="34" t="s">
        <v>136</v>
      </c>
      <c r="C91" s="35">
        <f>[12]С3!F22</f>
        <v>3.370944844282</v>
      </c>
    </row>
    <row r="92" spans="1:3" s="64" customFormat="1" ht="55.5" x14ac:dyDescent="0.2">
      <c r="A92" s="78" t="s">
        <v>137</v>
      </c>
      <c r="B92" s="54" t="s">
        <v>138</v>
      </c>
      <c r="C92" s="81">
        <f>[12]С3!F23</f>
        <v>3.0000000000000001E-3</v>
      </c>
    </row>
    <row r="93" spans="1:3" s="64" customFormat="1" ht="27.75" thickBot="1" x14ac:dyDescent="0.25">
      <c r="A93" s="82" t="s">
        <v>139</v>
      </c>
      <c r="B93" s="83" t="s">
        <v>140</v>
      </c>
      <c r="C93" s="84">
        <f>[12]С3!F24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[12]С4!F16</f>
        <v>1652.5</v>
      </c>
    </row>
    <row r="97" spans="1:3" ht="30" x14ac:dyDescent="0.2">
      <c r="A97" s="60" t="s">
        <v>145</v>
      </c>
      <c r="B97" s="59" t="s">
        <v>146</v>
      </c>
      <c r="C97" s="35">
        <f>[12]С4!F17</f>
        <v>73547</v>
      </c>
    </row>
    <row r="98" spans="1:3" ht="17.25" x14ac:dyDescent="0.2">
      <c r="A98" s="60" t="s">
        <v>147</v>
      </c>
      <c r="B98" s="59" t="s">
        <v>148</v>
      </c>
      <c r="C98" s="41">
        <f>[12]С4!F18</f>
        <v>0.02</v>
      </c>
    </row>
    <row r="99" spans="1:3" ht="30" x14ac:dyDescent="0.2">
      <c r="A99" s="60" t="s">
        <v>149</v>
      </c>
      <c r="B99" s="59" t="s">
        <v>150</v>
      </c>
      <c r="C99" s="35">
        <f>[12]С4!F19</f>
        <v>12104</v>
      </c>
    </row>
    <row r="100" spans="1:3" ht="31.5" x14ac:dyDescent="0.2">
      <c r="A100" s="60" t="s">
        <v>151</v>
      </c>
      <c r="B100" s="59" t="s">
        <v>152</v>
      </c>
      <c r="C100" s="41">
        <f>[12]С4!F20</f>
        <v>1.4999999999999999E-2</v>
      </c>
    </row>
    <row r="101" spans="1:3" ht="30" x14ac:dyDescent="0.2">
      <c r="A101" s="60" t="s">
        <v>153</v>
      </c>
      <c r="B101" s="34" t="s">
        <v>154</v>
      </c>
      <c r="C101" s="35">
        <f>[12]С4!F21</f>
        <v>1933.1949342509995</v>
      </c>
    </row>
    <row r="102" spans="1:3" ht="24" customHeight="1" x14ac:dyDescent="0.2">
      <c r="A102" s="60" t="s">
        <v>155</v>
      </c>
      <c r="B102" s="54" t="s">
        <v>156</v>
      </c>
      <c r="C102" s="86">
        <f>IF([12]С4.2!F8="да",[12]С4.2!D21,[12]С4.2!D15)</f>
        <v>0</v>
      </c>
    </row>
    <row r="103" spans="1:3" ht="68.25" x14ac:dyDescent="0.2">
      <c r="A103" s="60" t="s">
        <v>157</v>
      </c>
      <c r="B103" s="54" t="s">
        <v>158</v>
      </c>
      <c r="C103" s="35">
        <f>[12]С4!F22</f>
        <v>3.6112641666666665</v>
      </c>
    </row>
    <row r="104" spans="1:3" ht="30" x14ac:dyDescent="0.2">
      <c r="A104" s="60" t="s">
        <v>159</v>
      </c>
      <c r="B104" s="59" t="s">
        <v>160</v>
      </c>
      <c r="C104" s="35">
        <f>[12]С4!F23</f>
        <v>180</v>
      </c>
    </row>
    <row r="105" spans="1:3" ht="14.25" x14ac:dyDescent="0.2">
      <c r="A105" s="60" t="s">
        <v>161</v>
      </c>
      <c r="B105" s="54" t="s">
        <v>162</v>
      </c>
      <c r="C105" s="35">
        <f>[12]С4!F24</f>
        <v>8497.1999999999989</v>
      </c>
    </row>
    <row r="106" spans="1:3" ht="14.25" x14ac:dyDescent="0.2">
      <c r="A106" s="60" t="s">
        <v>163</v>
      </c>
      <c r="B106" s="59" t="s">
        <v>164</v>
      </c>
      <c r="C106" s="41">
        <f>[12]С4!F25</f>
        <v>0.35</v>
      </c>
    </row>
    <row r="107" spans="1:3" ht="17.25" x14ac:dyDescent="0.2">
      <c r="A107" s="60" t="s">
        <v>165</v>
      </c>
      <c r="B107" s="34" t="s">
        <v>166</v>
      </c>
      <c r="C107" s="35">
        <f>[12]С4!F26</f>
        <v>33.856439999999999</v>
      </c>
    </row>
    <row r="108" spans="1:3" ht="25.5" x14ac:dyDescent="0.2">
      <c r="A108" s="60" t="s">
        <v>167</v>
      </c>
      <c r="B108" s="54" t="s">
        <v>94</v>
      </c>
      <c r="C108" s="86">
        <f>[12]С4.3!E16</f>
        <v>0</v>
      </c>
    </row>
    <row r="109" spans="1:3" ht="25.5" x14ac:dyDescent="0.2">
      <c r="A109" s="60" t="s">
        <v>168</v>
      </c>
      <c r="B109" s="54" t="s">
        <v>169</v>
      </c>
      <c r="C109" s="35">
        <f>[12]С4.3!E17</f>
        <v>8.2799999999999994</v>
      </c>
    </row>
    <row r="110" spans="1:3" ht="38.25" x14ac:dyDescent="0.2">
      <c r="A110" s="60" t="s">
        <v>170</v>
      </c>
      <c r="B110" s="54" t="s">
        <v>106</v>
      </c>
      <c r="C110" s="86">
        <f>[12]С4.3!E18</f>
        <v>0</v>
      </c>
    </row>
    <row r="111" spans="1:3" x14ac:dyDescent="0.2">
      <c r="A111" s="60" t="s">
        <v>171</v>
      </c>
      <c r="B111" s="54" t="s">
        <v>172</v>
      </c>
      <c r="C111" s="35">
        <f>[12]С4.3!E19</f>
        <v>23.62</v>
      </c>
    </row>
    <row r="112" spans="1:3" x14ac:dyDescent="0.2">
      <c r="A112" s="60" t="s">
        <v>173</v>
      </c>
      <c r="B112" s="59" t="s">
        <v>174</v>
      </c>
      <c r="C112" s="35">
        <f>[12]С4.3!E11</f>
        <v>1871</v>
      </c>
    </row>
    <row r="113" spans="1:3" x14ac:dyDescent="0.2">
      <c r="A113" s="60" t="s">
        <v>175</v>
      </c>
      <c r="B113" s="59" t="s">
        <v>176</v>
      </c>
      <c r="C113" s="53">
        <f>[12]С4.3!E12</f>
        <v>1636</v>
      </c>
    </row>
    <row r="114" spans="1:3" x14ac:dyDescent="0.2">
      <c r="A114" s="60" t="s">
        <v>177</v>
      </c>
      <c r="B114" s="59" t="s">
        <v>178</v>
      </c>
      <c r="C114" s="53">
        <f>[12]С4.3!E13</f>
        <v>204</v>
      </c>
    </row>
    <row r="115" spans="1:3" ht="30" x14ac:dyDescent="0.2">
      <c r="A115" s="60" t="s">
        <v>179</v>
      </c>
      <c r="B115" s="34" t="s">
        <v>180</v>
      </c>
      <c r="C115" s="35">
        <f>[12]С4!F27</f>
        <v>776.44759830395003</v>
      </c>
    </row>
    <row r="116" spans="1:3" ht="25.5" x14ac:dyDescent="0.2">
      <c r="A116" s="60" t="s">
        <v>181</v>
      </c>
      <c r="B116" s="54" t="s">
        <v>182</v>
      </c>
      <c r="C116" s="35">
        <f>[12]С4!F28</f>
        <v>596.34992189243474</v>
      </c>
    </row>
    <row r="117" spans="1:3" ht="42.75" x14ac:dyDescent="0.2">
      <c r="A117" s="60" t="s">
        <v>183</v>
      </c>
      <c r="B117" s="54" t="s">
        <v>184</v>
      </c>
      <c r="C117" s="35">
        <f>[12]С4!F29</f>
        <v>180.09767641151529</v>
      </c>
    </row>
    <row r="118" spans="1:3" ht="30" x14ac:dyDescent="0.2">
      <c r="A118" s="60" t="s">
        <v>185</v>
      </c>
      <c r="B118" s="40" t="s">
        <v>186</v>
      </c>
      <c r="C118" s="35">
        <f>[12]С4!F30</f>
        <v>1923.4546876411541</v>
      </c>
    </row>
    <row r="119" spans="1:3" ht="42.75" x14ac:dyDescent="0.2">
      <c r="A119" s="60" t="s">
        <v>187</v>
      </c>
      <c r="B119" s="87" t="s">
        <v>188</v>
      </c>
      <c r="C119" s="35">
        <f>[12]С4!F33</f>
        <v>1228.7959978552681</v>
      </c>
    </row>
    <row r="120" spans="1:3" ht="30" x14ac:dyDescent="0.2">
      <c r="A120" s="60" t="s">
        <v>189</v>
      </c>
      <c r="B120" s="88" t="s">
        <v>190</v>
      </c>
      <c r="C120" s="35">
        <f>[12]С4!F35</f>
        <v>17.040680999999999</v>
      </c>
    </row>
    <row r="121" spans="1:3" ht="14.25" x14ac:dyDescent="0.2">
      <c r="A121" s="60" t="s">
        <v>191</v>
      </c>
      <c r="B121" s="57" t="s">
        <v>192</v>
      </c>
      <c r="C121" s="35">
        <f>[12]С4!F36</f>
        <v>14319.9</v>
      </c>
    </row>
    <row r="122" spans="1:3" ht="28.5" thickBot="1" x14ac:dyDescent="0.25">
      <c r="A122" s="73" t="s">
        <v>193</v>
      </c>
      <c r="B122" s="89" t="s">
        <v>194</v>
      </c>
      <c r="C122" s="84">
        <f>[12]С4!F37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[12]С5!F17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[12]С2!F37</f>
        <v>20.818139999999996</v>
      </c>
    </row>
    <row r="136" spans="1:4" ht="14.25" x14ac:dyDescent="0.2">
      <c r="A136" s="60" t="s">
        <v>216</v>
      </c>
      <c r="B136" s="102" t="s">
        <v>217</v>
      </c>
      <c r="C136" s="35">
        <f>[12]С2!F38</f>
        <v>7</v>
      </c>
    </row>
    <row r="137" spans="1:4" ht="17.25" x14ac:dyDescent="0.2">
      <c r="A137" s="60" t="s">
        <v>218</v>
      </c>
      <c r="B137" s="102" t="s">
        <v>219</v>
      </c>
      <c r="C137" s="35">
        <f>[12]С2!F40</f>
        <v>0.97</v>
      </c>
    </row>
    <row r="138" spans="1:4" ht="15" thickBot="1" x14ac:dyDescent="0.25">
      <c r="A138" s="73" t="s">
        <v>220</v>
      </c>
      <c r="B138" s="103" t="s">
        <v>221</v>
      </c>
      <c r="C138" s="47">
        <f>[12]С2!F42</f>
        <v>0.35</v>
      </c>
    </row>
    <row r="139" spans="1:4" s="90" customFormat="1" ht="13.5" thickBot="1" x14ac:dyDescent="0.25">
      <c r="A139" s="48"/>
      <c r="B139" s="76"/>
      <c r="C139" s="15"/>
    </row>
    <row r="140" spans="1:4" ht="30" x14ac:dyDescent="0.2">
      <c r="A140" s="85" t="s">
        <v>222</v>
      </c>
      <c r="B140" s="104" t="s">
        <v>223</v>
      </c>
      <c r="C140" s="105">
        <f>[12]С2!F35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[12]С2.5!$E$11</f>
        <v>-2.9000000000000026E-2</v>
      </c>
      <c r="D143" s="90"/>
    </row>
    <row r="144" spans="1:4" x14ac:dyDescent="0.2">
      <c r="A144" s="107"/>
      <c r="B144" s="112">
        <f>B143+1</f>
        <v>2021</v>
      </c>
      <c r="C144" s="113">
        <f>[12]С2.5!$F$11</f>
        <v>0.245</v>
      </c>
      <c r="D144" s="90"/>
    </row>
    <row r="145" spans="1:4" x14ac:dyDescent="0.2">
      <c r="A145" s="107"/>
      <c r="B145" s="112">
        <f t="shared" ref="B145:B208" si="0">B144+1</f>
        <v>2022</v>
      </c>
      <c r="C145" s="113">
        <f>[12]С2.5!$G$11</f>
        <v>0.121</v>
      </c>
      <c r="D145" s="90"/>
    </row>
    <row r="146" spans="1:4" ht="13.5" thickBot="1" x14ac:dyDescent="0.25">
      <c r="A146" s="107"/>
      <c r="B146" s="114">
        <f t="shared" si="0"/>
        <v>2023</v>
      </c>
      <c r="C146" s="115">
        <f>[12]С2.5!$H$11</f>
        <v>0.02</v>
      </c>
      <c r="D146" s="90"/>
    </row>
    <row r="147" spans="1:4" hidden="1" x14ac:dyDescent="0.2">
      <c r="A147" s="107"/>
      <c r="B147" s="116">
        <f t="shared" si="0"/>
        <v>2024</v>
      </c>
      <c r="C147" s="117">
        <f>[12]С2.5!$I$11</f>
        <v>-2.93E-2</v>
      </c>
      <c r="D147" s="90"/>
    </row>
    <row r="148" spans="1:4" hidden="1" x14ac:dyDescent="0.2">
      <c r="A148" s="107"/>
      <c r="B148" s="112">
        <f t="shared" si="0"/>
        <v>2025</v>
      </c>
      <c r="C148" s="113">
        <f>[12]С2.5!$J$11</f>
        <v>0.21215960863291</v>
      </c>
      <c r="D148" s="90"/>
    </row>
    <row r="149" spans="1:4" hidden="1" x14ac:dyDescent="0.2">
      <c r="A149" s="107"/>
      <c r="B149" s="112">
        <f t="shared" si="0"/>
        <v>2026</v>
      </c>
      <c r="C149" s="113">
        <f>[12]С2.5!$K$11</f>
        <v>3.5813361771260002E-2</v>
      </c>
      <c r="D149" s="90"/>
    </row>
    <row r="150" spans="1:4" hidden="1" x14ac:dyDescent="0.2">
      <c r="A150" s="107"/>
      <c r="B150" s="112">
        <f t="shared" si="0"/>
        <v>2027</v>
      </c>
      <c r="C150" s="113">
        <f>[12]С2.5!$L$11</f>
        <v>3.2682303599220003E-2</v>
      </c>
      <c r="D150" s="90"/>
    </row>
    <row r="151" spans="1:4" hidden="1" x14ac:dyDescent="0.2">
      <c r="A151" s="107"/>
      <c r="B151" s="112">
        <f t="shared" si="0"/>
        <v>2028</v>
      </c>
      <c r="C151" s="113">
        <f>[12]С2.5!$M$11</f>
        <v>0</v>
      </c>
      <c r="D151" s="90"/>
    </row>
    <row r="152" spans="1:4" hidden="1" x14ac:dyDescent="0.2">
      <c r="A152" s="107"/>
      <c r="B152" s="112">
        <f t="shared" si="0"/>
        <v>2029</v>
      </c>
      <c r="C152" s="113">
        <f>[12]С2.5!$N$11</f>
        <v>0</v>
      </c>
      <c r="D152" s="90"/>
    </row>
    <row r="153" spans="1:4" hidden="1" x14ac:dyDescent="0.2">
      <c r="A153" s="107"/>
      <c r="B153" s="112">
        <f t="shared" si="0"/>
        <v>2030</v>
      </c>
      <c r="C153" s="113">
        <f>[12]С2.5!$O$11</f>
        <v>0</v>
      </c>
      <c r="D153" s="90"/>
    </row>
    <row r="154" spans="1:4" hidden="1" x14ac:dyDescent="0.2">
      <c r="A154" s="107"/>
      <c r="B154" s="112">
        <f t="shared" si="0"/>
        <v>2031</v>
      </c>
      <c r="C154" s="113">
        <f>[12]С2.5!$P$11</f>
        <v>0</v>
      </c>
      <c r="D154" s="90"/>
    </row>
    <row r="155" spans="1:4" hidden="1" x14ac:dyDescent="0.2">
      <c r="A155" s="90"/>
      <c r="B155" s="112">
        <f t="shared" si="0"/>
        <v>2032</v>
      </c>
      <c r="C155" s="113">
        <f>[12]С2.5!$Q$11</f>
        <v>0</v>
      </c>
      <c r="D155" s="90"/>
    </row>
    <row r="156" spans="1:4" hidden="1" x14ac:dyDescent="0.2">
      <c r="A156" s="90"/>
      <c r="B156" s="112">
        <f t="shared" si="0"/>
        <v>2033</v>
      </c>
      <c r="C156" s="113">
        <f>[12]С2.5!$R$11</f>
        <v>0</v>
      </c>
      <c r="D156" s="90"/>
    </row>
    <row r="157" spans="1:4" hidden="1" x14ac:dyDescent="0.2">
      <c r="B157" s="112">
        <f t="shared" si="0"/>
        <v>2034</v>
      </c>
      <c r="C157" s="113">
        <f>[12]С2.5!$S$11</f>
        <v>0</v>
      </c>
    </row>
    <row r="158" spans="1:4" hidden="1" x14ac:dyDescent="0.2">
      <c r="B158" s="112">
        <f t="shared" si="0"/>
        <v>2035</v>
      </c>
      <c r="C158" s="113">
        <f>[12]С2.5!$T$11</f>
        <v>0</v>
      </c>
    </row>
    <row r="159" spans="1:4" hidden="1" x14ac:dyDescent="0.2">
      <c r="B159" s="112">
        <f t="shared" si="0"/>
        <v>2036</v>
      </c>
      <c r="C159" s="113">
        <f>[12]С2.5!$U$11</f>
        <v>0</v>
      </c>
    </row>
    <row r="160" spans="1:4" hidden="1" x14ac:dyDescent="0.2">
      <c r="B160" s="112">
        <f t="shared" si="0"/>
        <v>2037</v>
      </c>
      <c r="C160" s="113">
        <f>[12]С2.5!$V$11</f>
        <v>0</v>
      </c>
    </row>
    <row r="161" spans="2:3" hidden="1" x14ac:dyDescent="0.2">
      <c r="B161" s="112">
        <f t="shared" si="0"/>
        <v>2038</v>
      </c>
      <c r="C161" s="113">
        <f>[12]С2.5!$W$11</f>
        <v>0</v>
      </c>
    </row>
    <row r="162" spans="2:3" hidden="1" x14ac:dyDescent="0.2">
      <c r="B162" s="112">
        <f t="shared" si="0"/>
        <v>2039</v>
      </c>
      <c r="C162" s="113">
        <f>[12]С2.5!$X$11</f>
        <v>0</v>
      </c>
    </row>
    <row r="163" spans="2:3" hidden="1" x14ac:dyDescent="0.2">
      <c r="B163" s="112">
        <f t="shared" si="0"/>
        <v>2040</v>
      </c>
      <c r="C163" s="113">
        <f>[12]С2.5!$Y$11</f>
        <v>0</v>
      </c>
    </row>
    <row r="164" spans="2:3" hidden="1" x14ac:dyDescent="0.2">
      <c r="B164" s="112">
        <f t="shared" si="0"/>
        <v>2041</v>
      </c>
      <c r="C164" s="113">
        <f>[12]С2.5!$Z$11</f>
        <v>0</v>
      </c>
    </row>
    <row r="165" spans="2:3" hidden="1" x14ac:dyDescent="0.2">
      <c r="B165" s="112">
        <f t="shared" si="0"/>
        <v>2042</v>
      </c>
      <c r="C165" s="113">
        <f>[12]С2.5!$AA$11</f>
        <v>0</v>
      </c>
    </row>
    <row r="166" spans="2:3" hidden="1" x14ac:dyDescent="0.2">
      <c r="B166" s="112">
        <f t="shared" si="0"/>
        <v>2043</v>
      </c>
      <c r="C166" s="113">
        <f>[12]С2.5!$AB$11</f>
        <v>0</v>
      </c>
    </row>
    <row r="167" spans="2:3" hidden="1" x14ac:dyDescent="0.2">
      <c r="B167" s="112">
        <f t="shared" si="0"/>
        <v>2044</v>
      </c>
      <c r="C167" s="113">
        <f>[12]С2.5!$AC$11</f>
        <v>0</v>
      </c>
    </row>
    <row r="168" spans="2:3" hidden="1" x14ac:dyDescent="0.2">
      <c r="B168" s="112">
        <f t="shared" si="0"/>
        <v>2045</v>
      </c>
      <c r="C168" s="113">
        <f>[12]С2.5!$AD$11</f>
        <v>0</v>
      </c>
    </row>
    <row r="169" spans="2:3" hidden="1" x14ac:dyDescent="0.2">
      <c r="B169" s="112">
        <f t="shared" si="0"/>
        <v>2046</v>
      </c>
      <c r="C169" s="113">
        <f>[12]С2.5!$AE$11</f>
        <v>0</v>
      </c>
    </row>
    <row r="170" spans="2:3" hidden="1" x14ac:dyDescent="0.2">
      <c r="B170" s="112">
        <f t="shared" si="0"/>
        <v>2047</v>
      </c>
      <c r="C170" s="113">
        <f>[12]С2.5!$AF$11</f>
        <v>0</v>
      </c>
    </row>
    <row r="171" spans="2:3" hidden="1" x14ac:dyDescent="0.2">
      <c r="B171" s="112">
        <f t="shared" si="0"/>
        <v>2048</v>
      </c>
      <c r="C171" s="113">
        <f>[12]С2.5!$AG$11</f>
        <v>0</v>
      </c>
    </row>
    <row r="172" spans="2:3" hidden="1" x14ac:dyDescent="0.2">
      <c r="B172" s="112">
        <f t="shared" si="0"/>
        <v>2049</v>
      </c>
      <c r="C172" s="113">
        <f>[12]С2.5!$AH$11</f>
        <v>0</v>
      </c>
    </row>
    <row r="173" spans="2:3" hidden="1" x14ac:dyDescent="0.2">
      <c r="B173" s="112">
        <f t="shared" si="0"/>
        <v>2050</v>
      </c>
      <c r="C173" s="113">
        <f>[12]С2.5!$AI$11</f>
        <v>0</v>
      </c>
    </row>
    <row r="174" spans="2:3" hidden="1" x14ac:dyDescent="0.2">
      <c r="B174" s="112">
        <f t="shared" si="0"/>
        <v>2051</v>
      </c>
      <c r="C174" s="113">
        <f>[12]С2.5!$AJ$11</f>
        <v>0</v>
      </c>
    </row>
    <row r="175" spans="2:3" hidden="1" x14ac:dyDescent="0.2">
      <c r="B175" s="112">
        <f t="shared" si="0"/>
        <v>2052</v>
      </c>
      <c r="C175" s="113">
        <f>[12]С2.5!$AK$11</f>
        <v>0</v>
      </c>
    </row>
    <row r="176" spans="2:3" hidden="1" x14ac:dyDescent="0.2">
      <c r="B176" s="112">
        <f t="shared" si="0"/>
        <v>2053</v>
      </c>
      <c r="C176" s="113">
        <f>[12]С2.5!$AL$11</f>
        <v>0</v>
      </c>
    </row>
    <row r="177" spans="2:3" hidden="1" x14ac:dyDescent="0.2">
      <c r="B177" s="112">
        <f t="shared" si="0"/>
        <v>2054</v>
      </c>
      <c r="C177" s="113">
        <f>[12]С2.5!$AM$11</f>
        <v>0</v>
      </c>
    </row>
    <row r="178" spans="2:3" hidden="1" x14ac:dyDescent="0.2">
      <c r="B178" s="112">
        <f t="shared" si="0"/>
        <v>2055</v>
      </c>
      <c r="C178" s="113">
        <f>[12]С2.5!$AN$11</f>
        <v>0</v>
      </c>
    </row>
    <row r="179" spans="2:3" hidden="1" x14ac:dyDescent="0.2">
      <c r="B179" s="112">
        <f t="shared" si="0"/>
        <v>2056</v>
      </c>
      <c r="C179" s="113">
        <f>[12]С2.5!$AO$11</f>
        <v>0</v>
      </c>
    </row>
    <row r="180" spans="2:3" hidden="1" x14ac:dyDescent="0.2">
      <c r="B180" s="112">
        <f t="shared" si="0"/>
        <v>2057</v>
      </c>
      <c r="C180" s="113">
        <f>[12]С2.5!$AP$11</f>
        <v>0</v>
      </c>
    </row>
    <row r="181" spans="2:3" hidden="1" x14ac:dyDescent="0.2">
      <c r="B181" s="112">
        <f t="shared" si="0"/>
        <v>2058</v>
      </c>
      <c r="C181" s="113">
        <f>[12]С2.5!$AQ$11</f>
        <v>0</v>
      </c>
    </row>
    <row r="182" spans="2:3" hidden="1" x14ac:dyDescent="0.2">
      <c r="B182" s="112">
        <f t="shared" si="0"/>
        <v>2059</v>
      </c>
      <c r="C182" s="113">
        <f>[12]С2.5!$AR$11</f>
        <v>0</v>
      </c>
    </row>
    <row r="183" spans="2:3" hidden="1" x14ac:dyDescent="0.2">
      <c r="B183" s="112">
        <f t="shared" si="0"/>
        <v>2060</v>
      </c>
      <c r="C183" s="113">
        <f>[12]С2.5!$AS$11</f>
        <v>0</v>
      </c>
    </row>
    <row r="184" spans="2:3" hidden="1" x14ac:dyDescent="0.2">
      <c r="B184" s="112">
        <f t="shared" si="0"/>
        <v>2061</v>
      </c>
      <c r="C184" s="113">
        <f>[12]С2.5!$AT$11</f>
        <v>0</v>
      </c>
    </row>
    <row r="185" spans="2:3" hidden="1" x14ac:dyDescent="0.2">
      <c r="B185" s="112">
        <f t="shared" si="0"/>
        <v>2062</v>
      </c>
      <c r="C185" s="113">
        <f>[12]С2.5!$AU$11</f>
        <v>0</v>
      </c>
    </row>
    <row r="186" spans="2:3" hidden="1" x14ac:dyDescent="0.2">
      <c r="B186" s="112">
        <f t="shared" si="0"/>
        <v>2063</v>
      </c>
      <c r="C186" s="113">
        <f>[12]С2.5!$AV$11</f>
        <v>0</v>
      </c>
    </row>
    <row r="187" spans="2:3" hidden="1" x14ac:dyDescent="0.2">
      <c r="B187" s="112">
        <f t="shared" si="0"/>
        <v>2064</v>
      </c>
      <c r="C187" s="113">
        <f>[12]С2.5!$AW$11</f>
        <v>0</v>
      </c>
    </row>
    <row r="188" spans="2:3" hidden="1" x14ac:dyDescent="0.2">
      <c r="B188" s="112">
        <f t="shared" si="0"/>
        <v>2065</v>
      </c>
      <c r="C188" s="113">
        <f>[12]С2.5!$AX$11</f>
        <v>0</v>
      </c>
    </row>
    <row r="189" spans="2:3" hidden="1" x14ac:dyDescent="0.2">
      <c r="B189" s="112">
        <f t="shared" si="0"/>
        <v>2066</v>
      </c>
      <c r="C189" s="113">
        <f>[12]С2.5!$AY$11</f>
        <v>0</v>
      </c>
    </row>
    <row r="190" spans="2:3" hidden="1" x14ac:dyDescent="0.2">
      <c r="B190" s="112">
        <f t="shared" si="0"/>
        <v>2067</v>
      </c>
      <c r="C190" s="113">
        <f>[12]С2.5!$AZ$11</f>
        <v>0</v>
      </c>
    </row>
    <row r="191" spans="2:3" hidden="1" x14ac:dyDescent="0.2">
      <c r="B191" s="112">
        <f t="shared" si="0"/>
        <v>2068</v>
      </c>
      <c r="C191" s="113">
        <f>[12]С2.5!$BA$11</f>
        <v>0</v>
      </c>
    </row>
    <row r="192" spans="2:3" hidden="1" x14ac:dyDescent="0.2">
      <c r="B192" s="112">
        <f t="shared" si="0"/>
        <v>2069</v>
      </c>
      <c r="C192" s="113">
        <f>[12]С2.5!$BB$11</f>
        <v>0</v>
      </c>
    </row>
    <row r="193" spans="2:3" hidden="1" x14ac:dyDescent="0.2">
      <c r="B193" s="112">
        <f t="shared" si="0"/>
        <v>2070</v>
      </c>
      <c r="C193" s="113">
        <f>[12]С2.5!$BC$11</f>
        <v>0</v>
      </c>
    </row>
    <row r="194" spans="2:3" hidden="1" x14ac:dyDescent="0.2">
      <c r="B194" s="112">
        <f t="shared" si="0"/>
        <v>2071</v>
      </c>
      <c r="C194" s="113">
        <f>[12]С2.5!$BD$11</f>
        <v>0</v>
      </c>
    </row>
    <row r="195" spans="2:3" hidden="1" x14ac:dyDescent="0.2">
      <c r="B195" s="112">
        <f t="shared" si="0"/>
        <v>2072</v>
      </c>
      <c r="C195" s="113">
        <f>[12]С2.5!$BE$11</f>
        <v>0</v>
      </c>
    </row>
    <row r="196" spans="2:3" hidden="1" x14ac:dyDescent="0.2">
      <c r="B196" s="112">
        <f t="shared" si="0"/>
        <v>2073</v>
      </c>
      <c r="C196" s="113">
        <f>[12]С2.5!$BF$11</f>
        <v>0</v>
      </c>
    </row>
    <row r="197" spans="2:3" hidden="1" x14ac:dyDescent="0.2">
      <c r="B197" s="112">
        <f t="shared" si="0"/>
        <v>2074</v>
      </c>
      <c r="C197" s="113">
        <f>[12]С2.5!$BG$11</f>
        <v>0</v>
      </c>
    </row>
    <row r="198" spans="2:3" hidden="1" x14ac:dyDescent="0.2">
      <c r="B198" s="112">
        <f t="shared" si="0"/>
        <v>2075</v>
      </c>
      <c r="C198" s="113">
        <f>[12]С2.5!$BH$11</f>
        <v>0</v>
      </c>
    </row>
    <row r="199" spans="2:3" hidden="1" x14ac:dyDescent="0.2">
      <c r="B199" s="112">
        <f t="shared" si="0"/>
        <v>2076</v>
      </c>
      <c r="C199" s="113">
        <f>[12]С2.5!$BI$11</f>
        <v>0</v>
      </c>
    </row>
    <row r="200" spans="2:3" hidden="1" x14ac:dyDescent="0.2">
      <c r="B200" s="112">
        <f t="shared" si="0"/>
        <v>2077</v>
      </c>
      <c r="C200" s="113">
        <f>[12]С2.5!$BJ$11</f>
        <v>0</v>
      </c>
    </row>
    <row r="201" spans="2:3" hidden="1" x14ac:dyDescent="0.2">
      <c r="B201" s="112">
        <f t="shared" si="0"/>
        <v>2078</v>
      </c>
      <c r="C201" s="113">
        <f>[12]С2.5!$BK$11</f>
        <v>0</v>
      </c>
    </row>
    <row r="202" spans="2:3" hidden="1" x14ac:dyDescent="0.2">
      <c r="B202" s="112">
        <f t="shared" si="0"/>
        <v>2079</v>
      </c>
      <c r="C202" s="113">
        <f>[12]С2.5!$BL$11</f>
        <v>0</v>
      </c>
    </row>
    <row r="203" spans="2:3" hidden="1" x14ac:dyDescent="0.2">
      <c r="B203" s="112">
        <f t="shared" si="0"/>
        <v>2080</v>
      </c>
      <c r="C203" s="113">
        <f>[12]С2.5!$BM$11</f>
        <v>0</v>
      </c>
    </row>
    <row r="204" spans="2:3" hidden="1" x14ac:dyDescent="0.2">
      <c r="B204" s="112">
        <f t="shared" si="0"/>
        <v>2081</v>
      </c>
      <c r="C204" s="113">
        <f>[12]С2.5!$BN$11</f>
        <v>0</v>
      </c>
    </row>
    <row r="205" spans="2:3" hidden="1" x14ac:dyDescent="0.2">
      <c r="B205" s="112">
        <f t="shared" si="0"/>
        <v>2082</v>
      </c>
      <c r="C205" s="113">
        <f>[12]С2.5!$BO$11</f>
        <v>0</v>
      </c>
    </row>
    <row r="206" spans="2:3" hidden="1" x14ac:dyDescent="0.2">
      <c r="B206" s="112">
        <f t="shared" si="0"/>
        <v>2083</v>
      </c>
      <c r="C206" s="113">
        <f>[12]С2.5!$BP$11</f>
        <v>0</v>
      </c>
    </row>
    <row r="207" spans="2:3" hidden="1" x14ac:dyDescent="0.2">
      <c r="B207" s="112">
        <f t="shared" si="0"/>
        <v>2084</v>
      </c>
      <c r="C207" s="113">
        <f>[12]С2.5!$BQ$11</f>
        <v>0</v>
      </c>
    </row>
    <row r="208" spans="2:3" hidden="1" x14ac:dyDescent="0.2">
      <c r="B208" s="112">
        <f t="shared" si="0"/>
        <v>2085</v>
      </c>
      <c r="C208" s="113">
        <f>[12]С2.5!$BR$11</f>
        <v>0</v>
      </c>
    </row>
    <row r="209" spans="2:3" hidden="1" x14ac:dyDescent="0.2">
      <c r="B209" s="112">
        <f t="shared" ref="B209:B223" si="1">B208+1</f>
        <v>2086</v>
      </c>
      <c r="C209" s="113">
        <f>[12]С2.5!$BS$11</f>
        <v>0</v>
      </c>
    </row>
    <row r="210" spans="2:3" hidden="1" x14ac:dyDescent="0.2">
      <c r="B210" s="112">
        <f t="shared" si="1"/>
        <v>2087</v>
      </c>
      <c r="C210" s="113">
        <f>[12]С2.5!$BT$11</f>
        <v>0</v>
      </c>
    </row>
    <row r="211" spans="2:3" hidden="1" x14ac:dyDescent="0.2">
      <c r="B211" s="112">
        <f t="shared" si="1"/>
        <v>2088</v>
      </c>
      <c r="C211" s="113">
        <f>[12]С2.5!$BU$11</f>
        <v>0</v>
      </c>
    </row>
    <row r="212" spans="2:3" hidden="1" x14ac:dyDescent="0.2">
      <c r="B212" s="112">
        <f t="shared" si="1"/>
        <v>2089</v>
      </c>
      <c r="C212" s="113">
        <f>[12]С2.5!$BV$11</f>
        <v>0</v>
      </c>
    </row>
    <row r="213" spans="2:3" hidden="1" x14ac:dyDescent="0.2">
      <c r="B213" s="112">
        <f t="shared" si="1"/>
        <v>2090</v>
      </c>
      <c r="C213" s="113">
        <f>[12]С2.5!$BW$11</f>
        <v>0</v>
      </c>
    </row>
    <row r="214" spans="2:3" hidden="1" x14ac:dyDescent="0.2">
      <c r="B214" s="112">
        <f t="shared" si="1"/>
        <v>2091</v>
      </c>
      <c r="C214" s="113">
        <f>[12]С2.5!$BX$11</f>
        <v>0</v>
      </c>
    </row>
    <row r="215" spans="2:3" hidden="1" x14ac:dyDescent="0.2">
      <c r="B215" s="112">
        <f t="shared" si="1"/>
        <v>2092</v>
      </c>
      <c r="C215" s="113">
        <f>[12]С2.5!$BY$11</f>
        <v>0</v>
      </c>
    </row>
    <row r="216" spans="2:3" hidden="1" x14ac:dyDescent="0.2">
      <c r="B216" s="112">
        <f t="shared" si="1"/>
        <v>2093</v>
      </c>
      <c r="C216" s="113">
        <f>[12]С2.5!$BZ$11</f>
        <v>0</v>
      </c>
    </row>
    <row r="217" spans="2:3" hidden="1" x14ac:dyDescent="0.2">
      <c r="B217" s="112">
        <f t="shared" si="1"/>
        <v>2094</v>
      </c>
      <c r="C217" s="113">
        <f>[12]С2.5!$CA$11</f>
        <v>0</v>
      </c>
    </row>
    <row r="218" spans="2:3" hidden="1" x14ac:dyDescent="0.2">
      <c r="B218" s="112">
        <f t="shared" si="1"/>
        <v>2095</v>
      </c>
      <c r="C218" s="113">
        <f>[12]С2.5!$CB$11</f>
        <v>0</v>
      </c>
    </row>
    <row r="219" spans="2:3" hidden="1" x14ac:dyDescent="0.2">
      <c r="B219" s="112">
        <f t="shared" si="1"/>
        <v>2096</v>
      </c>
      <c r="C219" s="113">
        <f>[12]С2.5!$CC$11</f>
        <v>0</v>
      </c>
    </row>
    <row r="220" spans="2:3" hidden="1" x14ac:dyDescent="0.2">
      <c r="B220" s="112">
        <f t="shared" si="1"/>
        <v>2097</v>
      </c>
      <c r="C220" s="113">
        <f>[12]С2.5!$CD$11</f>
        <v>0</v>
      </c>
    </row>
    <row r="221" spans="2:3" hidden="1" x14ac:dyDescent="0.2">
      <c r="B221" s="112">
        <f t="shared" si="1"/>
        <v>2098</v>
      </c>
      <c r="C221" s="113">
        <f>[12]С2.5!$CE$11</f>
        <v>0</v>
      </c>
    </row>
    <row r="222" spans="2:3" hidden="1" x14ac:dyDescent="0.2">
      <c r="B222" s="112">
        <f t="shared" si="1"/>
        <v>2099</v>
      </c>
      <c r="C222" s="113">
        <f>[12]С2.5!$CF$11</f>
        <v>0</v>
      </c>
    </row>
    <row r="223" spans="2:3" ht="13.5" hidden="1" thickBot="1" x14ac:dyDescent="0.25">
      <c r="B223" s="114">
        <f t="shared" si="1"/>
        <v>2100</v>
      </c>
      <c r="C223" s="115">
        <f>[12]С2.5!$CG$11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Button 1">
              <controlPr defaultSize="0" print="0" autoFill="0" autoPict="0" macro="[12]!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[13]И1!D13</f>
        <v>Субъект Российской Федерации</v>
      </c>
      <c r="C4" s="10" t="str">
        <f>[13]И1!E13</f>
        <v>Новосибирская область</v>
      </c>
    </row>
    <row r="5" spans="1:3" ht="38.25" x14ac:dyDescent="0.2">
      <c r="A5" s="8"/>
      <c r="B5" s="9" t="str">
        <f>[13]И1!D14</f>
        <v>Тип муниципального образования (выберите из списка)</v>
      </c>
      <c r="C5" s="10" t="str">
        <f>[13]И1!E14</f>
        <v>поселок Октябрьский, Краснозерский муниципальный район</v>
      </c>
    </row>
    <row r="6" spans="1:3" x14ac:dyDescent="0.2">
      <c r="A6" s="8"/>
      <c r="B6" s="9" t="str">
        <f>IF([13]И1!E15="","",[13]И1!D15)</f>
        <v/>
      </c>
      <c r="C6" s="10" t="str">
        <f>IF([13]И1!E15="","",[13]И1!E15)</f>
        <v/>
      </c>
    </row>
    <row r="7" spans="1:3" x14ac:dyDescent="0.2">
      <c r="A7" s="8"/>
      <c r="B7" s="9" t="str">
        <f>[13]И1!D16</f>
        <v>Код ОКТМО</v>
      </c>
      <c r="C7" s="11" t="str">
        <f>[13]И1!E16</f>
        <v xml:space="preserve"> (50627431101)</v>
      </c>
    </row>
    <row r="8" spans="1:3" x14ac:dyDescent="0.2">
      <c r="A8" s="8"/>
      <c r="B8" s="12" t="str">
        <f>[13]И1!D17</f>
        <v>Система теплоснабжения</v>
      </c>
      <c r="C8" s="13">
        <f>[13]И1!E17</f>
        <v>0</v>
      </c>
    </row>
    <row r="9" spans="1:3" x14ac:dyDescent="0.2">
      <c r="A9" s="8"/>
      <c r="B9" s="9" t="str">
        <f>[13]И1!D8</f>
        <v>Период регулирования (i)-й</v>
      </c>
      <c r="C9" s="14">
        <f>[13]И1!E8</f>
        <v>2023</v>
      </c>
    </row>
    <row r="10" spans="1:3" x14ac:dyDescent="0.2">
      <c r="A10" s="8"/>
      <c r="B10" s="9" t="str">
        <f>[13]И1!D9</f>
        <v>Период регулирования (i-1)-й</v>
      </c>
      <c r="C10" s="14">
        <f>[13]И1!E9</f>
        <v>2022</v>
      </c>
    </row>
    <row r="11" spans="1:3" x14ac:dyDescent="0.2">
      <c r="A11" s="8"/>
      <c r="B11" s="9" t="str">
        <f>[13]И1!D10</f>
        <v>Период регулирования (i-2)-й</v>
      </c>
      <c r="C11" s="14">
        <f>[13]И1!E10</f>
        <v>2021</v>
      </c>
    </row>
    <row r="12" spans="1:3" x14ac:dyDescent="0.2">
      <c r="A12" s="8"/>
      <c r="B12" s="9" t="str">
        <f>[13]И1!D11</f>
        <v>Базовый год (б)</v>
      </c>
      <c r="C12" s="14">
        <f>[13]И1!E11</f>
        <v>2019</v>
      </c>
    </row>
    <row r="13" spans="1:3" ht="38.25" x14ac:dyDescent="0.2">
      <c r="A13" s="8"/>
      <c r="B13" s="9" t="str">
        <f>[13]И1!D18</f>
        <v>Вид топлива, использование которого преобладает в системе теплоснабжения</v>
      </c>
      <c r="C13" s="15" t="str">
        <f>[13]С1.1!E13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4078.1965101017604</v>
      </c>
    </row>
    <row r="18" spans="1:3" ht="42.75" x14ac:dyDescent="0.2">
      <c r="A18" s="22" t="s">
        <v>8</v>
      </c>
      <c r="B18" s="25" t="s">
        <v>9</v>
      </c>
      <c r="C18" s="26">
        <f>[13]С1!F12</f>
        <v>990.72724864184647</v>
      </c>
    </row>
    <row r="19" spans="1:3" ht="42.75" x14ac:dyDescent="0.2">
      <c r="A19" s="22" t="s">
        <v>10</v>
      </c>
      <c r="B19" s="25" t="s">
        <v>11</v>
      </c>
      <c r="C19" s="26">
        <f>[13]С2!F12</f>
        <v>2106.0579468653982</v>
      </c>
    </row>
    <row r="20" spans="1:3" ht="30" x14ac:dyDescent="0.2">
      <c r="A20" s="22" t="s">
        <v>12</v>
      </c>
      <c r="B20" s="25" t="s">
        <v>13</v>
      </c>
      <c r="C20" s="26">
        <f>[13]С3!F12</f>
        <v>503.83473408478085</v>
      </c>
    </row>
    <row r="21" spans="1:3" ht="42.75" x14ac:dyDescent="0.2">
      <c r="A21" s="22" t="s">
        <v>14</v>
      </c>
      <c r="B21" s="25" t="s">
        <v>15</v>
      </c>
      <c r="C21" s="26">
        <f>[13]С4!F12</f>
        <v>397.61194305675906</v>
      </c>
    </row>
    <row r="22" spans="1:3" ht="30" x14ac:dyDescent="0.2">
      <c r="A22" s="22" t="s">
        <v>16</v>
      </c>
      <c r="B22" s="25" t="s">
        <v>17</v>
      </c>
      <c r="C22" s="26">
        <f>[13]С5!F12</f>
        <v>79.964637452975694</v>
      </c>
    </row>
    <row r="23" spans="1:3" ht="43.5" thickBot="1" x14ac:dyDescent="0.25">
      <c r="A23" s="27" t="s">
        <v>18</v>
      </c>
      <c r="B23" s="120" t="s">
        <v>19</v>
      </c>
      <c r="C23" s="29" t="str">
        <f>[13]С6!F12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[13]С1.1!E16</f>
        <v>5100</v>
      </c>
    </row>
    <row r="29" spans="1:3" ht="42.75" x14ac:dyDescent="0.2">
      <c r="A29" s="22" t="s">
        <v>10</v>
      </c>
      <c r="B29" s="34" t="s">
        <v>22</v>
      </c>
      <c r="C29" s="35">
        <f>[13]С1.1!E27</f>
        <v>2663.9</v>
      </c>
    </row>
    <row r="30" spans="1:3" ht="17.25" x14ac:dyDescent="0.2">
      <c r="A30" s="22" t="s">
        <v>12</v>
      </c>
      <c r="B30" s="34" t="s">
        <v>23</v>
      </c>
      <c r="C30" s="36">
        <f>[13]С1.1!E19</f>
        <v>0.59499999999999997</v>
      </c>
    </row>
    <row r="31" spans="1:3" ht="17.25" x14ac:dyDescent="0.2">
      <c r="A31" s="22" t="s">
        <v>14</v>
      </c>
      <c r="B31" s="34" t="s">
        <v>24</v>
      </c>
      <c r="C31" s="36">
        <f>[13]С1.1!E20</f>
        <v>-0.113</v>
      </c>
    </row>
    <row r="32" spans="1:3" ht="30" x14ac:dyDescent="0.2">
      <c r="A32" s="22" t="s">
        <v>16</v>
      </c>
      <c r="B32" s="37" t="s">
        <v>25</v>
      </c>
      <c r="C32" s="38">
        <f>[13]С1!F13</f>
        <v>176.4</v>
      </c>
    </row>
    <row r="33" spans="1:3" x14ac:dyDescent="0.2">
      <c r="A33" s="22" t="s">
        <v>18</v>
      </c>
      <c r="B33" s="37" t="s">
        <v>26</v>
      </c>
      <c r="C33" s="39">
        <f>[13]С1!F16</f>
        <v>7000</v>
      </c>
    </row>
    <row r="34" spans="1:3" ht="14.25" x14ac:dyDescent="0.2">
      <c r="A34" s="22" t="s">
        <v>27</v>
      </c>
      <c r="B34" s="40" t="s">
        <v>28</v>
      </c>
      <c r="C34" s="41">
        <f>[13]С1!F17</f>
        <v>0.72857142857142854</v>
      </c>
    </row>
    <row r="35" spans="1:3" ht="15.75" x14ac:dyDescent="0.2">
      <c r="A35" s="42" t="s">
        <v>29</v>
      </c>
      <c r="B35" s="43" t="s">
        <v>30</v>
      </c>
      <c r="C35" s="41">
        <f>[13]С1!F20</f>
        <v>21.588411179999994</v>
      </c>
    </row>
    <row r="36" spans="1:3" ht="15.75" x14ac:dyDescent="0.2">
      <c r="A36" s="42" t="s">
        <v>31</v>
      </c>
      <c r="B36" s="44" t="s">
        <v>32</v>
      </c>
      <c r="C36" s="41">
        <f>[13]С1!F21</f>
        <v>20.818139999999996</v>
      </c>
    </row>
    <row r="37" spans="1:3" ht="14.25" x14ac:dyDescent="0.2">
      <c r="A37" s="42" t="s">
        <v>33</v>
      </c>
      <c r="B37" s="45" t="s">
        <v>34</v>
      </c>
      <c r="C37" s="41">
        <f>[13]С1!F22</f>
        <v>1.0369999999999999</v>
      </c>
    </row>
    <row r="38" spans="1:3" ht="53.25" thickBot="1" x14ac:dyDescent="0.25">
      <c r="A38" s="27" t="s">
        <v>35</v>
      </c>
      <c r="B38" s="46" t="s">
        <v>36</v>
      </c>
      <c r="C38" s="47">
        <f>[13]С1!F23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[13]С2.1!E12</f>
        <v>V</v>
      </c>
    </row>
    <row r="42" spans="1:3" ht="25.5" x14ac:dyDescent="0.2">
      <c r="A42" s="22" t="s">
        <v>41</v>
      </c>
      <c r="B42" s="34" t="s">
        <v>42</v>
      </c>
      <c r="C42" s="52" t="str">
        <f>[13]С2.1!E13</f>
        <v>6 и менее баллов</v>
      </c>
    </row>
    <row r="43" spans="1:3" ht="25.5" x14ac:dyDescent="0.2">
      <c r="A43" s="22" t="s">
        <v>43</v>
      </c>
      <c r="B43" s="34" t="s">
        <v>44</v>
      </c>
      <c r="C43" s="52" t="str">
        <f>[13]С2.1!E14</f>
        <v>от 200 до 500</v>
      </c>
    </row>
    <row r="44" spans="1:3" ht="25.5" x14ac:dyDescent="0.2">
      <c r="A44" s="22" t="s">
        <v>45</v>
      </c>
      <c r="B44" s="34" t="s">
        <v>46</v>
      </c>
      <c r="C44" s="53" t="str">
        <f>[13]С2.1!E15</f>
        <v>нет</v>
      </c>
    </row>
    <row r="45" spans="1:3" ht="30" x14ac:dyDescent="0.2">
      <c r="A45" s="22" t="s">
        <v>47</v>
      </c>
      <c r="B45" s="34" t="s">
        <v>48</v>
      </c>
      <c r="C45" s="35">
        <f>[13]С2!F18</f>
        <v>32402.627334033532</v>
      </c>
    </row>
    <row r="46" spans="1:3" ht="30" x14ac:dyDescent="0.2">
      <c r="A46" s="22" t="s">
        <v>49</v>
      </c>
      <c r="B46" s="54" t="s">
        <v>50</v>
      </c>
      <c r="C46" s="35">
        <f>IF([13]С2!F19&gt;0,[13]С2!F19,[13]С2!F20)</f>
        <v>23441.524932855718</v>
      </c>
    </row>
    <row r="47" spans="1:3" ht="25.5" x14ac:dyDescent="0.2">
      <c r="A47" s="22" t="s">
        <v>51</v>
      </c>
      <c r="B47" s="55" t="s">
        <v>52</v>
      </c>
      <c r="C47" s="35">
        <f>[13]С2.1!E19</f>
        <v>-37</v>
      </c>
    </row>
    <row r="48" spans="1:3" ht="25.5" x14ac:dyDescent="0.2">
      <c r="A48" s="22" t="s">
        <v>53</v>
      </c>
      <c r="B48" s="55" t="s">
        <v>54</v>
      </c>
      <c r="C48" s="35" t="str">
        <f>[13]С2.1!E22</f>
        <v>нет</v>
      </c>
    </row>
    <row r="49" spans="1:3" ht="38.25" x14ac:dyDescent="0.2">
      <c r="A49" s="22" t="s">
        <v>55</v>
      </c>
      <c r="B49" s="56" t="s">
        <v>56</v>
      </c>
      <c r="C49" s="35">
        <f>[13]С2.2!E10</f>
        <v>1287</v>
      </c>
    </row>
    <row r="50" spans="1:3" ht="25.5" x14ac:dyDescent="0.2">
      <c r="A50" s="22" t="s">
        <v>57</v>
      </c>
      <c r="B50" s="57" t="s">
        <v>58</v>
      </c>
      <c r="C50" s="35">
        <f>[13]С2.2!E12</f>
        <v>5.97</v>
      </c>
    </row>
    <row r="51" spans="1:3" ht="52.5" x14ac:dyDescent="0.2">
      <c r="A51" s="22" t="s">
        <v>59</v>
      </c>
      <c r="B51" s="58" t="s">
        <v>60</v>
      </c>
      <c r="C51" s="35">
        <f>[13]С2.2!E13</f>
        <v>1</v>
      </c>
    </row>
    <row r="52" spans="1:3" ht="27.75" x14ac:dyDescent="0.2">
      <c r="A52" s="22" t="s">
        <v>61</v>
      </c>
      <c r="B52" s="57" t="s">
        <v>62</v>
      </c>
      <c r="C52" s="35">
        <f>[13]С2.2!E14</f>
        <v>12104</v>
      </c>
    </row>
    <row r="53" spans="1:3" ht="25.5" x14ac:dyDescent="0.2">
      <c r="A53" s="22" t="s">
        <v>63</v>
      </c>
      <c r="B53" s="58" t="s">
        <v>64</v>
      </c>
      <c r="C53" s="36">
        <f>[13]С2.2!E15</f>
        <v>4.8000000000000001E-2</v>
      </c>
    </row>
    <row r="54" spans="1:3" x14ac:dyDescent="0.2">
      <c r="A54" s="22" t="s">
        <v>65</v>
      </c>
      <c r="B54" s="58" t="s">
        <v>66</v>
      </c>
      <c r="C54" s="35">
        <f>[13]С2.2!E16</f>
        <v>1</v>
      </c>
    </row>
    <row r="55" spans="1:3" ht="15.75" x14ac:dyDescent="0.2">
      <c r="A55" s="22" t="s">
        <v>67</v>
      </c>
      <c r="B55" s="59" t="s">
        <v>68</v>
      </c>
      <c r="C55" s="35">
        <f>[13]С2!F21</f>
        <v>1</v>
      </c>
    </row>
    <row r="56" spans="1:3" ht="30" x14ac:dyDescent="0.2">
      <c r="A56" s="60" t="s">
        <v>69</v>
      </c>
      <c r="B56" s="34" t="s">
        <v>70</v>
      </c>
      <c r="C56" s="35">
        <f>[13]С2!F13</f>
        <v>169640.22915965237</v>
      </c>
    </row>
    <row r="57" spans="1:3" ht="30" x14ac:dyDescent="0.2">
      <c r="A57" s="60" t="s">
        <v>71</v>
      </c>
      <c r="B57" s="59" t="s">
        <v>72</v>
      </c>
      <c r="C57" s="35">
        <f>[13]С2!F14</f>
        <v>113455</v>
      </c>
    </row>
    <row r="58" spans="1:3" ht="15.75" x14ac:dyDescent="0.2">
      <c r="A58" s="60" t="s">
        <v>73</v>
      </c>
      <c r="B58" s="61" t="s">
        <v>74</v>
      </c>
      <c r="C58" s="41">
        <f>[13]С2!F15</f>
        <v>1.071</v>
      </c>
    </row>
    <row r="59" spans="1:3" ht="15.75" x14ac:dyDescent="0.2">
      <c r="A59" s="60" t="s">
        <v>75</v>
      </c>
      <c r="B59" s="61" t="s">
        <v>76</v>
      </c>
      <c r="C59" s="41">
        <f>[13]С2!F16</f>
        <v>1</v>
      </c>
    </row>
    <row r="60" spans="1:3" ht="17.25" x14ac:dyDescent="0.2">
      <c r="A60" s="60" t="s">
        <v>77</v>
      </c>
      <c r="B60" s="59" t="s">
        <v>78</v>
      </c>
      <c r="C60" s="35">
        <f>[13]С2!F17</f>
        <v>1.01</v>
      </c>
    </row>
    <row r="61" spans="1:3" s="64" customFormat="1" ht="14.25" x14ac:dyDescent="0.2">
      <c r="A61" s="60" t="s">
        <v>79</v>
      </c>
      <c r="B61" s="62" t="s">
        <v>80</v>
      </c>
      <c r="C61" s="63">
        <f>[13]С2!F33</f>
        <v>10</v>
      </c>
    </row>
    <row r="62" spans="1:3" ht="30" x14ac:dyDescent="0.2">
      <c r="A62" s="60" t="s">
        <v>81</v>
      </c>
      <c r="B62" s="65" t="s">
        <v>82</v>
      </c>
      <c r="C62" s="35">
        <f>[13]С2!F26</f>
        <v>1123.6482814273334</v>
      </c>
    </row>
    <row r="63" spans="1:3" ht="17.25" x14ac:dyDescent="0.2">
      <c r="A63" s="60" t="s">
        <v>83</v>
      </c>
      <c r="B63" s="54" t="s">
        <v>84</v>
      </c>
      <c r="C63" s="35">
        <f>[13]С2!F27</f>
        <v>0.19354712999999998</v>
      </c>
    </row>
    <row r="64" spans="1:3" ht="17.25" x14ac:dyDescent="0.2">
      <c r="A64" s="60" t="s">
        <v>85</v>
      </c>
      <c r="B64" s="59" t="s">
        <v>86</v>
      </c>
      <c r="C64" s="63">
        <f>[13]С2!F28</f>
        <v>4200</v>
      </c>
    </row>
    <row r="65" spans="1:3" ht="42.75" x14ac:dyDescent="0.2">
      <c r="A65" s="60" t="s">
        <v>87</v>
      </c>
      <c r="B65" s="34" t="s">
        <v>88</v>
      </c>
      <c r="C65" s="35">
        <f>[13]С2!F22</f>
        <v>35717.748653137714</v>
      </c>
    </row>
    <row r="66" spans="1:3" ht="30" x14ac:dyDescent="0.2">
      <c r="A66" s="60" t="s">
        <v>89</v>
      </c>
      <c r="B66" s="61" t="s">
        <v>90</v>
      </c>
      <c r="C66" s="35">
        <f>[13]С2!F23</f>
        <v>1990</v>
      </c>
    </row>
    <row r="67" spans="1:3" ht="30" x14ac:dyDescent="0.2">
      <c r="A67" s="60" t="s">
        <v>91</v>
      </c>
      <c r="B67" s="54" t="s">
        <v>92</v>
      </c>
      <c r="C67" s="35">
        <f>[13]С2.1!E27</f>
        <v>14307.876789999998</v>
      </c>
    </row>
    <row r="68" spans="1:3" ht="38.25" x14ac:dyDescent="0.2">
      <c r="A68" s="60" t="s">
        <v>93</v>
      </c>
      <c r="B68" s="66" t="s">
        <v>94</v>
      </c>
      <c r="C68" s="53">
        <f>[13]С2.3!E21</f>
        <v>0</v>
      </c>
    </row>
    <row r="69" spans="1:3" ht="25.5" x14ac:dyDescent="0.2">
      <c r="A69" s="60" t="s">
        <v>95</v>
      </c>
      <c r="B69" s="67" t="s">
        <v>96</v>
      </c>
      <c r="C69" s="68">
        <f>[13]С2.3!E11</f>
        <v>9.89</v>
      </c>
    </row>
    <row r="70" spans="1:3" ht="25.5" x14ac:dyDescent="0.2">
      <c r="A70" s="60" t="s">
        <v>97</v>
      </c>
      <c r="B70" s="67" t="s">
        <v>98</v>
      </c>
      <c r="C70" s="63">
        <f>[13]С2.3!E13</f>
        <v>300</v>
      </c>
    </row>
    <row r="71" spans="1:3" ht="25.5" x14ac:dyDescent="0.2">
      <c r="A71" s="60" t="s">
        <v>99</v>
      </c>
      <c r="B71" s="66" t="s">
        <v>100</v>
      </c>
      <c r="C71" s="69">
        <f>IF([13]С2.3!E22&gt;0,[13]С2.3!E22,[13]С2.3!E14)</f>
        <v>61211</v>
      </c>
    </row>
    <row r="72" spans="1:3" ht="38.25" x14ac:dyDescent="0.2">
      <c r="A72" s="60" t="s">
        <v>101</v>
      </c>
      <c r="B72" s="66" t="s">
        <v>102</v>
      </c>
      <c r="C72" s="69">
        <f>IF([13]С2.3!E23&gt;0,[13]С2.3!E23,[13]С2.3!E15)</f>
        <v>45675</v>
      </c>
    </row>
    <row r="73" spans="1:3" ht="30" x14ac:dyDescent="0.2">
      <c r="A73" s="60" t="s">
        <v>103</v>
      </c>
      <c r="B73" s="54" t="s">
        <v>104</v>
      </c>
      <c r="C73" s="35">
        <f>[13]С2.1!E28</f>
        <v>9541.9567200000001</v>
      </c>
    </row>
    <row r="74" spans="1:3" ht="38.25" x14ac:dyDescent="0.2">
      <c r="A74" s="60" t="s">
        <v>105</v>
      </c>
      <c r="B74" s="66" t="s">
        <v>106</v>
      </c>
      <c r="C74" s="53">
        <f>[13]С2.3!E25</f>
        <v>0</v>
      </c>
    </row>
    <row r="75" spans="1:3" ht="25.5" x14ac:dyDescent="0.2">
      <c r="A75" s="60" t="s">
        <v>107</v>
      </c>
      <c r="B75" s="67" t="s">
        <v>108</v>
      </c>
      <c r="C75" s="68">
        <f>[13]С2.3!E12</f>
        <v>0.56000000000000005</v>
      </c>
    </row>
    <row r="76" spans="1:3" ht="25.5" x14ac:dyDescent="0.2">
      <c r="A76" s="60" t="s">
        <v>109</v>
      </c>
      <c r="B76" s="67" t="s">
        <v>98</v>
      </c>
      <c r="C76" s="63">
        <f>[13]С2.3!E13</f>
        <v>300</v>
      </c>
    </row>
    <row r="77" spans="1:3" ht="25.5" x14ac:dyDescent="0.2">
      <c r="A77" s="60" t="s">
        <v>110</v>
      </c>
      <c r="B77" s="70" t="s">
        <v>111</v>
      </c>
      <c r="C77" s="69">
        <f>IF([13]С2.3!E26&gt;0,[13]С2.3!E26,[13]С2.3!E16)</f>
        <v>65637</v>
      </c>
    </row>
    <row r="78" spans="1:3" ht="38.25" x14ac:dyDescent="0.2">
      <c r="A78" s="60" t="s">
        <v>112</v>
      </c>
      <c r="B78" s="70" t="s">
        <v>113</v>
      </c>
      <c r="C78" s="69">
        <f>IF([13]С2.3!E27&gt;0,[13]С2.3!E27,[13]С2.3!E17)</f>
        <v>31684</v>
      </c>
    </row>
    <row r="79" spans="1:3" ht="17.25" x14ac:dyDescent="0.2">
      <c r="A79" s="60" t="s">
        <v>114</v>
      </c>
      <c r="B79" s="34" t="s">
        <v>115</v>
      </c>
      <c r="C79" s="36">
        <f>[13]С2!F29</f>
        <v>0.128978033685065</v>
      </c>
    </row>
    <row r="80" spans="1:3" ht="30" x14ac:dyDescent="0.2">
      <c r="A80" s="60" t="s">
        <v>116</v>
      </c>
      <c r="B80" s="54" t="s">
        <v>117</v>
      </c>
      <c r="C80" s="71">
        <f>[13]С2!F30</f>
        <v>0.11668498168498169</v>
      </c>
    </row>
    <row r="81" spans="1:3" ht="17.25" x14ac:dyDescent="0.2">
      <c r="A81" s="60" t="s">
        <v>118</v>
      </c>
      <c r="B81" s="72" t="s">
        <v>119</v>
      </c>
      <c r="C81" s="36">
        <f>[13]С2!F31</f>
        <v>0.13880000000000001</v>
      </c>
    </row>
    <row r="82" spans="1:3" s="64" customFormat="1" ht="18" thickBot="1" x14ac:dyDescent="0.25">
      <c r="A82" s="73" t="s">
        <v>120</v>
      </c>
      <c r="B82" s="74" t="s">
        <v>121</v>
      </c>
      <c r="C82" s="75">
        <f>[13]С2!F32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[13]С3!F14</f>
        <v>6998.3755440420418</v>
      </c>
    </row>
    <row r="86" spans="1:3" s="64" customFormat="1" ht="42.75" x14ac:dyDescent="0.2">
      <c r="A86" s="78" t="s">
        <v>126</v>
      </c>
      <c r="B86" s="54" t="s">
        <v>127</v>
      </c>
      <c r="C86" s="79">
        <f>[13]С3!F15</f>
        <v>0.2</v>
      </c>
    </row>
    <row r="87" spans="1:3" s="64" customFormat="1" ht="14.25" x14ac:dyDescent="0.2">
      <c r="A87" s="78" t="s">
        <v>128</v>
      </c>
      <c r="B87" s="80" t="s">
        <v>129</v>
      </c>
      <c r="C87" s="63">
        <f>[13]С3!F18</f>
        <v>15</v>
      </c>
    </row>
    <row r="88" spans="1:3" s="64" customFormat="1" ht="17.25" x14ac:dyDescent="0.2">
      <c r="A88" s="78" t="s">
        <v>130</v>
      </c>
      <c r="B88" s="34" t="s">
        <v>131</v>
      </c>
      <c r="C88" s="35">
        <f>[13]С3!F19</f>
        <v>3487.1555421534131</v>
      </c>
    </row>
    <row r="89" spans="1:3" s="64" customFormat="1" ht="55.5" x14ac:dyDescent="0.2">
      <c r="A89" s="78" t="s">
        <v>132</v>
      </c>
      <c r="B89" s="54" t="s">
        <v>133</v>
      </c>
      <c r="C89" s="81">
        <f>[13]С3!F20</f>
        <v>2.1999999999999999E-2</v>
      </c>
    </row>
    <row r="90" spans="1:3" s="64" customFormat="1" ht="14.25" x14ac:dyDescent="0.2">
      <c r="A90" s="78" t="s">
        <v>134</v>
      </c>
      <c r="B90" s="59" t="s">
        <v>80</v>
      </c>
      <c r="C90" s="63">
        <f>[13]С3!F21</f>
        <v>10</v>
      </c>
    </row>
    <row r="91" spans="1:3" s="64" customFormat="1" ht="17.25" x14ac:dyDescent="0.2">
      <c r="A91" s="78" t="s">
        <v>135</v>
      </c>
      <c r="B91" s="34" t="s">
        <v>136</v>
      </c>
      <c r="C91" s="35">
        <f>[13]С3!F22</f>
        <v>3.370944844282</v>
      </c>
    </row>
    <row r="92" spans="1:3" s="64" customFormat="1" ht="55.5" x14ac:dyDescent="0.2">
      <c r="A92" s="78" t="s">
        <v>137</v>
      </c>
      <c r="B92" s="54" t="s">
        <v>138</v>
      </c>
      <c r="C92" s="81">
        <f>[13]С3!F23</f>
        <v>3.0000000000000001E-3</v>
      </c>
    </row>
    <row r="93" spans="1:3" s="64" customFormat="1" ht="27.75" thickBot="1" x14ac:dyDescent="0.25">
      <c r="A93" s="82" t="s">
        <v>139</v>
      </c>
      <c r="B93" s="83" t="s">
        <v>140</v>
      </c>
      <c r="C93" s="84">
        <f>[13]С3!F24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[13]С4!F16</f>
        <v>1652.5</v>
      </c>
    </row>
    <row r="97" spans="1:3" ht="30" x14ac:dyDescent="0.2">
      <c r="A97" s="60" t="s">
        <v>145</v>
      </c>
      <c r="B97" s="59" t="s">
        <v>146</v>
      </c>
      <c r="C97" s="35">
        <f>[13]С4!F17</f>
        <v>73547</v>
      </c>
    </row>
    <row r="98" spans="1:3" ht="17.25" x14ac:dyDescent="0.2">
      <c r="A98" s="60" t="s">
        <v>147</v>
      </c>
      <c r="B98" s="59" t="s">
        <v>148</v>
      </c>
      <c r="C98" s="41">
        <f>[13]С4!F18</f>
        <v>0.02</v>
      </c>
    </row>
    <row r="99" spans="1:3" ht="30" x14ac:dyDescent="0.2">
      <c r="A99" s="60" t="s">
        <v>149</v>
      </c>
      <c r="B99" s="59" t="s">
        <v>150</v>
      </c>
      <c r="C99" s="35">
        <f>[13]С4!F19</f>
        <v>12104</v>
      </c>
    </row>
    <row r="100" spans="1:3" ht="31.5" x14ac:dyDescent="0.2">
      <c r="A100" s="60" t="s">
        <v>151</v>
      </c>
      <c r="B100" s="59" t="s">
        <v>152</v>
      </c>
      <c r="C100" s="41">
        <f>[13]С4!F20</f>
        <v>1.4999999999999999E-2</v>
      </c>
    </row>
    <row r="101" spans="1:3" ht="30" x14ac:dyDescent="0.2">
      <c r="A101" s="60" t="s">
        <v>153</v>
      </c>
      <c r="B101" s="34" t="s">
        <v>154</v>
      </c>
      <c r="C101" s="35">
        <f>[13]С4!F21</f>
        <v>1933.1949342509995</v>
      </c>
    </row>
    <row r="102" spans="1:3" ht="24" customHeight="1" x14ac:dyDescent="0.2">
      <c r="A102" s="60" t="s">
        <v>155</v>
      </c>
      <c r="B102" s="54" t="s">
        <v>156</v>
      </c>
      <c r="C102" s="86">
        <f>IF([13]С4.2!F8="да",[13]С4.2!D21,[13]С4.2!D15)</f>
        <v>0</v>
      </c>
    </row>
    <row r="103" spans="1:3" ht="68.25" x14ac:dyDescent="0.2">
      <c r="A103" s="60" t="s">
        <v>157</v>
      </c>
      <c r="B103" s="54" t="s">
        <v>158</v>
      </c>
      <c r="C103" s="35">
        <f>[13]С4!F22</f>
        <v>3.6112641666666665</v>
      </c>
    </row>
    <row r="104" spans="1:3" ht="30" x14ac:dyDescent="0.2">
      <c r="A104" s="60" t="s">
        <v>159</v>
      </c>
      <c r="B104" s="59" t="s">
        <v>160</v>
      </c>
      <c r="C104" s="35">
        <f>[13]С4!F23</f>
        <v>180</v>
      </c>
    </row>
    <row r="105" spans="1:3" ht="14.25" x14ac:dyDescent="0.2">
      <c r="A105" s="60" t="s">
        <v>161</v>
      </c>
      <c r="B105" s="54" t="s">
        <v>162</v>
      </c>
      <c r="C105" s="35">
        <f>[13]С4!F24</f>
        <v>8497.1999999999989</v>
      </c>
    </row>
    <row r="106" spans="1:3" ht="14.25" x14ac:dyDescent="0.2">
      <c r="A106" s="60" t="s">
        <v>163</v>
      </c>
      <c r="B106" s="59" t="s">
        <v>164</v>
      </c>
      <c r="C106" s="41">
        <f>[13]С4!F25</f>
        <v>0.35</v>
      </c>
    </row>
    <row r="107" spans="1:3" ht="17.25" x14ac:dyDescent="0.2">
      <c r="A107" s="60" t="s">
        <v>165</v>
      </c>
      <c r="B107" s="34" t="s">
        <v>166</v>
      </c>
      <c r="C107" s="35">
        <f>[13]С4!F26</f>
        <v>65.27915999999999</v>
      </c>
    </row>
    <row r="108" spans="1:3" ht="25.5" x14ac:dyDescent="0.2">
      <c r="A108" s="60" t="s">
        <v>167</v>
      </c>
      <c r="B108" s="54" t="s">
        <v>94</v>
      </c>
      <c r="C108" s="86">
        <f>[13]С4.3!E16</f>
        <v>0</v>
      </c>
    </row>
    <row r="109" spans="1:3" ht="25.5" x14ac:dyDescent="0.2">
      <c r="A109" s="60" t="s">
        <v>168</v>
      </c>
      <c r="B109" s="54" t="s">
        <v>169</v>
      </c>
      <c r="C109" s="35">
        <f>[13]С4.3!E17</f>
        <v>17.239999999999998</v>
      </c>
    </row>
    <row r="110" spans="1:3" ht="38.25" x14ac:dyDescent="0.2">
      <c r="A110" s="60" t="s">
        <v>170</v>
      </c>
      <c r="B110" s="54" t="s">
        <v>106</v>
      </c>
      <c r="C110" s="86">
        <f>[13]С4.3!E18</f>
        <v>0</v>
      </c>
    </row>
    <row r="111" spans="1:3" x14ac:dyDescent="0.2">
      <c r="A111" s="60" t="s">
        <v>171</v>
      </c>
      <c r="B111" s="54" t="s">
        <v>172</v>
      </c>
      <c r="C111" s="35">
        <f>[13]С4.3!E19</f>
        <v>23.62</v>
      </c>
    </row>
    <row r="112" spans="1:3" x14ac:dyDescent="0.2">
      <c r="A112" s="60" t="s">
        <v>173</v>
      </c>
      <c r="B112" s="59" t="s">
        <v>174</v>
      </c>
      <c r="C112" s="35">
        <f>[13]С4.3!E11</f>
        <v>1871</v>
      </c>
    </row>
    <row r="113" spans="1:3" x14ac:dyDescent="0.2">
      <c r="A113" s="60" t="s">
        <v>175</v>
      </c>
      <c r="B113" s="59" t="s">
        <v>176</v>
      </c>
      <c r="C113" s="53">
        <f>[13]С4.3!E12</f>
        <v>1636</v>
      </c>
    </row>
    <row r="114" spans="1:3" x14ac:dyDescent="0.2">
      <c r="A114" s="60" t="s">
        <v>177</v>
      </c>
      <c r="B114" s="59" t="s">
        <v>178</v>
      </c>
      <c r="C114" s="53">
        <f>[13]С4.3!E13</f>
        <v>204</v>
      </c>
    </row>
    <row r="115" spans="1:3" ht="30" x14ac:dyDescent="0.2">
      <c r="A115" s="60" t="s">
        <v>179</v>
      </c>
      <c r="B115" s="34" t="s">
        <v>180</v>
      </c>
      <c r="C115" s="35">
        <f>[13]С4!F27</f>
        <v>776.44759830395003</v>
      </c>
    </row>
    <row r="116" spans="1:3" ht="25.5" x14ac:dyDescent="0.2">
      <c r="A116" s="60" t="s">
        <v>181</v>
      </c>
      <c r="B116" s="54" t="s">
        <v>182</v>
      </c>
      <c r="C116" s="35">
        <f>[13]С4!F28</f>
        <v>596.34992189243474</v>
      </c>
    </row>
    <row r="117" spans="1:3" ht="42.75" x14ac:dyDescent="0.2">
      <c r="A117" s="60" t="s">
        <v>183</v>
      </c>
      <c r="B117" s="54" t="s">
        <v>184</v>
      </c>
      <c r="C117" s="35">
        <f>[13]С4!F29</f>
        <v>180.09767641151529</v>
      </c>
    </row>
    <row r="118" spans="1:3" ht="30" x14ac:dyDescent="0.2">
      <c r="A118" s="60" t="s">
        <v>185</v>
      </c>
      <c r="B118" s="40" t="s">
        <v>186</v>
      </c>
      <c r="C118" s="35">
        <f>[13]С4!F30</f>
        <v>2157.6280118446357</v>
      </c>
    </row>
    <row r="119" spans="1:3" ht="42.75" x14ac:dyDescent="0.2">
      <c r="A119" s="60" t="s">
        <v>187</v>
      </c>
      <c r="B119" s="87" t="s">
        <v>188</v>
      </c>
      <c r="C119" s="35">
        <f>[13]С4!F33</f>
        <v>1460.7975804828536</v>
      </c>
    </row>
    <row r="120" spans="1:3" ht="30" x14ac:dyDescent="0.2">
      <c r="A120" s="60" t="s">
        <v>189</v>
      </c>
      <c r="B120" s="88" t="s">
        <v>190</v>
      </c>
      <c r="C120" s="35">
        <f>[13]С4!F35</f>
        <v>17.040680999999999</v>
      </c>
    </row>
    <row r="121" spans="1:3" ht="14.25" x14ac:dyDescent="0.2">
      <c r="A121" s="60" t="s">
        <v>191</v>
      </c>
      <c r="B121" s="57" t="s">
        <v>192</v>
      </c>
      <c r="C121" s="35">
        <f>[13]С4!F36</f>
        <v>14319.9</v>
      </c>
    </row>
    <row r="122" spans="1:3" ht="28.5" thickBot="1" x14ac:dyDescent="0.25">
      <c r="A122" s="73" t="s">
        <v>193</v>
      </c>
      <c r="B122" s="89" t="s">
        <v>194</v>
      </c>
      <c r="C122" s="84">
        <f>[13]С4!F37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[13]С5!F17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[13]С2!F37</f>
        <v>20.818139999999996</v>
      </c>
    </row>
    <row r="136" spans="1:4" ht="14.25" x14ac:dyDescent="0.2">
      <c r="A136" s="60" t="s">
        <v>216</v>
      </c>
      <c r="B136" s="102" t="s">
        <v>217</v>
      </c>
      <c r="C136" s="35">
        <f>[13]С2!F38</f>
        <v>7</v>
      </c>
    </row>
    <row r="137" spans="1:4" ht="17.25" x14ac:dyDescent="0.2">
      <c r="A137" s="60" t="s">
        <v>218</v>
      </c>
      <c r="B137" s="102" t="s">
        <v>219</v>
      </c>
      <c r="C137" s="35">
        <f>[13]С2!F40</f>
        <v>0.97</v>
      </c>
    </row>
    <row r="138" spans="1:4" ht="15" thickBot="1" x14ac:dyDescent="0.25">
      <c r="A138" s="73" t="s">
        <v>220</v>
      </c>
      <c r="B138" s="103" t="s">
        <v>221</v>
      </c>
      <c r="C138" s="47">
        <f>[13]С2!F42</f>
        <v>0.35</v>
      </c>
    </row>
    <row r="139" spans="1:4" s="90" customFormat="1" ht="13.5" thickBot="1" x14ac:dyDescent="0.25">
      <c r="A139" s="48"/>
      <c r="B139" s="76"/>
      <c r="C139" s="15"/>
    </row>
    <row r="140" spans="1:4" ht="30" x14ac:dyDescent="0.2">
      <c r="A140" s="85" t="s">
        <v>222</v>
      </c>
      <c r="B140" s="104" t="s">
        <v>223</v>
      </c>
      <c r="C140" s="105">
        <f>[13]С2!F35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[13]С2.5!$E$11</f>
        <v>-2.9000000000000026E-2</v>
      </c>
      <c r="D143" s="90"/>
    </row>
    <row r="144" spans="1:4" x14ac:dyDescent="0.2">
      <c r="A144" s="107"/>
      <c r="B144" s="112">
        <f>B143+1</f>
        <v>2021</v>
      </c>
      <c r="C144" s="113">
        <f>[13]С2.5!$F$11</f>
        <v>0.245</v>
      </c>
      <c r="D144" s="90"/>
    </row>
    <row r="145" spans="1:4" x14ac:dyDescent="0.2">
      <c r="A145" s="107"/>
      <c r="B145" s="112">
        <f t="shared" ref="B145:B208" si="0">B144+1</f>
        <v>2022</v>
      </c>
      <c r="C145" s="113">
        <f>[13]С2.5!$G$11</f>
        <v>0.121</v>
      </c>
      <c r="D145" s="90"/>
    </row>
    <row r="146" spans="1:4" ht="13.5" thickBot="1" x14ac:dyDescent="0.25">
      <c r="A146" s="107"/>
      <c r="B146" s="114">
        <f t="shared" si="0"/>
        <v>2023</v>
      </c>
      <c r="C146" s="115">
        <f>[13]С2.5!$H$11</f>
        <v>0.02</v>
      </c>
      <c r="D146" s="90"/>
    </row>
    <row r="147" spans="1:4" hidden="1" x14ac:dyDescent="0.2">
      <c r="A147" s="107"/>
      <c r="B147" s="116">
        <f t="shared" si="0"/>
        <v>2024</v>
      </c>
      <c r="C147" s="117">
        <f>[13]С2.5!$I$11</f>
        <v>-2.93E-2</v>
      </c>
      <c r="D147" s="90"/>
    </row>
    <row r="148" spans="1:4" hidden="1" x14ac:dyDescent="0.2">
      <c r="A148" s="107"/>
      <c r="B148" s="112">
        <f t="shared" si="0"/>
        <v>2025</v>
      </c>
      <c r="C148" s="113">
        <f>[13]С2.5!$J$11</f>
        <v>0.21215960863291</v>
      </c>
      <c r="D148" s="90"/>
    </row>
    <row r="149" spans="1:4" hidden="1" x14ac:dyDescent="0.2">
      <c r="A149" s="107"/>
      <c r="B149" s="112">
        <f t="shared" si="0"/>
        <v>2026</v>
      </c>
      <c r="C149" s="113">
        <f>[13]С2.5!$K$11</f>
        <v>3.5813361771260002E-2</v>
      </c>
      <c r="D149" s="90"/>
    </row>
    <row r="150" spans="1:4" hidden="1" x14ac:dyDescent="0.2">
      <c r="A150" s="107"/>
      <c r="B150" s="112">
        <f t="shared" si="0"/>
        <v>2027</v>
      </c>
      <c r="C150" s="113">
        <f>[13]С2.5!$L$11</f>
        <v>3.2682303599220003E-2</v>
      </c>
      <c r="D150" s="90"/>
    </row>
    <row r="151" spans="1:4" hidden="1" x14ac:dyDescent="0.2">
      <c r="A151" s="107"/>
      <c r="B151" s="112">
        <f t="shared" si="0"/>
        <v>2028</v>
      </c>
      <c r="C151" s="113">
        <f>[13]С2.5!$M$11</f>
        <v>0</v>
      </c>
      <c r="D151" s="90"/>
    </row>
    <row r="152" spans="1:4" hidden="1" x14ac:dyDescent="0.2">
      <c r="A152" s="107"/>
      <c r="B152" s="112">
        <f t="shared" si="0"/>
        <v>2029</v>
      </c>
      <c r="C152" s="113">
        <f>[13]С2.5!$N$11</f>
        <v>0</v>
      </c>
      <c r="D152" s="90"/>
    </row>
    <row r="153" spans="1:4" hidden="1" x14ac:dyDescent="0.2">
      <c r="A153" s="107"/>
      <c r="B153" s="112">
        <f t="shared" si="0"/>
        <v>2030</v>
      </c>
      <c r="C153" s="113">
        <f>[13]С2.5!$O$11</f>
        <v>0</v>
      </c>
      <c r="D153" s="90"/>
    </row>
    <row r="154" spans="1:4" hidden="1" x14ac:dyDescent="0.2">
      <c r="A154" s="107"/>
      <c r="B154" s="112">
        <f t="shared" si="0"/>
        <v>2031</v>
      </c>
      <c r="C154" s="113">
        <f>[13]С2.5!$P$11</f>
        <v>0</v>
      </c>
      <c r="D154" s="90"/>
    </row>
    <row r="155" spans="1:4" hidden="1" x14ac:dyDescent="0.2">
      <c r="A155" s="90"/>
      <c r="B155" s="112">
        <f t="shared" si="0"/>
        <v>2032</v>
      </c>
      <c r="C155" s="113">
        <f>[13]С2.5!$Q$11</f>
        <v>0</v>
      </c>
      <c r="D155" s="90"/>
    </row>
    <row r="156" spans="1:4" hidden="1" x14ac:dyDescent="0.2">
      <c r="A156" s="90"/>
      <c r="B156" s="112">
        <f t="shared" si="0"/>
        <v>2033</v>
      </c>
      <c r="C156" s="113">
        <f>[13]С2.5!$R$11</f>
        <v>0</v>
      </c>
      <c r="D156" s="90"/>
    </row>
    <row r="157" spans="1:4" hidden="1" x14ac:dyDescent="0.2">
      <c r="B157" s="112">
        <f t="shared" si="0"/>
        <v>2034</v>
      </c>
      <c r="C157" s="113">
        <f>[13]С2.5!$S$11</f>
        <v>0</v>
      </c>
    </row>
    <row r="158" spans="1:4" hidden="1" x14ac:dyDescent="0.2">
      <c r="B158" s="112">
        <f t="shared" si="0"/>
        <v>2035</v>
      </c>
      <c r="C158" s="113">
        <f>[13]С2.5!$T$11</f>
        <v>0</v>
      </c>
    </row>
    <row r="159" spans="1:4" hidden="1" x14ac:dyDescent="0.2">
      <c r="B159" s="112">
        <f t="shared" si="0"/>
        <v>2036</v>
      </c>
      <c r="C159" s="113">
        <f>[13]С2.5!$U$11</f>
        <v>0</v>
      </c>
    </row>
    <row r="160" spans="1:4" hidden="1" x14ac:dyDescent="0.2">
      <c r="B160" s="112">
        <f t="shared" si="0"/>
        <v>2037</v>
      </c>
      <c r="C160" s="113">
        <f>[13]С2.5!$V$11</f>
        <v>0</v>
      </c>
    </row>
    <row r="161" spans="2:3" hidden="1" x14ac:dyDescent="0.2">
      <c r="B161" s="112">
        <f t="shared" si="0"/>
        <v>2038</v>
      </c>
      <c r="C161" s="113">
        <f>[13]С2.5!$W$11</f>
        <v>0</v>
      </c>
    </row>
    <row r="162" spans="2:3" hidden="1" x14ac:dyDescent="0.2">
      <c r="B162" s="112">
        <f t="shared" si="0"/>
        <v>2039</v>
      </c>
      <c r="C162" s="113">
        <f>[13]С2.5!$X$11</f>
        <v>0</v>
      </c>
    </row>
    <row r="163" spans="2:3" hidden="1" x14ac:dyDescent="0.2">
      <c r="B163" s="112">
        <f t="shared" si="0"/>
        <v>2040</v>
      </c>
      <c r="C163" s="113">
        <f>[13]С2.5!$Y$11</f>
        <v>0</v>
      </c>
    </row>
    <row r="164" spans="2:3" hidden="1" x14ac:dyDescent="0.2">
      <c r="B164" s="112">
        <f t="shared" si="0"/>
        <v>2041</v>
      </c>
      <c r="C164" s="113">
        <f>[13]С2.5!$Z$11</f>
        <v>0</v>
      </c>
    </row>
    <row r="165" spans="2:3" hidden="1" x14ac:dyDescent="0.2">
      <c r="B165" s="112">
        <f t="shared" si="0"/>
        <v>2042</v>
      </c>
      <c r="C165" s="113">
        <f>[13]С2.5!$AA$11</f>
        <v>0</v>
      </c>
    </row>
    <row r="166" spans="2:3" hidden="1" x14ac:dyDescent="0.2">
      <c r="B166" s="112">
        <f t="shared" si="0"/>
        <v>2043</v>
      </c>
      <c r="C166" s="113">
        <f>[13]С2.5!$AB$11</f>
        <v>0</v>
      </c>
    </row>
    <row r="167" spans="2:3" hidden="1" x14ac:dyDescent="0.2">
      <c r="B167" s="112">
        <f t="shared" si="0"/>
        <v>2044</v>
      </c>
      <c r="C167" s="113">
        <f>[13]С2.5!$AC$11</f>
        <v>0</v>
      </c>
    </row>
    <row r="168" spans="2:3" hidden="1" x14ac:dyDescent="0.2">
      <c r="B168" s="112">
        <f t="shared" si="0"/>
        <v>2045</v>
      </c>
      <c r="C168" s="113">
        <f>[13]С2.5!$AD$11</f>
        <v>0</v>
      </c>
    </row>
    <row r="169" spans="2:3" hidden="1" x14ac:dyDescent="0.2">
      <c r="B169" s="112">
        <f t="shared" si="0"/>
        <v>2046</v>
      </c>
      <c r="C169" s="113">
        <f>[13]С2.5!$AE$11</f>
        <v>0</v>
      </c>
    </row>
    <row r="170" spans="2:3" hidden="1" x14ac:dyDescent="0.2">
      <c r="B170" s="112">
        <f t="shared" si="0"/>
        <v>2047</v>
      </c>
      <c r="C170" s="113">
        <f>[13]С2.5!$AF$11</f>
        <v>0</v>
      </c>
    </row>
    <row r="171" spans="2:3" hidden="1" x14ac:dyDescent="0.2">
      <c r="B171" s="112">
        <f t="shared" si="0"/>
        <v>2048</v>
      </c>
      <c r="C171" s="113">
        <f>[13]С2.5!$AG$11</f>
        <v>0</v>
      </c>
    </row>
    <row r="172" spans="2:3" hidden="1" x14ac:dyDescent="0.2">
      <c r="B172" s="112">
        <f t="shared" si="0"/>
        <v>2049</v>
      </c>
      <c r="C172" s="113">
        <f>[13]С2.5!$AH$11</f>
        <v>0</v>
      </c>
    </row>
    <row r="173" spans="2:3" hidden="1" x14ac:dyDescent="0.2">
      <c r="B173" s="112">
        <f t="shared" si="0"/>
        <v>2050</v>
      </c>
      <c r="C173" s="113">
        <f>[13]С2.5!$AI$11</f>
        <v>0</v>
      </c>
    </row>
    <row r="174" spans="2:3" hidden="1" x14ac:dyDescent="0.2">
      <c r="B174" s="112">
        <f t="shared" si="0"/>
        <v>2051</v>
      </c>
      <c r="C174" s="113">
        <f>[13]С2.5!$AJ$11</f>
        <v>0</v>
      </c>
    </row>
    <row r="175" spans="2:3" hidden="1" x14ac:dyDescent="0.2">
      <c r="B175" s="112">
        <f t="shared" si="0"/>
        <v>2052</v>
      </c>
      <c r="C175" s="113">
        <f>[13]С2.5!$AK$11</f>
        <v>0</v>
      </c>
    </row>
    <row r="176" spans="2:3" hidden="1" x14ac:dyDescent="0.2">
      <c r="B176" s="112">
        <f t="shared" si="0"/>
        <v>2053</v>
      </c>
      <c r="C176" s="113">
        <f>[13]С2.5!$AL$11</f>
        <v>0</v>
      </c>
    </row>
    <row r="177" spans="2:3" hidden="1" x14ac:dyDescent="0.2">
      <c r="B177" s="112">
        <f t="shared" si="0"/>
        <v>2054</v>
      </c>
      <c r="C177" s="113">
        <f>[13]С2.5!$AM$11</f>
        <v>0</v>
      </c>
    </row>
    <row r="178" spans="2:3" hidden="1" x14ac:dyDescent="0.2">
      <c r="B178" s="112">
        <f t="shared" si="0"/>
        <v>2055</v>
      </c>
      <c r="C178" s="113">
        <f>[13]С2.5!$AN$11</f>
        <v>0</v>
      </c>
    </row>
    <row r="179" spans="2:3" hidden="1" x14ac:dyDescent="0.2">
      <c r="B179" s="112">
        <f t="shared" si="0"/>
        <v>2056</v>
      </c>
      <c r="C179" s="113">
        <f>[13]С2.5!$AO$11</f>
        <v>0</v>
      </c>
    </row>
    <row r="180" spans="2:3" hidden="1" x14ac:dyDescent="0.2">
      <c r="B180" s="112">
        <f t="shared" si="0"/>
        <v>2057</v>
      </c>
      <c r="C180" s="113">
        <f>[13]С2.5!$AP$11</f>
        <v>0</v>
      </c>
    </row>
    <row r="181" spans="2:3" hidden="1" x14ac:dyDescent="0.2">
      <c r="B181" s="112">
        <f t="shared" si="0"/>
        <v>2058</v>
      </c>
      <c r="C181" s="113">
        <f>[13]С2.5!$AQ$11</f>
        <v>0</v>
      </c>
    </row>
    <row r="182" spans="2:3" hidden="1" x14ac:dyDescent="0.2">
      <c r="B182" s="112">
        <f t="shared" si="0"/>
        <v>2059</v>
      </c>
      <c r="C182" s="113">
        <f>[13]С2.5!$AR$11</f>
        <v>0</v>
      </c>
    </row>
    <row r="183" spans="2:3" hidden="1" x14ac:dyDescent="0.2">
      <c r="B183" s="112">
        <f t="shared" si="0"/>
        <v>2060</v>
      </c>
      <c r="C183" s="113">
        <f>[13]С2.5!$AS$11</f>
        <v>0</v>
      </c>
    </row>
    <row r="184" spans="2:3" hidden="1" x14ac:dyDescent="0.2">
      <c r="B184" s="112">
        <f t="shared" si="0"/>
        <v>2061</v>
      </c>
      <c r="C184" s="113">
        <f>[13]С2.5!$AT$11</f>
        <v>0</v>
      </c>
    </row>
    <row r="185" spans="2:3" hidden="1" x14ac:dyDescent="0.2">
      <c r="B185" s="112">
        <f t="shared" si="0"/>
        <v>2062</v>
      </c>
      <c r="C185" s="113">
        <f>[13]С2.5!$AU$11</f>
        <v>0</v>
      </c>
    </row>
    <row r="186" spans="2:3" hidden="1" x14ac:dyDescent="0.2">
      <c r="B186" s="112">
        <f t="shared" si="0"/>
        <v>2063</v>
      </c>
      <c r="C186" s="113">
        <f>[13]С2.5!$AV$11</f>
        <v>0</v>
      </c>
    </row>
    <row r="187" spans="2:3" hidden="1" x14ac:dyDescent="0.2">
      <c r="B187" s="112">
        <f t="shared" si="0"/>
        <v>2064</v>
      </c>
      <c r="C187" s="113">
        <f>[13]С2.5!$AW$11</f>
        <v>0</v>
      </c>
    </row>
    <row r="188" spans="2:3" hidden="1" x14ac:dyDescent="0.2">
      <c r="B188" s="112">
        <f t="shared" si="0"/>
        <v>2065</v>
      </c>
      <c r="C188" s="113">
        <f>[13]С2.5!$AX$11</f>
        <v>0</v>
      </c>
    </row>
    <row r="189" spans="2:3" hidden="1" x14ac:dyDescent="0.2">
      <c r="B189" s="112">
        <f t="shared" si="0"/>
        <v>2066</v>
      </c>
      <c r="C189" s="113">
        <f>[13]С2.5!$AY$11</f>
        <v>0</v>
      </c>
    </row>
    <row r="190" spans="2:3" hidden="1" x14ac:dyDescent="0.2">
      <c r="B190" s="112">
        <f t="shared" si="0"/>
        <v>2067</v>
      </c>
      <c r="C190" s="113">
        <f>[13]С2.5!$AZ$11</f>
        <v>0</v>
      </c>
    </row>
    <row r="191" spans="2:3" hidden="1" x14ac:dyDescent="0.2">
      <c r="B191" s="112">
        <f t="shared" si="0"/>
        <v>2068</v>
      </c>
      <c r="C191" s="113">
        <f>[13]С2.5!$BA$11</f>
        <v>0</v>
      </c>
    </row>
    <row r="192" spans="2:3" hidden="1" x14ac:dyDescent="0.2">
      <c r="B192" s="112">
        <f t="shared" si="0"/>
        <v>2069</v>
      </c>
      <c r="C192" s="113">
        <f>[13]С2.5!$BB$11</f>
        <v>0</v>
      </c>
    </row>
    <row r="193" spans="2:3" hidden="1" x14ac:dyDescent="0.2">
      <c r="B193" s="112">
        <f t="shared" si="0"/>
        <v>2070</v>
      </c>
      <c r="C193" s="113">
        <f>[13]С2.5!$BC$11</f>
        <v>0</v>
      </c>
    </row>
    <row r="194" spans="2:3" hidden="1" x14ac:dyDescent="0.2">
      <c r="B194" s="112">
        <f t="shared" si="0"/>
        <v>2071</v>
      </c>
      <c r="C194" s="113">
        <f>[13]С2.5!$BD$11</f>
        <v>0</v>
      </c>
    </row>
    <row r="195" spans="2:3" hidden="1" x14ac:dyDescent="0.2">
      <c r="B195" s="112">
        <f t="shared" si="0"/>
        <v>2072</v>
      </c>
      <c r="C195" s="113">
        <f>[13]С2.5!$BE$11</f>
        <v>0</v>
      </c>
    </row>
    <row r="196" spans="2:3" hidden="1" x14ac:dyDescent="0.2">
      <c r="B196" s="112">
        <f t="shared" si="0"/>
        <v>2073</v>
      </c>
      <c r="C196" s="113">
        <f>[13]С2.5!$BF$11</f>
        <v>0</v>
      </c>
    </row>
    <row r="197" spans="2:3" hidden="1" x14ac:dyDescent="0.2">
      <c r="B197" s="112">
        <f t="shared" si="0"/>
        <v>2074</v>
      </c>
      <c r="C197" s="113">
        <f>[13]С2.5!$BG$11</f>
        <v>0</v>
      </c>
    </row>
    <row r="198" spans="2:3" hidden="1" x14ac:dyDescent="0.2">
      <c r="B198" s="112">
        <f t="shared" si="0"/>
        <v>2075</v>
      </c>
      <c r="C198" s="113">
        <f>[13]С2.5!$BH$11</f>
        <v>0</v>
      </c>
    </row>
    <row r="199" spans="2:3" hidden="1" x14ac:dyDescent="0.2">
      <c r="B199" s="112">
        <f t="shared" si="0"/>
        <v>2076</v>
      </c>
      <c r="C199" s="113">
        <f>[13]С2.5!$BI$11</f>
        <v>0</v>
      </c>
    </row>
    <row r="200" spans="2:3" hidden="1" x14ac:dyDescent="0.2">
      <c r="B200" s="112">
        <f t="shared" si="0"/>
        <v>2077</v>
      </c>
      <c r="C200" s="113">
        <f>[13]С2.5!$BJ$11</f>
        <v>0</v>
      </c>
    </row>
    <row r="201" spans="2:3" hidden="1" x14ac:dyDescent="0.2">
      <c r="B201" s="112">
        <f t="shared" si="0"/>
        <v>2078</v>
      </c>
      <c r="C201" s="113">
        <f>[13]С2.5!$BK$11</f>
        <v>0</v>
      </c>
    </row>
    <row r="202" spans="2:3" hidden="1" x14ac:dyDescent="0.2">
      <c r="B202" s="112">
        <f t="shared" si="0"/>
        <v>2079</v>
      </c>
      <c r="C202" s="113">
        <f>[13]С2.5!$BL$11</f>
        <v>0</v>
      </c>
    </row>
    <row r="203" spans="2:3" hidden="1" x14ac:dyDescent="0.2">
      <c r="B203" s="112">
        <f t="shared" si="0"/>
        <v>2080</v>
      </c>
      <c r="C203" s="113">
        <f>[13]С2.5!$BM$11</f>
        <v>0</v>
      </c>
    </row>
    <row r="204" spans="2:3" hidden="1" x14ac:dyDescent="0.2">
      <c r="B204" s="112">
        <f t="shared" si="0"/>
        <v>2081</v>
      </c>
      <c r="C204" s="113">
        <f>[13]С2.5!$BN$11</f>
        <v>0</v>
      </c>
    </row>
    <row r="205" spans="2:3" hidden="1" x14ac:dyDescent="0.2">
      <c r="B205" s="112">
        <f t="shared" si="0"/>
        <v>2082</v>
      </c>
      <c r="C205" s="113">
        <f>[13]С2.5!$BO$11</f>
        <v>0</v>
      </c>
    </row>
    <row r="206" spans="2:3" hidden="1" x14ac:dyDescent="0.2">
      <c r="B206" s="112">
        <f t="shared" si="0"/>
        <v>2083</v>
      </c>
      <c r="C206" s="113">
        <f>[13]С2.5!$BP$11</f>
        <v>0</v>
      </c>
    </row>
    <row r="207" spans="2:3" hidden="1" x14ac:dyDescent="0.2">
      <c r="B207" s="112">
        <f t="shared" si="0"/>
        <v>2084</v>
      </c>
      <c r="C207" s="113">
        <f>[13]С2.5!$BQ$11</f>
        <v>0</v>
      </c>
    </row>
    <row r="208" spans="2:3" hidden="1" x14ac:dyDescent="0.2">
      <c r="B208" s="112">
        <f t="shared" si="0"/>
        <v>2085</v>
      </c>
      <c r="C208" s="113">
        <f>[13]С2.5!$BR$11</f>
        <v>0</v>
      </c>
    </row>
    <row r="209" spans="2:3" hidden="1" x14ac:dyDescent="0.2">
      <c r="B209" s="112">
        <f t="shared" ref="B209:B223" si="1">B208+1</f>
        <v>2086</v>
      </c>
      <c r="C209" s="113">
        <f>[13]С2.5!$BS$11</f>
        <v>0</v>
      </c>
    </row>
    <row r="210" spans="2:3" hidden="1" x14ac:dyDescent="0.2">
      <c r="B210" s="112">
        <f t="shared" si="1"/>
        <v>2087</v>
      </c>
      <c r="C210" s="113">
        <f>[13]С2.5!$BT$11</f>
        <v>0</v>
      </c>
    </row>
    <row r="211" spans="2:3" hidden="1" x14ac:dyDescent="0.2">
      <c r="B211" s="112">
        <f t="shared" si="1"/>
        <v>2088</v>
      </c>
      <c r="C211" s="113">
        <f>[13]С2.5!$BU$11</f>
        <v>0</v>
      </c>
    </row>
    <row r="212" spans="2:3" hidden="1" x14ac:dyDescent="0.2">
      <c r="B212" s="112">
        <f t="shared" si="1"/>
        <v>2089</v>
      </c>
      <c r="C212" s="113">
        <f>[13]С2.5!$BV$11</f>
        <v>0</v>
      </c>
    </row>
    <row r="213" spans="2:3" hidden="1" x14ac:dyDescent="0.2">
      <c r="B213" s="112">
        <f t="shared" si="1"/>
        <v>2090</v>
      </c>
      <c r="C213" s="113">
        <f>[13]С2.5!$BW$11</f>
        <v>0</v>
      </c>
    </row>
    <row r="214" spans="2:3" hidden="1" x14ac:dyDescent="0.2">
      <c r="B214" s="112">
        <f t="shared" si="1"/>
        <v>2091</v>
      </c>
      <c r="C214" s="113">
        <f>[13]С2.5!$BX$11</f>
        <v>0</v>
      </c>
    </row>
    <row r="215" spans="2:3" hidden="1" x14ac:dyDescent="0.2">
      <c r="B215" s="112">
        <f t="shared" si="1"/>
        <v>2092</v>
      </c>
      <c r="C215" s="113">
        <f>[13]С2.5!$BY$11</f>
        <v>0</v>
      </c>
    </row>
    <row r="216" spans="2:3" hidden="1" x14ac:dyDescent="0.2">
      <c r="B216" s="112">
        <f t="shared" si="1"/>
        <v>2093</v>
      </c>
      <c r="C216" s="113">
        <f>[13]С2.5!$BZ$11</f>
        <v>0</v>
      </c>
    </row>
    <row r="217" spans="2:3" hidden="1" x14ac:dyDescent="0.2">
      <c r="B217" s="112">
        <f t="shared" si="1"/>
        <v>2094</v>
      </c>
      <c r="C217" s="113">
        <f>[13]С2.5!$CA$11</f>
        <v>0</v>
      </c>
    </row>
    <row r="218" spans="2:3" hidden="1" x14ac:dyDescent="0.2">
      <c r="B218" s="112">
        <f t="shared" si="1"/>
        <v>2095</v>
      </c>
      <c r="C218" s="113">
        <f>[13]С2.5!$CB$11</f>
        <v>0</v>
      </c>
    </row>
    <row r="219" spans="2:3" hidden="1" x14ac:dyDescent="0.2">
      <c r="B219" s="112">
        <f t="shared" si="1"/>
        <v>2096</v>
      </c>
      <c r="C219" s="113">
        <f>[13]С2.5!$CC$11</f>
        <v>0</v>
      </c>
    </row>
    <row r="220" spans="2:3" hidden="1" x14ac:dyDescent="0.2">
      <c r="B220" s="112">
        <f t="shared" si="1"/>
        <v>2097</v>
      </c>
      <c r="C220" s="113">
        <f>[13]С2.5!$CD$11</f>
        <v>0</v>
      </c>
    </row>
    <row r="221" spans="2:3" hidden="1" x14ac:dyDescent="0.2">
      <c r="B221" s="112">
        <f t="shared" si="1"/>
        <v>2098</v>
      </c>
      <c r="C221" s="113">
        <f>[13]С2.5!$CE$11</f>
        <v>0</v>
      </c>
    </row>
    <row r="222" spans="2:3" hidden="1" x14ac:dyDescent="0.2">
      <c r="B222" s="112">
        <f t="shared" si="1"/>
        <v>2099</v>
      </c>
      <c r="C222" s="113">
        <f>[13]С2.5!$CF$11</f>
        <v>0</v>
      </c>
    </row>
    <row r="223" spans="2:3" ht="13.5" hidden="1" thickBot="1" x14ac:dyDescent="0.25">
      <c r="B223" s="114">
        <f t="shared" si="1"/>
        <v>2100</v>
      </c>
      <c r="C223" s="115">
        <f>[13]С2.5!$CG$11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Button 1">
              <controlPr defaultSize="0" print="0" autoFill="0" autoPict="0" macro="[13]!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[14]И1!D13</f>
        <v>Субъект Российской Федерации</v>
      </c>
      <c r="C4" s="10" t="str">
        <f>[14]И1!E13</f>
        <v>Новосибирская область</v>
      </c>
    </row>
    <row r="5" spans="1:3" ht="38.25" x14ac:dyDescent="0.2">
      <c r="A5" s="8"/>
      <c r="B5" s="9" t="str">
        <f>[14]И1!D14</f>
        <v>Тип муниципального образования (выберите из списка)</v>
      </c>
      <c r="C5" s="10" t="str">
        <f>[14]И1!E14</f>
        <v>село Орехов Лог, Краснозерский муниципальный район</v>
      </c>
    </row>
    <row r="6" spans="1:3" x14ac:dyDescent="0.2">
      <c r="A6" s="8"/>
      <c r="B6" s="9" t="str">
        <f>IF([14]И1!E15="","",[14]И1!D15)</f>
        <v/>
      </c>
      <c r="C6" s="10" t="str">
        <f>IF([14]И1!E15="","",[14]И1!E15)</f>
        <v/>
      </c>
    </row>
    <row r="7" spans="1:3" x14ac:dyDescent="0.2">
      <c r="A7" s="8"/>
      <c r="B7" s="9" t="str">
        <f>[14]И1!D16</f>
        <v>Код ОКТМО</v>
      </c>
      <c r="C7" s="11" t="str">
        <f>[14]И1!E16</f>
        <v xml:space="preserve"> (50627434101)</v>
      </c>
    </row>
    <row r="8" spans="1:3" x14ac:dyDescent="0.2">
      <c r="A8" s="8"/>
      <c r="B8" s="12" t="str">
        <f>[14]И1!D17</f>
        <v>Система теплоснабжения</v>
      </c>
      <c r="C8" s="13">
        <f>[14]И1!E17</f>
        <v>0</v>
      </c>
    </row>
    <row r="9" spans="1:3" x14ac:dyDescent="0.2">
      <c r="A9" s="8"/>
      <c r="B9" s="9" t="str">
        <f>[14]И1!D8</f>
        <v>Период регулирования (i)-й</v>
      </c>
      <c r="C9" s="14">
        <f>[14]И1!E8</f>
        <v>2023</v>
      </c>
    </row>
    <row r="10" spans="1:3" x14ac:dyDescent="0.2">
      <c r="A10" s="8"/>
      <c r="B10" s="9" t="str">
        <f>[14]И1!D9</f>
        <v>Период регулирования (i-1)-й</v>
      </c>
      <c r="C10" s="14">
        <f>[14]И1!E9</f>
        <v>2022</v>
      </c>
    </row>
    <row r="11" spans="1:3" x14ac:dyDescent="0.2">
      <c r="A11" s="8"/>
      <c r="B11" s="9" t="str">
        <f>[14]И1!D10</f>
        <v>Период регулирования (i-2)-й</v>
      </c>
      <c r="C11" s="14">
        <f>[14]И1!E10</f>
        <v>2021</v>
      </c>
    </row>
    <row r="12" spans="1:3" x14ac:dyDescent="0.2">
      <c r="A12" s="8"/>
      <c r="B12" s="9" t="str">
        <f>[14]И1!D11</f>
        <v>Базовый год (б)</v>
      </c>
      <c r="C12" s="14">
        <f>[14]И1!E11</f>
        <v>2019</v>
      </c>
    </row>
    <row r="13" spans="1:3" ht="38.25" x14ac:dyDescent="0.2">
      <c r="A13" s="8"/>
      <c r="B13" s="9" t="str">
        <f>[14]И1!D18</f>
        <v>Вид топлива, использование которого преобладает в системе теплоснабжения</v>
      </c>
      <c r="C13" s="15" t="str">
        <f>[14]С1.1!E13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4083.8695750127163</v>
      </c>
    </row>
    <row r="18" spans="1:3" ht="42.75" x14ac:dyDescent="0.2">
      <c r="A18" s="22" t="s">
        <v>8</v>
      </c>
      <c r="B18" s="25" t="s">
        <v>9</v>
      </c>
      <c r="C18" s="26">
        <f>[14]С1!F12</f>
        <v>996.90093096004716</v>
      </c>
    </row>
    <row r="19" spans="1:3" ht="42.75" x14ac:dyDescent="0.2">
      <c r="A19" s="22" t="s">
        <v>10</v>
      </c>
      <c r="B19" s="25" t="s">
        <v>11</v>
      </c>
      <c r="C19" s="26">
        <f>[14]С2!F12</f>
        <v>2106.0579468653982</v>
      </c>
    </row>
    <row r="20" spans="1:3" ht="30" x14ac:dyDescent="0.2">
      <c r="A20" s="22" t="s">
        <v>12</v>
      </c>
      <c r="B20" s="25" t="s">
        <v>13</v>
      </c>
      <c r="C20" s="26">
        <f>[14]С3!F12</f>
        <v>503.83473408478085</v>
      </c>
    </row>
    <row r="21" spans="1:3" ht="42.75" x14ac:dyDescent="0.2">
      <c r="A21" s="22" t="s">
        <v>14</v>
      </c>
      <c r="B21" s="25" t="s">
        <v>15</v>
      </c>
      <c r="C21" s="26">
        <f>[14]С4!F12</f>
        <v>397.00008908263294</v>
      </c>
    </row>
    <row r="22" spans="1:3" ht="30" x14ac:dyDescent="0.2">
      <c r="A22" s="22" t="s">
        <v>16</v>
      </c>
      <c r="B22" s="25" t="s">
        <v>17</v>
      </c>
      <c r="C22" s="26">
        <f>[14]С5!F12</f>
        <v>80.075874019857181</v>
      </c>
    </row>
    <row r="23" spans="1:3" ht="43.5" thickBot="1" x14ac:dyDescent="0.25">
      <c r="A23" s="27" t="s">
        <v>18</v>
      </c>
      <c r="B23" s="120" t="s">
        <v>19</v>
      </c>
      <c r="C23" s="29" t="str">
        <f>[14]С6!F12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[14]С1.1!E16</f>
        <v>5100</v>
      </c>
    </row>
    <row r="29" spans="1:3" ht="42.75" x14ac:dyDescent="0.2">
      <c r="A29" s="22" t="s">
        <v>10</v>
      </c>
      <c r="B29" s="34" t="s">
        <v>22</v>
      </c>
      <c r="C29" s="35">
        <f>[14]С1.1!E27</f>
        <v>2680.5</v>
      </c>
    </row>
    <row r="30" spans="1:3" ht="17.25" x14ac:dyDescent="0.2">
      <c r="A30" s="22" t="s">
        <v>12</v>
      </c>
      <c r="B30" s="34" t="s">
        <v>23</v>
      </c>
      <c r="C30" s="36">
        <f>[14]С1.1!E19</f>
        <v>0.59499999999999997</v>
      </c>
    </row>
    <row r="31" spans="1:3" ht="17.25" x14ac:dyDescent="0.2">
      <c r="A31" s="22" t="s">
        <v>14</v>
      </c>
      <c r="B31" s="34" t="s">
        <v>24</v>
      </c>
      <c r="C31" s="36">
        <f>[14]С1.1!E20</f>
        <v>-0.113</v>
      </c>
    </row>
    <row r="32" spans="1:3" ht="30" x14ac:dyDescent="0.2">
      <c r="A32" s="22" t="s">
        <v>16</v>
      </c>
      <c r="B32" s="37" t="s">
        <v>25</v>
      </c>
      <c r="C32" s="38">
        <f>[14]С1!F13</f>
        <v>176.4</v>
      </c>
    </row>
    <row r="33" spans="1:3" x14ac:dyDescent="0.2">
      <c r="A33" s="22" t="s">
        <v>18</v>
      </c>
      <c r="B33" s="37" t="s">
        <v>26</v>
      </c>
      <c r="C33" s="39">
        <f>[14]С1!F16</f>
        <v>7000</v>
      </c>
    </row>
    <row r="34" spans="1:3" ht="14.25" x14ac:dyDescent="0.2">
      <c r="A34" s="22" t="s">
        <v>27</v>
      </c>
      <c r="B34" s="40" t="s">
        <v>28</v>
      </c>
      <c r="C34" s="41">
        <f>[14]С1!F17</f>
        <v>0.72857142857142854</v>
      </c>
    </row>
    <row r="35" spans="1:3" ht="15.75" x14ac:dyDescent="0.2">
      <c r="A35" s="42" t="s">
        <v>29</v>
      </c>
      <c r="B35" s="43" t="s">
        <v>30</v>
      </c>
      <c r="C35" s="41">
        <f>[14]С1!F20</f>
        <v>21.588411179999994</v>
      </c>
    </row>
    <row r="36" spans="1:3" ht="15.75" x14ac:dyDescent="0.2">
      <c r="A36" s="42" t="s">
        <v>31</v>
      </c>
      <c r="B36" s="44" t="s">
        <v>32</v>
      </c>
      <c r="C36" s="41">
        <f>[14]С1!F21</f>
        <v>20.818139999999996</v>
      </c>
    </row>
    <row r="37" spans="1:3" ht="14.25" x14ac:dyDescent="0.2">
      <c r="A37" s="42" t="s">
        <v>33</v>
      </c>
      <c r="B37" s="45" t="s">
        <v>34</v>
      </c>
      <c r="C37" s="41">
        <f>[14]С1!F22</f>
        <v>1.0369999999999999</v>
      </c>
    </row>
    <row r="38" spans="1:3" ht="53.25" thickBot="1" x14ac:dyDescent="0.25">
      <c r="A38" s="27" t="s">
        <v>35</v>
      </c>
      <c r="B38" s="46" t="s">
        <v>36</v>
      </c>
      <c r="C38" s="47">
        <f>[14]С1!F23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[14]С2.1!E12</f>
        <v>V</v>
      </c>
    </row>
    <row r="42" spans="1:3" ht="25.5" x14ac:dyDescent="0.2">
      <c r="A42" s="22" t="s">
        <v>41</v>
      </c>
      <c r="B42" s="34" t="s">
        <v>42</v>
      </c>
      <c r="C42" s="52" t="str">
        <f>[14]С2.1!E13</f>
        <v>6 и менее баллов</v>
      </c>
    </row>
    <row r="43" spans="1:3" ht="25.5" x14ac:dyDescent="0.2">
      <c r="A43" s="22" t="s">
        <v>43</v>
      </c>
      <c r="B43" s="34" t="s">
        <v>44</v>
      </c>
      <c r="C43" s="52" t="str">
        <f>[14]С2.1!E14</f>
        <v>от 200 до 500</v>
      </c>
    </row>
    <row r="44" spans="1:3" ht="25.5" x14ac:dyDescent="0.2">
      <c r="A44" s="22" t="s">
        <v>45</v>
      </c>
      <c r="B44" s="34" t="s">
        <v>46</v>
      </c>
      <c r="C44" s="53" t="str">
        <f>[14]С2.1!E15</f>
        <v>нет</v>
      </c>
    </row>
    <row r="45" spans="1:3" ht="30" x14ac:dyDescent="0.2">
      <c r="A45" s="22" t="s">
        <v>47</v>
      </c>
      <c r="B45" s="34" t="s">
        <v>48</v>
      </c>
      <c r="C45" s="35">
        <f>[14]С2!F18</f>
        <v>32402.627334033532</v>
      </c>
    </row>
    <row r="46" spans="1:3" ht="30" x14ac:dyDescent="0.2">
      <c r="A46" s="22" t="s">
        <v>49</v>
      </c>
      <c r="B46" s="54" t="s">
        <v>50</v>
      </c>
      <c r="C46" s="35">
        <f>IF([14]С2!F19&gt;0,[14]С2!F19,[14]С2!F20)</f>
        <v>23441.524932855718</v>
      </c>
    </row>
    <row r="47" spans="1:3" ht="25.5" x14ac:dyDescent="0.2">
      <c r="A47" s="22" t="s">
        <v>51</v>
      </c>
      <c r="B47" s="55" t="s">
        <v>52</v>
      </c>
      <c r="C47" s="35">
        <f>[14]С2.1!E19</f>
        <v>-37</v>
      </c>
    </row>
    <row r="48" spans="1:3" ht="25.5" x14ac:dyDescent="0.2">
      <c r="A48" s="22" t="s">
        <v>53</v>
      </c>
      <c r="B48" s="55" t="s">
        <v>54</v>
      </c>
      <c r="C48" s="35" t="str">
        <f>[14]С2.1!E22</f>
        <v>нет</v>
      </c>
    </row>
    <row r="49" spans="1:3" ht="38.25" x14ac:dyDescent="0.2">
      <c r="A49" s="22" t="s">
        <v>55</v>
      </c>
      <c r="B49" s="56" t="s">
        <v>56</v>
      </c>
      <c r="C49" s="35">
        <f>[14]С2.2!E10</f>
        <v>1287</v>
      </c>
    </row>
    <row r="50" spans="1:3" ht="25.5" x14ac:dyDescent="0.2">
      <c r="A50" s="22" t="s">
        <v>57</v>
      </c>
      <c r="B50" s="57" t="s">
        <v>58</v>
      </c>
      <c r="C50" s="35">
        <f>[14]С2.2!E12</f>
        <v>5.97</v>
      </c>
    </row>
    <row r="51" spans="1:3" ht="52.5" x14ac:dyDescent="0.2">
      <c r="A51" s="22" t="s">
        <v>59</v>
      </c>
      <c r="B51" s="58" t="s">
        <v>60</v>
      </c>
      <c r="C51" s="35">
        <f>[14]С2.2!E13</f>
        <v>1</v>
      </c>
    </row>
    <row r="52" spans="1:3" ht="27.75" x14ac:dyDescent="0.2">
      <c r="A52" s="22" t="s">
        <v>61</v>
      </c>
      <c r="B52" s="57" t="s">
        <v>62</v>
      </c>
      <c r="C52" s="35">
        <f>[14]С2.2!E14</f>
        <v>12104</v>
      </c>
    </row>
    <row r="53" spans="1:3" ht="25.5" x14ac:dyDescent="0.2">
      <c r="A53" s="22" t="s">
        <v>63</v>
      </c>
      <c r="B53" s="58" t="s">
        <v>64</v>
      </c>
      <c r="C53" s="36">
        <f>[14]С2.2!E15</f>
        <v>4.8000000000000001E-2</v>
      </c>
    </row>
    <row r="54" spans="1:3" x14ac:dyDescent="0.2">
      <c r="A54" s="22" t="s">
        <v>65</v>
      </c>
      <c r="B54" s="58" t="s">
        <v>66</v>
      </c>
      <c r="C54" s="35">
        <f>[14]С2.2!E16</f>
        <v>1</v>
      </c>
    </row>
    <row r="55" spans="1:3" ht="15.75" x14ac:dyDescent="0.2">
      <c r="A55" s="22" t="s">
        <v>67</v>
      </c>
      <c r="B55" s="59" t="s">
        <v>68</v>
      </c>
      <c r="C55" s="35">
        <f>[14]С2!F21</f>
        <v>1</v>
      </c>
    </row>
    <row r="56" spans="1:3" ht="30" x14ac:dyDescent="0.2">
      <c r="A56" s="60" t="s">
        <v>69</v>
      </c>
      <c r="B56" s="34" t="s">
        <v>70</v>
      </c>
      <c r="C56" s="35">
        <f>[14]С2!F13</f>
        <v>169640.22915965237</v>
      </c>
    </row>
    <row r="57" spans="1:3" ht="30" x14ac:dyDescent="0.2">
      <c r="A57" s="60" t="s">
        <v>71</v>
      </c>
      <c r="B57" s="59" t="s">
        <v>72</v>
      </c>
      <c r="C57" s="35">
        <f>[14]С2!F14</f>
        <v>113455</v>
      </c>
    </row>
    <row r="58" spans="1:3" ht="15.75" x14ac:dyDescent="0.2">
      <c r="A58" s="60" t="s">
        <v>73</v>
      </c>
      <c r="B58" s="61" t="s">
        <v>74</v>
      </c>
      <c r="C58" s="41">
        <f>[14]С2!F15</f>
        <v>1.071</v>
      </c>
    </row>
    <row r="59" spans="1:3" ht="15.75" x14ac:dyDescent="0.2">
      <c r="A59" s="60" t="s">
        <v>75</v>
      </c>
      <c r="B59" s="61" t="s">
        <v>76</v>
      </c>
      <c r="C59" s="41">
        <f>[14]С2!F16</f>
        <v>1</v>
      </c>
    </row>
    <row r="60" spans="1:3" ht="17.25" x14ac:dyDescent="0.2">
      <c r="A60" s="60" t="s">
        <v>77</v>
      </c>
      <c r="B60" s="59" t="s">
        <v>78</v>
      </c>
      <c r="C60" s="35">
        <f>[14]С2!F17</f>
        <v>1.01</v>
      </c>
    </row>
    <row r="61" spans="1:3" s="64" customFormat="1" ht="14.25" x14ac:dyDescent="0.2">
      <c r="A61" s="60" t="s">
        <v>79</v>
      </c>
      <c r="B61" s="62" t="s">
        <v>80</v>
      </c>
      <c r="C61" s="63">
        <f>[14]С2!F33</f>
        <v>10</v>
      </c>
    </row>
    <row r="62" spans="1:3" ht="30" x14ac:dyDescent="0.2">
      <c r="A62" s="60" t="s">
        <v>81</v>
      </c>
      <c r="B62" s="65" t="s">
        <v>82</v>
      </c>
      <c r="C62" s="35">
        <f>[14]С2!F26</f>
        <v>1123.6482814273334</v>
      </c>
    </row>
    <row r="63" spans="1:3" ht="17.25" x14ac:dyDescent="0.2">
      <c r="A63" s="60" t="s">
        <v>83</v>
      </c>
      <c r="B63" s="54" t="s">
        <v>84</v>
      </c>
      <c r="C63" s="35">
        <f>[14]С2!F27</f>
        <v>0.19354712999999998</v>
      </c>
    </row>
    <row r="64" spans="1:3" ht="17.25" x14ac:dyDescent="0.2">
      <c r="A64" s="60" t="s">
        <v>85</v>
      </c>
      <c r="B64" s="59" t="s">
        <v>86</v>
      </c>
      <c r="C64" s="63">
        <f>[14]С2!F28</f>
        <v>4200</v>
      </c>
    </row>
    <row r="65" spans="1:3" ht="42.75" x14ac:dyDescent="0.2">
      <c r="A65" s="60" t="s">
        <v>87</v>
      </c>
      <c r="B65" s="34" t="s">
        <v>88</v>
      </c>
      <c r="C65" s="35">
        <f>[14]С2!F22</f>
        <v>35717.748653137714</v>
      </c>
    </row>
    <row r="66" spans="1:3" ht="30" x14ac:dyDescent="0.2">
      <c r="A66" s="60" t="s">
        <v>89</v>
      </c>
      <c r="B66" s="61" t="s">
        <v>90</v>
      </c>
      <c r="C66" s="35">
        <f>[14]С2!F23</f>
        <v>1990</v>
      </c>
    </row>
    <row r="67" spans="1:3" ht="30" x14ac:dyDescent="0.2">
      <c r="A67" s="60" t="s">
        <v>91</v>
      </c>
      <c r="B67" s="54" t="s">
        <v>92</v>
      </c>
      <c r="C67" s="35">
        <f>[14]С2.1!E27</f>
        <v>14307.876789999998</v>
      </c>
    </row>
    <row r="68" spans="1:3" ht="38.25" x14ac:dyDescent="0.2">
      <c r="A68" s="60" t="s">
        <v>93</v>
      </c>
      <c r="B68" s="66" t="s">
        <v>94</v>
      </c>
      <c r="C68" s="53">
        <f>[14]С2.3!E21</f>
        <v>0</v>
      </c>
    </row>
    <row r="69" spans="1:3" ht="25.5" x14ac:dyDescent="0.2">
      <c r="A69" s="60" t="s">
        <v>95</v>
      </c>
      <c r="B69" s="67" t="s">
        <v>96</v>
      </c>
      <c r="C69" s="68">
        <f>[14]С2.3!E11</f>
        <v>9.89</v>
      </c>
    </row>
    <row r="70" spans="1:3" ht="25.5" x14ac:dyDescent="0.2">
      <c r="A70" s="60" t="s">
        <v>97</v>
      </c>
      <c r="B70" s="67" t="s">
        <v>98</v>
      </c>
      <c r="C70" s="63">
        <f>[14]С2.3!E13</f>
        <v>300</v>
      </c>
    </row>
    <row r="71" spans="1:3" ht="25.5" x14ac:dyDescent="0.2">
      <c r="A71" s="60" t="s">
        <v>99</v>
      </c>
      <c r="B71" s="66" t="s">
        <v>100</v>
      </c>
      <c r="C71" s="69">
        <f>IF([14]С2.3!E22&gt;0,[14]С2.3!E22,[14]С2.3!E14)</f>
        <v>61211</v>
      </c>
    </row>
    <row r="72" spans="1:3" ht="38.25" x14ac:dyDescent="0.2">
      <c r="A72" s="60" t="s">
        <v>101</v>
      </c>
      <c r="B72" s="66" t="s">
        <v>102</v>
      </c>
      <c r="C72" s="69">
        <f>IF([14]С2.3!E23&gt;0,[14]С2.3!E23,[14]С2.3!E15)</f>
        <v>45675</v>
      </c>
    </row>
    <row r="73" spans="1:3" ht="30" x14ac:dyDescent="0.2">
      <c r="A73" s="60" t="s">
        <v>103</v>
      </c>
      <c r="B73" s="54" t="s">
        <v>104</v>
      </c>
      <c r="C73" s="35">
        <f>[14]С2.1!E28</f>
        <v>9541.9567200000001</v>
      </c>
    </row>
    <row r="74" spans="1:3" ht="38.25" x14ac:dyDescent="0.2">
      <c r="A74" s="60" t="s">
        <v>105</v>
      </c>
      <c r="B74" s="66" t="s">
        <v>106</v>
      </c>
      <c r="C74" s="53">
        <f>[14]С2.3!E25</f>
        <v>0</v>
      </c>
    </row>
    <row r="75" spans="1:3" ht="25.5" x14ac:dyDescent="0.2">
      <c r="A75" s="60" t="s">
        <v>107</v>
      </c>
      <c r="B75" s="67" t="s">
        <v>108</v>
      </c>
      <c r="C75" s="68">
        <f>[14]С2.3!E12</f>
        <v>0.56000000000000005</v>
      </c>
    </row>
    <row r="76" spans="1:3" ht="25.5" x14ac:dyDescent="0.2">
      <c r="A76" s="60" t="s">
        <v>109</v>
      </c>
      <c r="B76" s="67" t="s">
        <v>98</v>
      </c>
      <c r="C76" s="63">
        <f>[14]С2.3!E13</f>
        <v>300</v>
      </c>
    </row>
    <row r="77" spans="1:3" ht="25.5" x14ac:dyDescent="0.2">
      <c r="A77" s="60" t="s">
        <v>110</v>
      </c>
      <c r="B77" s="70" t="s">
        <v>111</v>
      </c>
      <c r="C77" s="69">
        <f>IF([14]С2.3!E26&gt;0,[14]С2.3!E26,[14]С2.3!E16)</f>
        <v>65637</v>
      </c>
    </row>
    <row r="78" spans="1:3" ht="38.25" x14ac:dyDescent="0.2">
      <c r="A78" s="60" t="s">
        <v>112</v>
      </c>
      <c r="B78" s="70" t="s">
        <v>113</v>
      </c>
      <c r="C78" s="69">
        <f>IF([14]С2.3!E27&gt;0,[14]С2.3!E27,[14]С2.3!E17)</f>
        <v>31684</v>
      </c>
    </row>
    <row r="79" spans="1:3" ht="17.25" x14ac:dyDescent="0.2">
      <c r="A79" s="60" t="s">
        <v>114</v>
      </c>
      <c r="B79" s="34" t="s">
        <v>115</v>
      </c>
      <c r="C79" s="36">
        <f>[14]С2!F29</f>
        <v>0.128978033685065</v>
      </c>
    </row>
    <row r="80" spans="1:3" ht="30" x14ac:dyDescent="0.2">
      <c r="A80" s="60" t="s">
        <v>116</v>
      </c>
      <c r="B80" s="54" t="s">
        <v>117</v>
      </c>
      <c r="C80" s="71">
        <f>[14]С2!F30</f>
        <v>0.11668498168498169</v>
      </c>
    </row>
    <row r="81" spans="1:3" ht="17.25" x14ac:dyDescent="0.2">
      <c r="A81" s="60" t="s">
        <v>118</v>
      </c>
      <c r="B81" s="72" t="s">
        <v>119</v>
      </c>
      <c r="C81" s="36">
        <f>[14]С2!F31</f>
        <v>0.13880000000000001</v>
      </c>
    </row>
    <row r="82" spans="1:3" s="64" customFormat="1" ht="18" thickBot="1" x14ac:dyDescent="0.25">
      <c r="A82" s="73" t="s">
        <v>120</v>
      </c>
      <c r="B82" s="74" t="s">
        <v>121</v>
      </c>
      <c r="C82" s="75">
        <f>[14]С2!F32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[14]С3!F14</f>
        <v>6998.3755440420418</v>
      </c>
    </row>
    <row r="86" spans="1:3" s="64" customFormat="1" ht="42.75" x14ac:dyDescent="0.2">
      <c r="A86" s="78" t="s">
        <v>126</v>
      </c>
      <c r="B86" s="54" t="s">
        <v>127</v>
      </c>
      <c r="C86" s="79">
        <f>[14]С3!F15</f>
        <v>0.2</v>
      </c>
    </row>
    <row r="87" spans="1:3" s="64" customFormat="1" ht="14.25" x14ac:dyDescent="0.2">
      <c r="A87" s="78" t="s">
        <v>128</v>
      </c>
      <c r="B87" s="80" t="s">
        <v>129</v>
      </c>
      <c r="C87" s="63">
        <f>[14]С3!F18</f>
        <v>15</v>
      </c>
    </row>
    <row r="88" spans="1:3" s="64" customFormat="1" ht="17.25" x14ac:dyDescent="0.2">
      <c r="A88" s="78" t="s">
        <v>130</v>
      </c>
      <c r="B88" s="34" t="s">
        <v>131</v>
      </c>
      <c r="C88" s="35">
        <f>[14]С3!F19</f>
        <v>3487.1555421534131</v>
      </c>
    </row>
    <row r="89" spans="1:3" s="64" customFormat="1" ht="55.5" x14ac:dyDescent="0.2">
      <c r="A89" s="78" t="s">
        <v>132</v>
      </c>
      <c r="B89" s="54" t="s">
        <v>133</v>
      </c>
      <c r="C89" s="81">
        <f>[14]С3!F20</f>
        <v>2.1999999999999999E-2</v>
      </c>
    </row>
    <row r="90" spans="1:3" s="64" customFormat="1" ht="14.25" x14ac:dyDescent="0.2">
      <c r="A90" s="78" t="s">
        <v>134</v>
      </c>
      <c r="B90" s="59" t="s">
        <v>80</v>
      </c>
      <c r="C90" s="63">
        <f>[14]С3!F21</f>
        <v>10</v>
      </c>
    </row>
    <row r="91" spans="1:3" s="64" customFormat="1" ht="17.25" x14ac:dyDescent="0.2">
      <c r="A91" s="78" t="s">
        <v>135</v>
      </c>
      <c r="B91" s="34" t="s">
        <v>136</v>
      </c>
      <c r="C91" s="35">
        <f>[14]С3!F22</f>
        <v>3.370944844282</v>
      </c>
    </row>
    <row r="92" spans="1:3" s="64" customFormat="1" ht="55.5" x14ac:dyDescent="0.2">
      <c r="A92" s="78" t="s">
        <v>137</v>
      </c>
      <c r="B92" s="54" t="s">
        <v>138</v>
      </c>
      <c r="C92" s="81">
        <f>[14]С3!F23</f>
        <v>3.0000000000000001E-3</v>
      </c>
    </row>
    <row r="93" spans="1:3" s="64" customFormat="1" ht="27.75" thickBot="1" x14ac:dyDescent="0.25">
      <c r="A93" s="82" t="s">
        <v>139</v>
      </c>
      <c r="B93" s="83" t="s">
        <v>140</v>
      </c>
      <c r="C93" s="84">
        <f>[14]С3!F24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[14]С4!F16</f>
        <v>1652.5</v>
      </c>
    </row>
    <row r="97" spans="1:3" ht="30" x14ac:dyDescent="0.2">
      <c r="A97" s="60" t="s">
        <v>145</v>
      </c>
      <c r="B97" s="59" t="s">
        <v>146</v>
      </c>
      <c r="C97" s="35">
        <f>[14]С4!F17</f>
        <v>73547</v>
      </c>
    </row>
    <row r="98" spans="1:3" ht="17.25" x14ac:dyDescent="0.2">
      <c r="A98" s="60" t="s">
        <v>147</v>
      </c>
      <c r="B98" s="59" t="s">
        <v>148</v>
      </c>
      <c r="C98" s="41">
        <f>[14]С4!F18</f>
        <v>0.02</v>
      </c>
    </row>
    <row r="99" spans="1:3" ht="30" x14ac:dyDescent="0.2">
      <c r="A99" s="60" t="s">
        <v>149</v>
      </c>
      <c r="B99" s="59" t="s">
        <v>150</v>
      </c>
      <c r="C99" s="35">
        <f>[14]С4!F19</f>
        <v>12104</v>
      </c>
    </row>
    <row r="100" spans="1:3" ht="31.5" x14ac:dyDescent="0.2">
      <c r="A100" s="60" t="s">
        <v>151</v>
      </c>
      <c r="B100" s="59" t="s">
        <v>152</v>
      </c>
      <c r="C100" s="41">
        <f>[14]С4!F20</f>
        <v>1.4999999999999999E-2</v>
      </c>
    </row>
    <row r="101" spans="1:3" ht="30" x14ac:dyDescent="0.2">
      <c r="A101" s="60" t="s">
        <v>153</v>
      </c>
      <c r="B101" s="34" t="s">
        <v>154</v>
      </c>
      <c r="C101" s="35">
        <f>[14]С4!F21</f>
        <v>1933.1949342509995</v>
      </c>
    </row>
    <row r="102" spans="1:3" ht="24" customHeight="1" x14ac:dyDescent="0.2">
      <c r="A102" s="60" t="s">
        <v>155</v>
      </c>
      <c r="B102" s="54" t="s">
        <v>156</v>
      </c>
      <c r="C102" s="86">
        <f>IF([14]С4.2!F8="да",[14]С4.2!D21,[14]С4.2!D15)</f>
        <v>0</v>
      </c>
    </row>
    <row r="103" spans="1:3" ht="68.25" x14ac:dyDescent="0.2">
      <c r="A103" s="60" t="s">
        <v>157</v>
      </c>
      <c r="B103" s="54" t="s">
        <v>158</v>
      </c>
      <c r="C103" s="35">
        <f>[14]С4!F22</f>
        <v>3.6112641666666665</v>
      </c>
    </row>
    <row r="104" spans="1:3" ht="30" x14ac:dyDescent="0.2">
      <c r="A104" s="60" t="s">
        <v>159</v>
      </c>
      <c r="B104" s="59" t="s">
        <v>160</v>
      </c>
      <c r="C104" s="35">
        <f>[14]С4!F23</f>
        <v>180</v>
      </c>
    </row>
    <row r="105" spans="1:3" ht="14.25" x14ac:dyDescent="0.2">
      <c r="A105" s="60" t="s">
        <v>161</v>
      </c>
      <c r="B105" s="54" t="s">
        <v>162</v>
      </c>
      <c r="C105" s="35">
        <f>[14]С4!F24</f>
        <v>8497.1999999999989</v>
      </c>
    </row>
    <row r="106" spans="1:3" ht="14.25" x14ac:dyDescent="0.2">
      <c r="A106" s="60" t="s">
        <v>163</v>
      </c>
      <c r="B106" s="59" t="s">
        <v>164</v>
      </c>
      <c r="C106" s="41">
        <f>[14]С4!F25</f>
        <v>0.35</v>
      </c>
    </row>
    <row r="107" spans="1:3" ht="17.25" x14ac:dyDescent="0.2">
      <c r="A107" s="60" t="s">
        <v>165</v>
      </c>
      <c r="B107" s="34" t="s">
        <v>166</v>
      </c>
      <c r="C107" s="35">
        <f>[14]С4!F26</f>
        <v>50.304270000000002</v>
      </c>
    </row>
    <row r="108" spans="1:3" ht="25.5" x14ac:dyDescent="0.2">
      <c r="A108" s="60" t="s">
        <v>167</v>
      </c>
      <c r="B108" s="54" t="s">
        <v>94</v>
      </c>
      <c r="C108" s="86">
        <f>[14]С4.3!E16</f>
        <v>0</v>
      </c>
    </row>
    <row r="109" spans="1:3" ht="25.5" x14ac:dyDescent="0.2">
      <c r="A109" s="60" t="s">
        <v>168</v>
      </c>
      <c r="B109" s="54" t="s">
        <v>169</v>
      </c>
      <c r="C109" s="35">
        <f>[14]С4.3!E17</f>
        <v>12.97</v>
      </c>
    </row>
    <row r="110" spans="1:3" ht="38.25" x14ac:dyDescent="0.2">
      <c r="A110" s="60" t="s">
        <v>170</v>
      </c>
      <c r="B110" s="54" t="s">
        <v>106</v>
      </c>
      <c r="C110" s="86">
        <f>[14]С4.3!E18</f>
        <v>0</v>
      </c>
    </row>
    <row r="111" spans="1:3" x14ac:dyDescent="0.2">
      <c r="A111" s="60" t="s">
        <v>171</v>
      </c>
      <c r="B111" s="54" t="s">
        <v>172</v>
      </c>
      <c r="C111" s="35">
        <f>[14]С4.3!E19</f>
        <v>23.62</v>
      </c>
    </row>
    <row r="112" spans="1:3" x14ac:dyDescent="0.2">
      <c r="A112" s="60" t="s">
        <v>173</v>
      </c>
      <c r="B112" s="59" t="s">
        <v>174</v>
      </c>
      <c r="C112" s="35">
        <f>[14]С4.3!E11</f>
        <v>1871</v>
      </c>
    </row>
    <row r="113" spans="1:3" x14ac:dyDescent="0.2">
      <c r="A113" s="60" t="s">
        <v>175</v>
      </c>
      <c r="B113" s="59" t="s">
        <v>176</v>
      </c>
      <c r="C113" s="53">
        <f>[14]С4.3!E12</f>
        <v>1636</v>
      </c>
    </row>
    <row r="114" spans="1:3" x14ac:dyDescent="0.2">
      <c r="A114" s="60" t="s">
        <v>177</v>
      </c>
      <c r="B114" s="59" t="s">
        <v>178</v>
      </c>
      <c r="C114" s="53">
        <f>[14]С4.3!E13</f>
        <v>204</v>
      </c>
    </row>
    <row r="115" spans="1:3" ht="30" x14ac:dyDescent="0.2">
      <c r="A115" s="60" t="s">
        <v>179</v>
      </c>
      <c r="B115" s="34" t="s">
        <v>180</v>
      </c>
      <c r="C115" s="35">
        <f>[14]С4!F27</f>
        <v>776.44759830395003</v>
      </c>
    </row>
    <row r="116" spans="1:3" ht="25.5" x14ac:dyDescent="0.2">
      <c r="A116" s="60" t="s">
        <v>181</v>
      </c>
      <c r="B116" s="54" t="s">
        <v>182</v>
      </c>
      <c r="C116" s="35">
        <f>[14]С4!F28</f>
        <v>596.34992189243474</v>
      </c>
    </row>
    <row r="117" spans="1:3" ht="42.75" x14ac:dyDescent="0.2">
      <c r="A117" s="60" t="s">
        <v>183</v>
      </c>
      <c r="B117" s="54" t="s">
        <v>184</v>
      </c>
      <c r="C117" s="35">
        <f>[14]С4!F29</f>
        <v>180.09767641151529</v>
      </c>
    </row>
    <row r="118" spans="1:3" ht="30" x14ac:dyDescent="0.2">
      <c r="A118" s="60" t="s">
        <v>185</v>
      </c>
      <c r="B118" s="40" t="s">
        <v>186</v>
      </c>
      <c r="C118" s="35">
        <f>[14]С4!F30</f>
        <v>2165.5897620469805</v>
      </c>
    </row>
    <row r="119" spans="1:3" ht="42.75" x14ac:dyDescent="0.2">
      <c r="A119" s="60" t="s">
        <v>187</v>
      </c>
      <c r="B119" s="87" t="s">
        <v>188</v>
      </c>
      <c r="C119" s="35">
        <f>[14]С4!F33</f>
        <v>1469.7943012799615</v>
      </c>
    </row>
    <row r="120" spans="1:3" ht="30" x14ac:dyDescent="0.2">
      <c r="A120" s="60" t="s">
        <v>189</v>
      </c>
      <c r="B120" s="88" t="s">
        <v>190</v>
      </c>
      <c r="C120" s="35">
        <f>[14]С4!F35</f>
        <v>17.040680999999999</v>
      </c>
    </row>
    <row r="121" spans="1:3" ht="14.25" x14ac:dyDescent="0.2">
      <c r="A121" s="60" t="s">
        <v>191</v>
      </c>
      <c r="B121" s="57" t="s">
        <v>192</v>
      </c>
      <c r="C121" s="35">
        <f>[14]С4!F36</f>
        <v>14319.9</v>
      </c>
    </row>
    <row r="122" spans="1:3" ht="28.5" thickBot="1" x14ac:dyDescent="0.25">
      <c r="A122" s="73" t="s">
        <v>193</v>
      </c>
      <c r="B122" s="89" t="s">
        <v>194</v>
      </c>
      <c r="C122" s="84">
        <f>[14]С4!F37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[14]С5!F17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[14]С2!F37</f>
        <v>20.818139999999996</v>
      </c>
    </row>
    <row r="136" spans="1:4" ht="14.25" x14ac:dyDescent="0.2">
      <c r="A136" s="60" t="s">
        <v>216</v>
      </c>
      <c r="B136" s="102" t="s">
        <v>217</v>
      </c>
      <c r="C136" s="35">
        <f>[14]С2!F38</f>
        <v>7</v>
      </c>
    </row>
    <row r="137" spans="1:4" ht="17.25" x14ac:dyDescent="0.2">
      <c r="A137" s="60" t="s">
        <v>218</v>
      </c>
      <c r="B137" s="102" t="s">
        <v>219</v>
      </c>
      <c r="C137" s="35">
        <f>[14]С2!F40</f>
        <v>0.97</v>
      </c>
    </row>
    <row r="138" spans="1:4" ht="15" thickBot="1" x14ac:dyDescent="0.25">
      <c r="A138" s="73" t="s">
        <v>220</v>
      </c>
      <c r="B138" s="103" t="s">
        <v>221</v>
      </c>
      <c r="C138" s="47">
        <f>[14]С2!F42</f>
        <v>0.35</v>
      </c>
    </row>
    <row r="139" spans="1:4" s="90" customFormat="1" ht="13.5" thickBot="1" x14ac:dyDescent="0.25">
      <c r="A139" s="48"/>
      <c r="B139" s="76"/>
      <c r="C139" s="15"/>
    </row>
    <row r="140" spans="1:4" ht="30" x14ac:dyDescent="0.2">
      <c r="A140" s="85" t="s">
        <v>222</v>
      </c>
      <c r="B140" s="104" t="s">
        <v>223</v>
      </c>
      <c r="C140" s="105">
        <f>[14]С2!F35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[14]С2.5!$E$11</f>
        <v>-2.9000000000000026E-2</v>
      </c>
      <c r="D143" s="90"/>
    </row>
    <row r="144" spans="1:4" x14ac:dyDescent="0.2">
      <c r="A144" s="107"/>
      <c r="B144" s="112">
        <f>B143+1</f>
        <v>2021</v>
      </c>
      <c r="C144" s="113">
        <f>[14]С2.5!$F$11</f>
        <v>0.245</v>
      </c>
      <c r="D144" s="90"/>
    </row>
    <row r="145" spans="1:4" x14ac:dyDescent="0.2">
      <c r="A145" s="107"/>
      <c r="B145" s="112">
        <f t="shared" ref="B145:B208" si="0">B144+1</f>
        <v>2022</v>
      </c>
      <c r="C145" s="113">
        <f>[14]С2.5!$G$11</f>
        <v>0.121</v>
      </c>
      <c r="D145" s="90"/>
    </row>
    <row r="146" spans="1:4" ht="13.5" thickBot="1" x14ac:dyDescent="0.25">
      <c r="A146" s="107"/>
      <c r="B146" s="114">
        <f t="shared" si="0"/>
        <v>2023</v>
      </c>
      <c r="C146" s="115">
        <f>[14]С2.5!$H$11</f>
        <v>0.02</v>
      </c>
      <c r="D146" s="90"/>
    </row>
    <row r="147" spans="1:4" hidden="1" x14ac:dyDescent="0.2">
      <c r="A147" s="107"/>
      <c r="B147" s="116">
        <f t="shared" si="0"/>
        <v>2024</v>
      </c>
      <c r="C147" s="117">
        <f>[14]С2.5!$I$11</f>
        <v>-2.93E-2</v>
      </c>
      <c r="D147" s="90"/>
    </row>
    <row r="148" spans="1:4" hidden="1" x14ac:dyDescent="0.2">
      <c r="A148" s="107"/>
      <c r="B148" s="112">
        <f t="shared" si="0"/>
        <v>2025</v>
      </c>
      <c r="C148" s="113">
        <f>[14]С2.5!$J$11</f>
        <v>0.21215960863291</v>
      </c>
      <c r="D148" s="90"/>
    </row>
    <row r="149" spans="1:4" hidden="1" x14ac:dyDescent="0.2">
      <c r="A149" s="107"/>
      <c r="B149" s="112">
        <f t="shared" si="0"/>
        <v>2026</v>
      </c>
      <c r="C149" s="113">
        <f>[14]С2.5!$K$11</f>
        <v>3.5813361771260002E-2</v>
      </c>
      <c r="D149" s="90"/>
    </row>
    <row r="150" spans="1:4" hidden="1" x14ac:dyDescent="0.2">
      <c r="A150" s="107"/>
      <c r="B150" s="112">
        <f t="shared" si="0"/>
        <v>2027</v>
      </c>
      <c r="C150" s="113">
        <f>[14]С2.5!$L$11</f>
        <v>3.2682303599220003E-2</v>
      </c>
      <c r="D150" s="90"/>
    </row>
    <row r="151" spans="1:4" hidden="1" x14ac:dyDescent="0.2">
      <c r="A151" s="107"/>
      <c r="B151" s="112">
        <f t="shared" si="0"/>
        <v>2028</v>
      </c>
      <c r="C151" s="113">
        <f>[14]С2.5!$M$11</f>
        <v>0</v>
      </c>
      <c r="D151" s="90"/>
    </row>
    <row r="152" spans="1:4" hidden="1" x14ac:dyDescent="0.2">
      <c r="A152" s="107"/>
      <c r="B152" s="112">
        <f t="shared" si="0"/>
        <v>2029</v>
      </c>
      <c r="C152" s="113">
        <f>[14]С2.5!$N$11</f>
        <v>0</v>
      </c>
      <c r="D152" s="90"/>
    </row>
    <row r="153" spans="1:4" hidden="1" x14ac:dyDescent="0.2">
      <c r="A153" s="107"/>
      <c r="B153" s="112">
        <f t="shared" si="0"/>
        <v>2030</v>
      </c>
      <c r="C153" s="113">
        <f>[14]С2.5!$O$11</f>
        <v>0</v>
      </c>
      <c r="D153" s="90"/>
    </row>
    <row r="154" spans="1:4" hidden="1" x14ac:dyDescent="0.2">
      <c r="A154" s="107"/>
      <c r="B154" s="112">
        <f t="shared" si="0"/>
        <v>2031</v>
      </c>
      <c r="C154" s="113">
        <f>[14]С2.5!$P$11</f>
        <v>0</v>
      </c>
      <c r="D154" s="90"/>
    </row>
    <row r="155" spans="1:4" hidden="1" x14ac:dyDescent="0.2">
      <c r="A155" s="90"/>
      <c r="B155" s="112">
        <f t="shared" si="0"/>
        <v>2032</v>
      </c>
      <c r="C155" s="113">
        <f>[14]С2.5!$Q$11</f>
        <v>0</v>
      </c>
      <c r="D155" s="90"/>
    </row>
    <row r="156" spans="1:4" hidden="1" x14ac:dyDescent="0.2">
      <c r="A156" s="90"/>
      <c r="B156" s="112">
        <f t="shared" si="0"/>
        <v>2033</v>
      </c>
      <c r="C156" s="113">
        <f>[14]С2.5!$R$11</f>
        <v>0</v>
      </c>
      <c r="D156" s="90"/>
    </row>
    <row r="157" spans="1:4" hidden="1" x14ac:dyDescent="0.2">
      <c r="B157" s="112">
        <f t="shared" si="0"/>
        <v>2034</v>
      </c>
      <c r="C157" s="113">
        <f>[14]С2.5!$S$11</f>
        <v>0</v>
      </c>
    </row>
    <row r="158" spans="1:4" hidden="1" x14ac:dyDescent="0.2">
      <c r="B158" s="112">
        <f t="shared" si="0"/>
        <v>2035</v>
      </c>
      <c r="C158" s="113">
        <f>[14]С2.5!$T$11</f>
        <v>0</v>
      </c>
    </row>
    <row r="159" spans="1:4" hidden="1" x14ac:dyDescent="0.2">
      <c r="B159" s="112">
        <f t="shared" si="0"/>
        <v>2036</v>
      </c>
      <c r="C159" s="113">
        <f>[14]С2.5!$U$11</f>
        <v>0</v>
      </c>
    </row>
    <row r="160" spans="1:4" hidden="1" x14ac:dyDescent="0.2">
      <c r="B160" s="112">
        <f t="shared" si="0"/>
        <v>2037</v>
      </c>
      <c r="C160" s="113">
        <f>[14]С2.5!$V$11</f>
        <v>0</v>
      </c>
    </row>
    <row r="161" spans="2:3" hidden="1" x14ac:dyDescent="0.2">
      <c r="B161" s="112">
        <f t="shared" si="0"/>
        <v>2038</v>
      </c>
      <c r="C161" s="113">
        <f>[14]С2.5!$W$11</f>
        <v>0</v>
      </c>
    </row>
    <row r="162" spans="2:3" hidden="1" x14ac:dyDescent="0.2">
      <c r="B162" s="112">
        <f t="shared" si="0"/>
        <v>2039</v>
      </c>
      <c r="C162" s="113">
        <f>[14]С2.5!$X$11</f>
        <v>0</v>
      </c>
    </row>
    <row r="163" spans="2:3" hidden="1" x14ac:dyDescent="0.2">
      <c r="B163" s="112">
        <f t="shared" si="0"/>
        <v>2040</v>
      </c>
      <c r="C163" s="113">
        <f>[14]С2.5!$Y$11</f>
        <v>0</v>
      </c>
    </row>
    <row r="164" spans="2:3" hidden="1" x14ac:dyDescent="0.2">
      <c r="B164" s="112">
        <f t="shared" si="0"/>
        <v>2041</v>
      </c>
      <c r="C164" s="113">
        <f>[14]С2.5!$Z$11</f>
        <v>0</v>
      </c>
    </row>
    <row r="165" spans="2:3" hidden="1" x14ac:dyDescent="0.2">
      <c r="B165" s="112">
        <f t="shared" si="0"/>
        <v>2042</v>
      </c>
      <c r="C165" s="113">
        <f>[14]С2.5!$AA$11</f>
        <v>0</v>
      </c>
    </row>
    <row r="166" spans="2:3" hidden="1" x14ac:dyDescent="0.2">
      <c r="B166" s="112">
        <f t="shared" si="0"/>
        <v>2043</v>
      </c>
      <c r="C166" s="113">
        <f>[14]С2.5!$AB$11</f>
        <v>0</v>
      </c>
    </row>
    <row r="167" spans="2:3" hidden="1" x14ac:dyDescent="0.2">
      <c r="B167" s="112">
        <f t="shared" si="0"/>
        <v>2044</v>
      </c>
      <c r="C167" s="113">
        <f>[14]С2.5!$AC$11</f>
        <v>0</v>
      </c>
    </row>
    <row r="168" spans="2:3" hidden="1" x14ac:dyDescent="0.2">
      <c r="B168" s="112">
        <f t="shared" si="0"/>
        <v>2045</v>
      </c>
      <c r="C168" s="113">
        <f>[14]С2.5!$AD$11</f>
        <v>0</v>
      </c>
    </row>
    <row r="169" spans="2:3" hidden="1" x14ac:dyDescent="0.2">
      <c r="B169" s="112">
        <f t="shared" si="0"/>
        <v>2046</v>
      </c>
      <c r="C169" s="113">
        <f>[14]С2.5!$AE$11</f>
        <v>0</v>
      </c>
    </row>
    <row r="170" spans="2:3" hidden="1" x14ac:dyDescent="0.2">
      <c r="B170" s="112">
        <f t="shared" si="0"/>
        <v>2047</v>
      </c>
      <c r="C170" s="113">
        <f>[14]С2.5!$AF$11</f>
        <v>0</v>
      </c>
    </row>
    <row r="171" spans="2:3" hidden="1" x14ac:dyDescent="0.2">
      <c r="B171" s="112">
        <f t="shared" si="0"/>
        <v>2048</v>
      </c>
      <c r="C171" s="113">
        <f>[14]С2.5!$AG$11</f>
        <v>0</v>
      </c>
    </row>
    <row r="172" spans="2:3" hidden="1" x14ac:dyDescent="0.2">
      <c r="B172" s="112">
        <f t="shared" si="0"/>
        <v>2049</v>
      </c>
      <c r="C172" s="113">
        <f>[14]С2.5!$AH$11</f>
        <v>0</v>
      </c>
    </row>
    <row r="173" spans="2:3" hidden="1" x14ac:dyDescent="0.2">
      <c r="B173" s="112">
        <f t="shared" si="0"/>
        <v>2050</v>
      </c>
      <c r="C173" s="113">
        <f>[14]С2.5!$AI$11</f>
        <v>0</v>
      </c>
    </row>
    <row r="174" spans="2:3" hidden="1" x14ac:dyDescent="0.2">
      <c r="B174" s="112">
        <f t="shared" si="0"/>
        <v>2051</v>
      </c>
      <c r="C174" s="113">
        <f>[14]С2.5!$AJ$11</f>
        <v>0</v>
      </c>
    </row>
    <row r="175" spans="2:3" hidden="1" x14ac:dyDescent="0.2">
      <c r="B175" s="112">
        <f t="shared" si="0"/>
        <v>2052</v>
      </c>
      <c r="C175" s="113">
        <f>[14]С2.5!$AK$11</f>
        <v>0</v>
      </c>
    </row>
    <row r="176" spans="2:3" hidden="1" x14ac:dyDescent="0.2">
      <c r="B176" s="112">
        <f t="shared" si="0"/>
        <v>2053</v>
      </c>
      <c r="C176" s="113">
        <f>[14]С2.5!$AL$11</f>
        <v>0</v>
      </c>
    </row>
    <row r="177" spans="2:3" hidden="1" x14ac:dyDescent="0.2">
      <c r="B177" s="112">
        <f t="shared" si="0"/>
        <v>2054</v>
      </c>
      <c r="C177" s="113">
        <f>[14]С2.5!$AM$11</f>
        <v>0</v>
      </c>
    </row>
    <row r="178" spans="2:3" hidden="1" x14ac:dyDescent="0.2">
      <c r="B178" s="112">
        <f t="shared" si="0"/>
        <v>2055</v>
      </c>
      <c r="C178" s="113">
        <f>[14]С2.5!$AN$11</f>
        <v>0</v>
      </c>
    </row>
    <row r="179" spans="2:3" hidden="1" x14ac:dyDescent="0.2">
      <c r="B179" s="112">
        <f t="shared" si="0"/>
        <v>2056</v>
      </c>
      <c r="C179" s="113">
        <f>[14]С2.5!$AO$11</f>
        <v>0</v>
      </c>
    </row>
    <row r="180" spans="2:3" hidden="1" x14ac:dyDescent="0.2">
      <c r="B180" s="112">
        <f t="shared" si="0"/>
        <v>2057</v>
      </c>
      <c r="C180" s="113">
        <f>[14]С2.5!$AP$11</f>
        <v>0</v>
      </c>
    </row>
    <row r="181" spans="2:3" hidden="1" x14ac:dyDescent="0.2">
      <c r="B181" s="112">
        <f t="shared" si="0"/>
        <v>2058</v>
      </c>
      <c r="C181" s="113">
        <f>[14]С2.5!$AQ$11</f>
        <v>0</v>
      </c>
    </row>
    <row r="182" spans="2:3" hidden="1" x14ac:dyDescent="0.2">
      <c r="B182" s="112">
        <f t="shared" si="0"/>
        <v>2059</v>
      </c>
      <c r="C182" s="113">
        <f>[14]С2.5!$AR$11</f>
        <v>0</v>
      </c>
    </row>
    <row r="183" spans="2:3" hidden="1" x14ac:dyDescent="0.2">
      <c r="B183" s="112">
        <f t="shared" si="0"/>
        <v>2060</v>
      </c>
      <c r="C183" s="113">
        <f>[14]С2.5!$AS$11</f>
        <v>0</v>
      </c>
    </row>
    <row r="184" spans="2:3" hidden="1" x14ac:dyDescent="0.2">
      <c r="B184" s="112">
        <f t="shared" si="0"/>
        <v>2061</v>
      </c>
      <c r="C184" s="113">
        <f>[14]С2.5!$AT$11</f>
        <v>0</v>
      </c>
    </row>
    <row r="185" spans="2:3" hidden="1" x14ac:dyDescent="0.2">
      <c r="B185" s="112">
        <f t="shared" si="0"/>
        <v>2062</v>
      </c>
      <c r="C185" s="113">
        <f>[14]С2.5!$AU$11</f>
        <v>0</v>
      </c>
    </row>
    <row r="186" spans="2:3" hidden="1" x14ac:dyDescent="0.2">
      <c r="B186" s="112">
        <f t="shared" si="0"/>
        <v>2063</v>
      </c>
      <c r="C186" s="113">
        <f>[14]С2.5!$AV$11</f>
        <v>0</v>
      </c>
    </row>
    <row r="187" spans="2:3" hidden="1" x14ac:dyDescent="0.2">
      <c r="B187" s="112">
        <f t="shared" si="0"/>
        <v>2064</v>
      </c>
      <c r="C187" s="113">
        <f>[14]С2.5!$AW$11</f>
        <v>0</v>
      </c>
    </row>
    <row r="188" spans="2:3" hidden="1" x14ac:dyDescent="0.2">
      <c r="B188" s="112">
        <f t="shared" si="0"/>
        <v>2065</v>
      </c>
      <c r="C188" s="113">
        <f>[14]С2.5!$AX$11</f>
        <v>0</v>
      </c>
    </row>
    <row r="189" spans="2:3" hidden="1" x14ac:dyDescent="0.2">
      <c r="B189" s="112">
        <f t="shared" si="0"/>
        <v>2066</v>
      </c>
      <c r="C189" s="113">
        <f>[14]С2.5!$AY$11</f>
        <v>0</v>
      </c>
    </row>
    <row r="190" spans="2:3" hidden="1" x14ac:dyDescent="0.2">
      <c r="B190" s="112">
        <f t="shared" si="0"/>
        <v>2067</v>
      </c>
      <c r="C190" s="113">
        <f>[14]С2.5!$AZ$11</f>
        <v>0</v>
      </c>
    </row>
    <row r="191" spans="2:3" hidden="1" x14ac:dyDescent="0.2">
      <c r="B191" s="112">
        <f t="shared" si="0"/>
        <v>2068</v>
      </c>
      <c r="C191" s="113">
        <f>[14]С2.5!$BA$11</f>
        <v>0</v>
      </c>
    </row>
    <row r="192" spans="2:3" hidden="1" x14ac:dyDescent="0.2">
      <c r="B192" s="112">
        <f t="shared" si="0"/>
        <v>2069</v>
      </c>
      <c r="C192" s="113">
        <f>[14]С2.5!$BB$11</f>
        <v>0</v>
      </c>
    </row>
    <row r="193" spans="2:3" hidden="1" x14ac:dyDescent="0.2">
      <c r="B193" s="112">
        <f t="shared" si="0"/>
        <v>2070</v>
      </c>
      <c r="C193" s="113">
        <f>[14]С2.5!$BC$11</f>
        <v>0</v>
      </c>
    </row>
    <row r="194" spans="2:3" hidden="1" x14ac:dyDescent="0.2">
      <c r="B194" s="112">
        <f t="shared" si="0"/>
        <v>2071</v>
      </c>
      <c r="C194" s="113">
        <f>[14]С2.5!$BD$11</f>
        <v>0</v>
      </c>
    </row>
    <row r="195" spans="2:3" hidden="1" x14ac:dyDescent="0.2">
      <c r="B195" s="112">
        <f t="shared" si="0"/>
        <v>2072</v>
      </c>
      <c r="C195" s="113">
        <f>[14]С2.5!$BE$11</f>
        <v>0</v>
      </c>
    </row>
    <row r="196" spans="2:3" hidden="1" x14ac:dyDescent="0.2">
      <c r="B196" s="112">
        <f t="shared" si="0"/>
        <v>2073</v>
      </c>
      <c r="C196" s="113">
        <f>[14]С2.5!$BF$11</f>
        <v>0</v>
      </c>
    </row>
    <row r="197" spans="2:3" hidden="1" x14ac:dyDescent="0.2">
      <c r="B197" s="112">
        <f t="shared" si="0"/>
        <v>2074</v>
      </c>
      <c r="C197" s="113">
        <f>[14]С2.5!$BG$11</f>
        <v>0</v>
      </c>
    </row>
    <row r="198" spans="2:3" hidden="1" x14ac:dyDescent="0.2">
      <c r="B198" s="112">
        <f t="shared" si="0"/>
        <v>2075</v>
      </c>
      <c r="C198" s="113">
        <f>[14]С2.5!$BH$11</f>
        <v>0</v>
      </c>
    </row>
    <row r="199" spans="2:3" hidden="1" x14ac:dyDescent="0.2">
      <c r="B199" s="112">
        <f t="shared" si="0"/>
        <v>2076</v>
      </c>
      <c r="C199" s="113">
        <f>[14]С2.5!$BI$11</f>
        <v>0</v>
      </c>
    </row>
    <row r="200" spans="2:3" hidden="1" x14ac:dyDescent="0.2">
      <c r="B200" s="112">
        <f t="shared" si="0"/>
        <v>2077</v>
      </c>
      <c r="C200" s="113">
        <f>[14]С2.5!$BJ$11</f>
        <v>0</v>
      </c>
    </row>
    <row r="201" spans="2:3" hidden="1" x14ac:dyDescent="0.2">
      <c r="B201" s="112">
        <f t="shared" si="0"/>
        <v>2078</v>
      </c>
      <c r="C201" s="113">
        <f>[14]С2.5!$BK$11</f>
        <v>0</v>
      </c>
    </row>
    <row r="202" spans="2:3" hidden="1" x14ac:dyDescent="0.2">
      <c r="B202" s="112">
        <f t="shared" si="0"/>
        <v>2079</v>
      </c>
      <c r="C202" s="113">
        <f>[14]С2.5!$BL$11</f>
        <v>0</v>
      </c>
    </row>
    <row r="203" spans="2:3" hidden="1" x14ac:dyDescent="0.2">
      <c r="B203" s="112">
        <f t="shared" si="0"/>
        <v>2080</v>
      </c>
      <c r="C203" s="113">
        <f>[14]С2.5!$BM$11</f>
        <v>0</v>
      </c>
    </row>
    <row r="204" spans="2:3" hidden="1" x14ac:dyDescent="0.2">
      <c r="B204" s="112">
        <f t="shared" si="0"/>
        <v>2081</v>
      </c>
      <c r="C204" s="113">
        <f>[14]С2.5!$BN$11</f>
        <v>0</v>
      </c>
    </row>
    <row r="205" spans="2:3" hidden="1" x14ac:dyDescent="0.2">
      <c r="B205" s="112">
        <f t="shared" si="0"/>
        <v>2082</v>
      </c>
      <c r="C205" s="113">
        <f>[14]С2.5!$BO$11</f>
        <v>0</v>
      </c>
    </row>
    <row r="206" spans="2:3" hidden="1" x14ac:dyDescent="0.2">
      <c r="B206" s="112">
        <f t="shared" si="0"/>
        <v>2083</v>
      </c>
      <c r="C206" s="113">
        <f>[14]С2.5!$BP$11</f>
        <v>0</v>
      </c>
    </row>
    <row r="207" spans="2:3" hidden="1" x14ac:dyDescent="0.2">
      <c r="B207" s="112">
        <f t="shared" si="0"/>
        <v>2084</v>
      </c>
      <c r="C207" s="113">
        <f>[14]С2.5!$BQ$11</f>
        <v>0</v>
      </c>
    </row>
    <row r="208" spans="2:3" hidden="1" x14ac:dyDescent="0.2">
      <c r="B208" s="112">
        <f t="shared" si="0"/>
        <v>2085</v>
      </c>
      <c r="C208" s="113">
        <f>[14]С2.5!$BR$11</f>
        <v>0</v>
      </c>
    </row>
    <row r="209" spans="2:3" hidden="1" x14ac:dyDescent="0.2">
      <c r="B209" s="112">
        <f t="shared" ref="B209:B223" si="1">B208+1</f>
        <v>2086</v>
      </c>
      <c r="C209" s="113">
        <f>[14]С2.5!$BS$11</f>
        <v>0</v>
      </c>
    </row>
    <row r="210" spans="2:3" hidden="1" x14ac:dyDescent="0.2">
      <c r="B210" s="112">
        <f t="shared" si="1"/>
        <v>2087</v>
      </c>
      <c r="C210" s="113">
        <f>[14]С2.5!$BT$11</f>
        <v>0</v>
      </c>
    </row>
    <row r="211" spans="2:3" hidden="1" x14ac:dyDescent="0.2">
      <c r="B211" s="112">
        <f t="shared" si="1"/>
        <v>2088</v>
      </c>
      <c r="C211" s="113">
        <f>[14]С2.5!$BU$11</f>
        <v>0</v>
      </c>
    </row>
    <row r="212" spans="2:3" hidden="1" x14ac:dyDescent="0.2">
      <c r="B212" s="112">
        <f t="shared" si="1"/>
        <v>2089</v>
      </c>
      <c r="C212" s="113">
        <f>[14]С2.5!$BV$11</f>
        <v>0</v>
      </c>
    </row>
    <row r="213" spans="2:3" hidden="1" x14ac:dyDescent="0.2">
      <c r="B213" s="112">
        <f t="shared" si="1"/>
        <v>2090</v>
      </c>
      <c r="C213" s="113">
        <f>[14]С2.5!$BW$11</f>
        <v>0</v>
      </c>
    </row>
    <row r="214" spans="2:3" hidden="1" x14ac:dyDescent="0.2">
      <c r="B214" s="112">
        <f t="shared" si="1"/>
        <v>2091</v>
      </c>
      <c r="C214" s="113">
        <f>[14]С2.5!$BX$11</f>
        <v>0</v>
      </c>
    </row>
    <row r="215" spans="2:3" hidden="1" x14ac:dyDescent="0.2">
      <c r="B215" s="112">
        <f t="shared" si="1"/>
        <v>2092</v>
      </c>
      <c r="C215" s="113">
        <f>[14]С2.5!$BY$11</f>
        <v>0</v>
      </c>
    </row>
    <row r="216" spans="2:3" hidden="1" x14ac:dyDescent="0.2">
      <c r="B216" s="112">
        <f t="shared" si="1"/>
        <v>2093</v>
      </c>
      <c r="C216" s="113">
        <f>[14]С2.5!$BZ$11</f>
        <v>0</v>
      </c>
    </row>
    <row r="217" spans="2:3" hidden="1" x14ac:dyDescent="0.2">
      <c r="B217" s="112">
        <f t="shared" si="1"/>
        <v>2094</v>
      </c>
      <c r="C217" s="113">
        <f>[14]С2.5!$CA$11</f>
        <v>0</v>
      </c>
    </row>
    <row r="218" spans="2:3" hidden="1" x14ac:dyDescent="0.2">
      <c r="B218" s="112">
        <f t="shared" si="1"/>
        <v>2095</v>
      </c>
      <c r="C218" s="113">
        <f>[14]С2.5!$CB$11</f>
        <v>0</v>
      </c>
    </row>
    <row r="219" spans="2:3" hidden="1" x14ac:dyDescent="0.2">
      <c r="B219" s="112">
        <f t="shared" si="1"/>
        <v>2096</v>
      </c>
      <c r="C219" s="113">
        <f>[14]С2.5!$CC$11</f>
        <v>0</v>
      </c>
    </row>
    <row r="220" spans="2:3" hidden="1" x14ac:dyDescent="0.2">
      <c r="B220" s="112">
        <f t="shared" si="1"/>
        <v>2097</v>
      </c>
      <c r="C220" s="113">
        <f>[14]С2.5!$CD$11</f>
        <v>0</v>
      </c>
    </row>
    <row r="221" spans="2:3" hidden="1" x14ac:dyDescent="0.2">
      <c r="B221" s="112">
        <f t="shared" si="1"/>
        <v>2098</v>
      </c>
      <c r="C221" s="113">
        <f>[14]С2.5!$CE$11</f>
        <v>0</v>
      </c>
    </row>
    <row r="222" spans="2:3" hidden="1" x14ac:dyDescent="0.2">
      <c r="B222" s="112">
        <f t="shared" si="1"/>
        <v>2099</v>
      </c>
      <c r="C222" s="113">
        <f>[14]С2.5!$CF$11</f>
        <v>0</v>
      </c>
    </row>
    <row r="223" spans="2:3" ht="13.5" hidden="1" thickBot="1" x14ac:dyDescent="0.25">
      <c r="B223" s="114">
        <f t="shared" si="1"/>
        <v>2100</v>
      </c>
      <c r="C223" s="115">
        <f>[14]С2.5!$CG$11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Button 1">
              <controlPr defaultSize="0" print="0" autoFill="0" autoPict="0" macro="[14]!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[15]И1!D13</f>
        <v>Субъект Российской Федерации</v>
      </c>
      <c r="C4" s="10" t="str">
        <f>[15]И1!E13</f>
        <v>Новосибирская область</v>
      </c>
    </row>
    <row r="5" spans="1:3" ht="38.25" x14ac:dyDescent="0.2">
      <c r="A5" s="8"/>
      <c r="B5" s="9" t="str">
        <f>[15]И1!D14</f>
        <v>Тип муниципального образования (выберите из списка)</v>
      </c>
      <c r="C5" s="10" t="str">
        <f>[15]И1!E14</f>
        <v>село Половинное, Краснозерский муниципальный район</v>
      </c>
    </row>
    <row r="6" spans="1:3" x14ac:dyDescent="0.2">
      <c r="A6" s="8"/>
      <c r="B6" s="9" t="str">
        <f>IF([15]И1!E15="","",[15]И1!D15)</f>
        <v/>
      </c>
      <c r="C6" s="10" t="str">
        <f>IF([15]И1!E15="","",[15]И1!E15)</f>
        <v/>
      </c>
    </row>
    <row r="7" spans="1:3" x14ac:dyDescent="0.2">
      <c r="A7" s="8"/>
      <c r="B7" s="9" t="str">
        <f>[15]И1!D16</f>
        <v>Код ОКТМО</v>
      </c>
      <c r="C7" s="11" t="str">
        <f>[15]И1!E16</f>
        <v xml:space="preserve"> (50627437101)</v>
      </c>
    </row>
    <row r="8" spans="1:3" x14ac:dyDescent="0.2">
      <c r="A8" s="8"/>
      <c r="B8" s="12" t="str">
        <f>[15]И1!D17</f>
        <v>Система теплоснабжения</v>
      </c>
      <c r="C8" s="13">
        <f>[15]И1!E17</f>
        <v>0</v>
      </c>
    </row>
    <row r="9" spans="1:3" x14ac:dyDescent="0.2">
      <c r="A9" s="8"/>
      <c r="B9" s="9" t="str">
        <f>[15]И1!D8</f>
        <v>Период регулирования (i)-й</v>
      </c>
      <c r="C9" s="14">
        <f>[15]И1!E8</f>
        <v>2023</v>
      </c>
    </row>
    <row r="10" spans="1:3" x14ac:dyDescent="0.2">
      <c r="A10" s="8"/>
      <c r="B10" s="9" t="str">
        <f>[15]И1!D9</f>
        <v>Период регулирования (i-1)-й</v>
      </c>
      <c r="C10" s="14">
        <f>[15]И1!E9</f>
        <v>2022</v>
      </c>
    </row>
    <row r="11" spans="1:3" x14ac:dyDescent="0.2">
      <c r="A11" s="8"/>
      <c r="B11" s="9" t="str">
        <f>[15]И1!D10</f>
        <v>Период регулирования (i-2)-й</v>
      </c>
      <c r="C11" s="14">
        <f>[15]И1!E10</f>
        <v>2021</v>
      </c>
    </row>
    <row r="12" spans="1:3" x14ac:dyDescent="0.2">
      <c r="A12" s="8"/>
      <c r="B12" s="9" t="str">
        <f>[15]И1!D11</f>
        <v>Базовый год (б)</v>
      </c>
      <c r="C12" s="14">
        <f>[15]И1!E11</f>
        <v>2019</v>
      </c>
    </row>
    <row r="13" spans="1:3" ht="38.25" x14ac:dyDescent="0.2">
      <c r="A13" s="8"/>
      <c r="B13" s="9" t="str">
        <f>[15]И1!D18</f>
        <v>Вид топлива, использование которого преобладает в системе теплоснабжения</v>
      </c>
      <c r="C13" s="15" t="str">
        <f>[15]С1.1!E13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3902.3621271517313</v>
      </c>
    </row>
    <row r="18" spans="1:3" ht="42.75" x14ac:dyDescent="0.2">
      <c r="A18" s="22" t="s">
        <v>8</v>
      </c>
      <c r="B18" s="25" t="s">
        <v>9</v>
      </c>
      <c r="C18" s="26">
        <f>[15]С1!F12</f>
        <v>829.72802722322888</v>
      </c>
    </row>
    <row r="19" spans="1:3" ht="42.75" x14ac:dyDescent="0.2">
      <c r="A19" s="22" t="s">
        <v>10</v>
      </c>
      <c r="B19" s="25" t="s">
        <v>11</v>
      </c>
      <c r="C19" s="26">
        <f>[15]С2!F12</f>
        <v>2106.0579468653982</v>
      </c>
    </row>
    <row r="20" spans="1:3" ht="30" x14ac:dyDescent="0.2">
      <c r="A20" s="22" t="s">
        <v>12</v>
      </c>
      <c r="B20" s="25" t="s">
        <v>13</v>
      </c>
      <c r="C20" s="26">
        <f>[15]С3!F12</f>
        <v>503.83473408478085</v>
      </c>
    </row>
    <row r="21" spans="1:3" ht="42.75" x14ac:dyDescent="0.2">
      <c r="A21" s="22" t="s">
        <v>14</v>
      </c>
      <c r="B21" s="25" t="s">
        <v>15</v>
      </c>
      <c r="C21" s="26">
        <f>[15]С4!F12</f>
        <v>386.22451452436775</v>
      </c>
    </row>
    <row r="22" spans="1:3" ht="30" x14ac:dyDescent="0.2">
      <c r="A22" s="22" t="s">
        <v>16</v>
      </c>
      <c r="B22" s="25" t="s">
        <v>17</v>
      </c>
      <c r="C22" s="26">
        <f>[15]С5!F12</f>
        <v>76.516904453955519</v>
      </c>
    </row>
    <row r="23" spans="1:3" ht="43.5" thickBot="1" x14ac:dyDescent="0.25">
      <c r="A23" s="27" t="s">
        <v>18</v>
      </c>
      <c r="B23" s="120" t="s">
        <v>19</v>
      </c>
      <c r="C23" s="29" t="str">
        <f>[15]С6!F12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[15]С1.1!E16</f>
        <v>5100</v>
      </c>
    </row>
    <row r="29" spans="1:3" ht="42.75" x14ac:dyDescent="0.2">
      <c r="A29" s="22" t="s">
        <v>10</v>
      </c>
      <c r="B29" s="34" t="s">
        <v>22</v>
      </c>
      <c r="C29" s="35">
        <f>[15]С1.1!E27</f>
        <v>2231</v>
      </c>
    </row>
    <row r="30" spans="1:3" ht="17.25" x14ac:dyDescent="0.2">
      <c r="A30" s="22" t="s">
        <v>12</v>
      </c>
      <c r="B30" s="34" t="s">
        <v>23</v>
      </c>
      <c r="C30" s="36">
        <f>[15]С1.1!E19</f>
        <v>0.59499999999999997</v>
      </c>
    </row>
    <row r="31" spans="1:3" ht="17.25" x14ac:dyDescent="0.2">
      <c r="A31" s="22" t="s">
        <v>14</v>
      </c>
      <c r="B31" s="34" t="s">
        <v>24</v>
      </c>
      <c r="C31" s="36">
        <f>[15]С1.1!E20</f>
        <v>-0.113</v>
      </c>
    </row>
    <row r="32" spans="1:3" ht="30" x14ac:dyDescent="0.2">
      <c r="A32" s="22" t="s">
        <v>16</v>
      </c>
      <c r="B32" s="37" t="s">
        <v>25</v>
      </c>
      <c r="C32" s="38">
        <f>[15]С1!F13</f>
        <v>176.4</v>
      </c>
    </row>
    <row r="33" spans="1:3" x14ac:dyDescent="0.2">
      <c r="A33" s="22" t="s">
        <v>18</v>
      </c>
      <c r="B33" s="37" t="s">
        <v>26</v>
      </c>
      <c r="C33" s="39">
        <f>[15]С1!F16</f>
        <v>7000</v>
      </c>
    </row>
    <row r="34" spans="1:3" ht="14.25" x14ac:dyDescent="0.2">
      <c r="A34" s="22" t="s">
        <v>27</v>
      </c>
      <c r="B34" s="40" t="s">
        <v>28</v>
      </c>
      <c r="C34" s="41">
        <f>[15]С1!F17</f>
        <v>0.72857142857142854</v>
      </c>
    </row>
    <row r="35" spans="1:3" ht="15.75" x14ac:dyDescent="0.2">
      <c r="A35" s="42" t="s">
        <v>29</v>
      </c>
      <c r="B35" s="43" t="s">
        <v>30</v>
      </c>
      <c r="C35" s="41">
        <f>[15]С1!F20</f>
        <v>21.588411179999994</v>
      </c>
    </row>
    <row r="36" spans="1:3" ht="15.75" x14ac:dyDescent="0.2">
      <c r="A36" s="42" t="s">
        <v>31</v>
      </c>
      <c r="B36" s="44" t="s">
        <v>32</v>
      </c>
      <c r="C36" s="41">
        <f>[15]С1!F21</f>
        <v>20.818139999999996</v>
      </c>
    </row>
    <row r="37" spans="1:3" ht="14.25" x14ac:dyDescent="0.2">
      <c r="A37" s="42" t="s">
        <v>33</v>
      </c>
      <c r="B37" s="45" t="s">
        <v>34</v>
      </c>
      <c r="C37" s="41">
        <f>[15]С1!F22</f>
        <v>1.0369999999999999</v>
      </c>
    </row>
    <row r="38" spans="1:3" ht="53.25" thickBot="1" x14ac:dyDescent="0.25">
      <c r="A38" s="27" t="s">
        <v>35</v>
      </c>
      <c r="B38" s="46" t="s">
        <v>36</v>
      </c>
      <c r="C38" s="47">
        <f>[15]С1!F23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[15]С2.1!E12</f>
        <v>V</v>
      </c>
    </row>
    <row r="42" spans="1:3" ht="25.5" x14ac:dyDescent="0.2">
      <c r="A42" s="22" t="s">
        <v>41</v>
      </c>
      <c r="B42" s="34" t="s">
        <v>42</v>
      </c>
      <c r="C42" s="52" t="str">
        <f>[15]С2.1!E13</f>
        <v>6 и менее баллов</v>
      </c>
    </row>
    <row r="43" spans="1:3" ht="25.5" x14ac:dyDescent="0.2">
      <c r="A43" s="22" t="s">
        <v>43</v>
      </c>
      <c r="B43" s="34" t="s">
        <v>44</v>
      </c>
      <c r="C43" s="52" t="str">
        <f>[15]С2.1!E14</f>
        <v>от 200 до 500</v>
      </c>
    </row>
    <row r="44" spans="1:3" ht="25.5" x14ac:dyDescent="0.2">
      <c r="A44" s="22" t="s">
        <v>45</v>
      </c>
      <c r="B44" s="34" t="s">
        <v>46</v>
      </c>
      <c r="C44" s="53" t="str">
        <f>[15]С2.1!E15</f>
        <v>нет</v>
      </c>
    </row>
    <row r="45" spans="1:3" ht="30" x14ac:dyDescent="0.2">
      <c r="A45" s="22" t="s">
        <v>47</v>
      </c>
      <c r="B45" s="34" t="s">
        <v>48</v>
      </c>
      <c r="C45" s="35">
        <f>[15]С2!F18</f>
        <v>32402.627334033532</v>
      </c>
    </row>
    <row r="46" spans="1:3" ht="30" x14ac:dyDescent="0.2">
      <c r="A46" s="22" t="s">
        <v>49</v>
      </c>
      <c r="B46" s="54" t="s">
        <v>50</v>
      </c>
      <c r="C46" s="35">
        <f>IF([15]С2!F19&gt;0,[15]С2!F19,[15]С2!F20)</f>
        <v>23441.524932855718</v>
      </c>
    </row>
    <row r="47" spans="1:3" ht="25.5" x14ac:dyDescent="0.2">
      <c r="A47" s="22" t="s">
        <v>51</v>
      </c>
      <c r="B47" s="55" t="s">
        <v>52</v>
      </c>
      <c r="C47" s="35">
        <f>[15]С2.1!E19</f>
        <v>-37</v>
      </c>
    </row>
    <row r="48" spans="1:3" ht="25.5" x14ac:dyDescent="0.2">
      <c r="A48" s="22" t="s">
        <v>53</v>
      </c>
      <c r="B48" s="55" t="s">
        <v>54</v>
      </c>
      <c r="C48" s="35" t="str">
        <f>[15]С2.1!E22</f>
        <v>нет</v>
      </c>
    </row>
    <row r="49" spans="1:3" ht="38.25" x14ac:dyDescent="0.2">
      <c r="A49" s="22" t="s">
        <v>55</v>
      </c>
      <c r="B49" s="56" t="s">
        <v>56</v>
      </c>
      <c r="C49" s="35">
        <f>[15]С2.2!E10</f>
        <v>1287</v>
      </c>
    </row>
    <row r="50" spans="1:3" ht="25.5" x14ac:dyDescent="0.2">
      <c r="A50" s="22" t="s">
        <v>57</v>
      </c>
      <c r="B50" s="57" t="s">
        <v>58</v>
      </c>
      <c r="C50" s="35">
        <f>[15]С2.2!E12</f>
        <v>5.97</v>
      </c>
    </row>
    <row r="51" spans="1:3" ht="52.5" x14ac:dyDescent="0.2">
      <c r="A51" s="22" t="s">
        <v>59</v>
      </c>
      <c r="B51" s="58" t="s">
        <v>60</v>
      </c>
      <c r="C51" s="35">
        <f>[15]С2.2!E13</f>
        <v>1</v>
      </c>
    </row>
    <row r="52" spans="1:3" ht="27.75" x14ac:dyDescent="0.2">
      <c r="A52" s="22" t="s">
        <v>61</v>
      </c>
      <c r="B52" s="57" t="s">
        <v>62</v>
      </c>
      <c r="C52" s="35">
        <f>[15]С2.2!E14</f>
        <v>12104</v>
      </c>
    </row>
    <row r="53" spans="1:3" ht="25.5" x14ac:dyDescent="0.2">
      <c r="A53" s="22" t="s">
        <v>63</v>
      </c>
      <c r="B53" s="58" t="s">
        <v>64</v>
      </c>
      <c r="C53" s="36">
        <f>[15]С2.2!E15</f>
        <v>4.8000000000000001E-2</v>
      </c>
    </row>
    <row r="54" spans="1:3" x14ac:dyDescent="0.2">
      <c r="A54" s="22" t="s">
        <v>65</v>
      </c>
      <c r="B54" s="58" t="s">
        <v>66</v>
      </c>
      <c r="C54" s="35">
        <f>[15]С2.2!E16</f>
        <v>1</v>
      </c>
    </row>
    <row r="55" spans="1:3" ht="15.75" x14ac:dyDescent="0.2">
      <c r="A55" s="22" t="s">
        <v>67</v>
      </c>
      <c r="B55" s="59" t="s">
        <v>68</v>
      </c>
      <c r="C55" s="35">
        <f>[15]С2!F21</f>
        <v>1</v>
      </c>
    </row>
    <row r="56" spans="1:3" ht="30" x14ac:dyDescent="0.2">
      <c r="A56" s="60" t="s">
        <v>69</v>
      </c>
      <c r="B56" s="34" t="s">
        <v>70</v>
      </c>
      <c r="C56" s="35">
        <f>[15]С2!F13</f>
        <v>169640.22915965237</v>
      </c>
    </row>
    <row r="57" spans="1:3" ht="30" x14ac:dyDescent="0.2">
      <c r="A57" s="60" t="s">
        <v>71</v>
      </c>
      <c r="B57" s="59" t="s">
        <v>72</v>
      </c>
      <c r="C57" s="35">
        <f>[15]С2!F14</f>
        <v>113455</v>
      </c>
    </row>
    <row r="58" spans="1:3" ht="15.75" x14ac:dyDescent="0.2">
      <c r="A58" s="60" t="s">
        <v>73</v>
      </c>
      <c r="B58" s="61" t="s">
        <v>74</v>
      </c>
      <c r="C58" s="41">
        <f>[15]С2!F15</f>
        <v>1.071</v>
      </c>
    </row>
    <row r="59" spans="1:3" ht="15.75" x14ac:dyDescent="0.2">
      <c r="A59" s="60" t="s">
        <v>75</v>
      </c>
      <c r="B59" s="61" t="s">
        <v>76</v>
      </c>
      <c r="C59" s="41">
        <f>[15]С2!F16</f>
        <v>1</v>
      </c>
    </row>
    <row r="60" spans="1:3" ht="17.25" x14ac:dyDescent="0.2">
      <c r="A60" s="60" t="s">
        <v>77</v>
      </c>
      <c r="B60" s="59" t="s">
        <v>78</v>
      </c>
      <c r="C60" s="35">
        <f>[15]С2!F17</f>
        <v>1.01</v>
      </c>
    </row>
    <row r="61" spans="1:3" s="64" customFormat="1" ht="14.25" x14ac:dyDescent="0.2">
      <c r="A61" s="60" t="s">
        <v>79</v>
      </c>
      <c r="B61" s="62" t="s">
        <v>80</v>
      </c>
      <c r="C61" s="63">
        <f>[15]С2!F33</f>
        <v>10</v>
      </c>
    </row>
    <row r="62" spans="1:3" ht="30" x14ac:dyDescent="0.2">
      <c r="A62" s="60" t="s">
        <v>81</v>
      </c>
      <c r="B62" s="65" t="s">
        <v>82</v>
      </c>
      <c r="C62" s="35">
        <f>[15]С2!F26</f>
        <v>1123.6482814273334</v>
      </c>
    </row>
    <row r="63" spans="1:3" ht="17.25" x14ac:dyDescent="0.2">
      <c r="A63" s="60" t="s">
        <v>83</v>
      </c>
      <c r="B63" s="54" t="s">
        <v>84</v>
      </c>
      <c r="C63" s="35">
        <f>[15]С2!F27</f>
        <v>0.19354712999999998</v>
      </c>
    </row>
    <row r="64" spans="1:3" ht="17.25" x14ac:dyDescent="0.2">
      <c r="A64" s="60" t="s">
        <v>85</v>
      </c>
      <c r="B64" s="59" t="s">
        <v>86</v>
      </c>
      <c r="C64" s="63">
        <f>[15]С2!F28</f>
        <v>4200</v>
      </c>
    </row>
    <row r="65" spans="1:3" ht="42.75" x14ac:dyDescent="0.2">
      <c r="A65" s="60" t="s">
        <v>87</v>
      </c>
      <c r="B65" s="34" t="s">
        <v>88</v>
      </c>
      <c r="C65" s="35">
        <f>[15]С2!F22</f>
        <v>35717.748653137714</v>
      </c>
    </row>
    <row r="66" spans="1:3" ht="30" x14ac:dyDescent="0.2">
      <c r="A66" s="60" t="s">
        <v>89</v>
      </c>
      <c r="B66" s="61" t="s">
        <v>90</v>
      </c>
      <c r="C66" s="35">
        <f>[15]С2!F23</f>
        <v>1990</v>
      </c>
    </row>
    <row r="67" spans="1:3" ht="30" x14ac:dyDescent="0.2">
      <c r="A67" s="60" t="s">
        <v>91</v>
      </c>
      <c r="B67" s="54" t="s">
        <v>92</v>
      </c>
      <c r="C67" s="35">
        <f>[15]С2.1!E27</f>
        <v>14307.876789999998</v>
      </c>
    </row>
    <row r="68" spans="1:3" ht="38.25" x14ac:dyDescent="0.2">
      <c r="A68" s="60" t="s">
        <v>93</v>
      </c>
      <c r="B68" s="66" t="s">
        <v>94</v>
      </c>
      <c r="C68" s="53">
        <f>[15]С2.3!E21</f>
        <v>0</v>
      </c>
    </row>
    <row r="69" spans="1:3" ht="25.5" x14ac:dyDescent="0.2">
      <c r="A69" s="60" t="s">
        <v>95</v>
      </c>
      <c r="B69" s="67" t="s">
        <v>96</v>
      </c>
      <c r="C69" s="68">
        <f>[15]С2.3!E11</f>
        <v>9.89</v>
      </c>
    </row>
    <row r="70" spans="1:3" ht="25.5" x14ac:dyDescent="0.2">
      <c r="A70" s="60" t="s">
        <v>97</v>
      </c>
      <c r="B70" s="67" t="s">
        <v>98</v>
      </c>
      <c r="C70" s="63">
        <f>[15]С2.3!E13</f>
        <v>300</v>
      </c>
    </row>
    <row r="71" spans="1:3" ht="25.5" x14ac:dyDescent="0.2">
      <c r="A71" s="60" t="s">
        <v>99</v>
      </c>
      <c r="B71" s="66" t="s">
        <v>100</v>
      </c>
      <c r="C71" s="69">
        <f>IF([15]С2.3!E22&gt;0,[15]С2.3!E22,[15]С2.3!E14)</f>
        <v>61211</v>
      </c>
    </row>
    <row r="72" spans="1:3" ht="38.25" x14ac:dyDescent="0.2">
      <c r="A72" s="60" t="s">
        <v>101</v>
      </c>
      <c r="B72" s="66" t="s">
        <v>102</v>
      </c>
      <c r="C72" s="69">
        <f>IF([15]С2.3!E23&gt;0,[15]С2.3!E23,[15]С2.3!E15)</f>
        <v>45675</v>
      </c>
    </row>
    <row r="73" spans="1:3" ht="30" x14ac:dyDescent="0.2">
      <c r="A73" s="60" t="s">
        <v>103</v>
      </c>
      <c r="B73" s="54" t="s">
        <v>104</v>
      </c>
      <c r="C73" s="35">
        <f>[15]С2.1!E28</f>
        <v>9541.9567200000001</v>
      </c>
    </row>
    <row r="74" spans="1:3" ht="38.25" x14ac:dyDescent="0.2">
      <c r="A74" s="60" t="s">
        <v>105</v>
      </c>
      <c r="B74" s="66" t="s">
        <v>106</v>
      </c>
      <c r="C74" s="53">
        <f>[15]С2.3!E25</f>
        <v>0</v>
      </c>
    </row>
    <row r="75" spans="1:3" ht="25.5" x14ac:dyDescent="0.2">
      <c r="A75" s="60" t="s">
        <v>107</v>
      </c>
      <c r="B75" s="67" t="s">
        <v>108</v>
      </c>
      <c r="C75" s="68">
        <f>[15]С2.3!E12</f>
        <v>0.56000000000000005</v>
      </c>
    </row>
    <row r="76" spans="1:3" ht="25.5" x14ac:dyDescent="0.2">
      <c r="A76" s="60" t="s">
        <v>109</v>
      </c>
      <c r="B76" s="67" t="s">
        <v>98</v>
      </c>
      <c r="C76" s="63">
        <f>[15]С2.3!E13</f>
        <v>300</v>
      </c>
    </row>
    <row r="77" spans="1:3" ht="25.5" x14ac:dyDescent="0.2">
      <c r="A77" s="60" t="s">
        <v>110</v>
      </c>
      <c r="B77" s="70" t="s">
        <v>111</v>
      </c>
      <c r="C77" s="69">
        <f>IF([15]С2.3!E26&gt;0,[15]С2.3!E26,[15]С2.3!E16)</f>
        <v>65637</v>
      </c>
    </row>
    <row r="78" spans="1:3" ht="38.25" x14ac:dyDescent="0.2">
      <c r="A78" s="60" t="s">
        <v>112</v>
      </c>
      <c r="B78" s="70" t="s">
        <v>113</v>
      </c>
      <c r="C78" s="69">
        <f>IF([15]С2.3!E27&gt;0,[15]С2.3!E27,[15]С2.3!E17)</f>
        <v>31684</v>
      </c>
    </row>
    <row r="79" spans="1:3" ht="17.25" x14ac:dyDescent="0.2">
      <c r="A79" s="60" t="s">
        <v>114</v>
      </c>
      <c r="B79" s="34" t="s">
        <v>115</v>
      </c>
      <c r="C79" s="36">
        <f>[15]С2!F29</f>
        <v>0.128978033685065</v>
      </c>
    </row>
    <row r="80" spans="1:3" ht="30" x14ac:dyDescent="0.2">
      <c r="A80" s="60" t="s">
        <v>116</v>
      </c>
      <c r="B80" s="54" t="s">
        <v>117</v>
      </c>
      <c r="C80" s="71">
        <f>[15]С2!F30</f>
        <v>0.11668498168498169</v>
      </c>
    </row>
    <row r="81" spans="1:3" ht="17.25" x14ac:dyDescent="0.2">
      <c r="A81" s="60" t="s">
        <v>118</v>
      </c>
      <c r="B81" s="72" t="s">
        <v>119</v>
      </c>
      <c r="C81" s="36">
        <f>[15]С2!F31</f>
        <v>0.13880000000000001</v>
      </c>
    </row>
    <row r="82" spans="1:3" s="64" customFormat="1" ht="18" thickBot="1" x14ac:dyDescent="0.25">
      <c r="A82" s="73" t="s">
        <v>120</v>
      </c>
      <c r="B82" s="74" t="s">
        <v>121</v>
      </c>
      <c r="C82" s="75">
        <f>[15]С2!F32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[15]С3!F14</f>
        <v>6998.3755440420418</v>
      </c>
    </row>
    <row r="86" spans="1:3" s="64" customFormat="1" ht="42.75" x14ac:dyDescent="0.2">
      <c r="A86" s="78" t="s">
        <v>126</v>
      </c>
      <c r="B86" s="54" t="s">
        <v>127</v>
      </c>
      <c r="C86" s="79">
        <f>[15]С3!F15</f>
        <v>0.2</v>
      </c>
    </row>
    <row r="87" spans="1:3" s="64" customFormat="1" ht="14.25" x14ac:dyDescent="0.2">
      <c r="A87" s="78" t="s">
        <v>128</v>
      </c>
      <c r="B87" s="80" t="s">
        <v>129</v>
      </c>
      <c r="C87" s="63">
        <f>[15]С3!F18</f>
        <v>15</v>
      </c>
    </row>
    <row r="88" spans="1:3" s="64" customFormat="1" ht="17.25" x14ac:dyDescent="0.2">
      <c r="A88" s="78" t="s">
        <v>130</v>
      </c>
      <c r="B88" s="34" t="s">
        <v>131</v>
      </c>
      <c r="C88" s="35">
        <f>[15]С3!F19</f>
        <v>3487.1555421534131</v>
      </c>
    </row>
    <row r="89" spans="1:3" s="64" customFormat="1" ht="55.5" x14ac:dyDescent="0.2">
      <c r="A89" s="78" t="s">
        <v>132</v>
      </c>
      <c r="B89" s="54" t="s">
        <v>133</v>
      </c>
      <c r="C89" s="81">
        <f>[15]С3!F20</f>
        <v>2.1999999999999999E-2</v>
      </c>
    </row>
    <row r="90" spans="1:3" s="64" customFormat="1" ht="14.25" x14ac:dyDescent="0.2">
      <c r="A90" s="78" t="s">
        <v>134</v>
      </c>
      <c r="B90" s="59" t="s">
        <v>80</v>
      </c>
      <c r="C90" s="63">
        <f>[15]С3!F21</f>
        <v>10</v>
      </c>
    </row>
    <row r="91" spans="1:3" s="64" customFormat="1" ht="17.25" x14ac:dyDescent="0.2">
      <c r="A91" s="78" t="s">
        <v>135</v>
      </c>
      <c r="B91" s="34" t="s">
        <v>136</v>
      </c>
      <c r="C91" s="35">
        <f>[15]С3!F22</f>
        <v>3.370944844282</v>
      </c>
    </row>
    <row r="92" spans="1:3" s="64" customFormat="1" ht="55.5" x14ac:dyDescent="0.2">
      <c r="A92" s="78" t="s">
        <v>137</v>
      </c>
      <c r="B92" s="54" t="s">
        <v>138</v>
      </c>
      <c r="C92" s="81">
        <f>[15]С3!F23</f>
        <v>3.0000000000000001E-3</v>
      </c>
    </row>
    <row r="93" spans="1:3" s="64" customFormat="1" ht="27.75" thickBot="1" x14ac:dyDescent="0.25">
      <c r="A93" s="82" t="s">
        <v>139</v>
      </c>
      <c r="B93" s="83" t="s">
        <v>140</v>
      </c>
      <c r="C93" s="84">
        <f>[15]С3!F24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[15]С4!F16</f>
        <v>1652.5</v>
      </c>
    </row>
    <row r="97" spans="1:3" ht="30" x14ac:dyDescent="0.2">
      <c r="A97" s="60" t="s">
        <v>145</v>
      </c>
      <c r="B97" s="59" t="s">
        <v>146</v>
      </c>
      <c r="C97" s="35">
        <f>[15]С4!F17</f>
        <v>73547</v>
      </c>
    </row>
    <row r="98" spans="1:3" ht="17.25" x14ac:dyDescent="0.2">
      <c r="A98" s="60" t="s">
        <v>147</v>
      </c>
      <c r="B98" s="59" t="s">
        <v>148</v>
      </c>
      <c r="C98" s="41">
        <f>[15]С4!F18</f>
        <v>0.02</v>
      </c>
    </row>
    <row r="99" spans="1:3" ht="30" x14ac:dyDescent="0.2">
      <c r="A99" s="60" t="s">
        <v>149</v>
      </c>
      <c r="B99" s="59" t="s">
        <v>150</v>
      </c>
      <c r="C99" s="35">
        <f>[15]С4!F19</f>
        <v>12104</v>
      </c>
    </row>
    <row r="100" spans="1:3" ht="31.5" x14ac:dyDescent="0.2">
      <c r="A100" s="60" t="s">
        <v>151</v>
      </c>
      <c r="B100" s="59" t="s">
        <v>152</v>
      </c>
      <c r="C100" s="41">
        <f>[15]С4!F20</f>
        <v>1.4999999999999999E-2</v>
      </c>
    </row>
    <row r="101" spans="1:3" ht="30" x14ac:dyDescent="0.2">
      <c r="A101" s="60" t="s">
        <v>153</v>
      </c>
      <c r="B101" s="34" t="s">
        <v>154</v>
      </c>
      <c r="C101" s="35">
        <f>[15]С4!F21</f>
        <v>1933.1949342509995</v>
      </c>
    </row>
    <row r="102" spans="1:3" ht="24" customHeight="1" x14ac:dyDescent="0.2">
      <c r="A102" s="60" t="s">
        <v>155</v>
      </c>
      <c r="B102" s="54" t="s">
        <v>156</v>
      </c>
      <c r="C102" s="86">
        <f>IF([15]С4.2!F8="да",[15]С4.2!D21,[15]С4.2!D15)</f>
        <v>0</v>
      </c>
    </row>
    <row r="103" spans="1:3" ht="68.25" x14ac:dyDescent="0.2">
      <c r="A103" s="60" t="s">
        <v>157</v>
      </c>
      <c r="B103" s="54" t="s">
        <v>158</v>
      </c>
      <c r="C103" s="35">
        <f>[15]С4!F22</f>
        <v>3.6112641666666665</v>
      </c>
    </row>
    <row r="104" spans="1:3" ht="30" x14ac:dyDescent="0.2">
      <c r="A104" s="60" t="s">
        <v>159</v>
      </c>
      <c r="B104" s="59" t="s">
        <v>160</v>
      </c>
      <c r="C104" s="35">
        <f>[15]С4!F23</f>
        <v>180</v>
      </c>
    </row>
    <row r="105" spans="1:3" ht="14.25" x14ac:dyDescent="0.2">
      <c r="A105" s="60" t="s">
        <v>161</v>
      </c>
      <c r="B105" s="54" t="s">
        <v>162</v>
      </c>
      <c r="C105" s="35">
        <f>[15]С4!F24</f>
        <v>8497.1999999999989</v>
      </c>
    </row>
    <row r="106" spans="1:3" ht="14.25" x14ac:dyDescent="0.2">
      <c r="A106" s="60" t="s">
        <v>163</v>
      </c>
      <c r="B106" s="59" t="s">
        <v>164</v>
      </c>
      <c r="C106" s="41">
        <f>[15]С4!F25</f>
        <v>0.35</v>
      </c>
    </row>
    <row r="107" spans="1:3" ht="17.25" x14ac:dyDescent="0.2">
      <c r="A107" s="60" t="s">
        <v>165</v>
      </c>
      <c r="B107" s="34" t="s">
        <v>166</v>
      </c>
      <c r="C107" s="35">
        <f>[15]С4!F26</f>
        <v>63.594029999999997</v>
      </c>
    </row>
    <row r="108" spans="1:3" ht="25.5" x14ac:dyDescent="0.2">
      <c r="A108" s="60" t="s">
        <v>167</v>
      </c>
      <c r="B108" s="54" t="s">
        <v>94</v>
      </c>
      <c r="C108" s="86">
        <f>[15]С4.3!E16</f>
        <v>0</v>
      </c>
    </row>
    <row r="109" spans="1:3" ht="25.5" x14ac:dyDescent="0.2">
      <c r="A109" s="60" t="s">
        <v>168</v>
      </c>
      <c r="B109" s="54" t="s">
        <v>169</v>
      </c>
      <c r="C109" s="35">
        <f>[15]С4.3!E17</f>
        <v>15.25</v>
      </c>
    </row>
    <row r="110" spans="1:3" ht="38.25" x14ac:dyDescent="0.2">
      <c r="A110" s="60" t="s">
        <v>170</v>
      </c>
      <c r="B110" s="54" t="s">
        <v>106</v>
      </c>
      <c r="C110" s="86">
        <f>[15]С4.3!E18</f>
        <v>0</v>
      </c>
    </row>
    <row r="111" spans="1:3" x14ac:dyDescent="0.2">
      <c r="A111" s="60" t="s">
        <v>171</v>
      </c>
      <c r="B111" s="54" t="s">
        <v>172</v>
      </c>
      <c r="C111" s="35">
        <f>[15]С4.3!E19</f>
        <v>49.57</v>
      </c>
    </row>
    <row r="112" spans="1:3" x14ac:dyDescent="0.2">
      <c r="A112" s="60" t="s">
        <v>173</v>
      </c>
      <c r="B112" s="59" t="s">
        <v>174</v>
      </c>
      <c r="C112" s="35">
        <f>[15]С4.3!E11</f>
        <v>1871</v>
      </c>
    </row>
    <row r="113" spans="1:3" x14ac:dyDescent="0.2">
      <c r="A113" s="60" t="s">
        <v>175</v>
      </c>
      <c r="B113" s="59" t="s">
        <v>176</v>
      </c>
      <c r="C113" s="53">
        <f>[15]С4.3!E12</f>
        <v>1636</v>
      </c>
    </row>
    <row r="114" spans="1:3" x14ac:dyDescent="0.2">
      <c r="A114" s="60" t="s">
        <v>177</v>
      </c>
      <c r="B114" s="59" t="s">
        <v>178</v>
      </c>
      <c r="C114" s="53">
        <f>[15]С4.3!E13</f>
        <v>204</v>
      </c>
    </row>
    <row r="115" spans="1:3" ht="30" x14ac:dyDescent="0.2">
      <c r="A115" s="60" t="s">
        <v>179</v>
      </c>
      <c r="B115" s="34" t="s">
        <v>180</v>
      </c>
      <c r="C115" s="35">
        <f>[15]С4!F27</f>
        <v>776.44759830395003</v>
      </c>
    </row>
    <row r="116" spans="1:3" ht="25.5" x14ac:dyDescent="0.2">
      <c r="A116" s="60" t="s">
        <v>181</v>
      </c>
      <c r="B116" s="54" t="s">
        <v>182</v>
      </c>
      <c r="C116" s="35">
        <f>[15]С4!F28</f>
        <v>596.34992189243474</v>
      </c>
    </row>
    <row r="117" spans="1:3" ht="42.75" x14ac:dyDescent="0.2">
      <c r="A117" s="60" t="s">
        <v>183</v>
      </c>
      <c r="B117" s="54" t="s">
        <v>184</v>
      </c>
      <c r="C117" s="35">
        <f>[15]С4!F29</f>
        <v>180.09767641151529</v>
      </c>
    </row>
    <row r="118" spans="1:3" ht="30" x14ac:dyDescent="0.2">
      <c r="A118" s="60" t="s">
        <v>185</v>
      </c>
      <c r="B118" s="40" t="s">
        <v>186</v>
      </c>
      <c r="C118" s="35">
        <f>[15]С4!F30</f>
        <v>1922.8922430177499</v>
      </c>
    </row>
    <row r="119" spans="1:3" ht="42.75" x14ac:dyDescent="0.2">
      <c r="A119" s="60" t="s">
        <v>187</v>
      </c>
      <c r="B119" s="87" t="s">
        <v>188</v>
      </c>
      <c r="C119" s="35">
        <f>[15]С4!F33</f>
        <v>1226.1782772859892</v>
      </c>
    </row>
    <row r="120" spans="1:3" ht="30" x14ac:dyDescent="0.2">
      <c r="A120" s="60" t="s">
        <v>189</v>
      </c>
      <c r="B120" s="88" t="s">
        <v>190</v>
      </c>
      <c r="C120" s="35">
        <f>[15]С4!F35</f>
        <v>17.040680999999999</v>
      </c>
    </row>
    <row r="121" spans="1:3" ht="14.25" x14ac:dyDescent="0.2">
      <c r="A121" s="60" t="s">
        <v>191</v>
      </c>
      <c r="B121" s="57" t="s">
        <v>192</v>
      </c>
      <c r="C121" s="35">
        <f>[15]С4!F36</f>
        <v>14319.9</v>
      </c>
    </row>
    <row r="122" spans="1:3" ht="28.5" thickBot="1" x14ac:dyDescent="0.25">
      <c r="A122" s="73" t="s">
        <v>193</v>
      </c>
      <c r="B122" s="89" t="s">
        <v>194</v>
      </c>
      <c r="C122" s="84">
        <f>[15]С4!F37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[15]С5!F17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[15]С2!F37</f>
        <v>20.818139999999996</v>
      </c>
    </row>
    <row r="136" spans="1:4" ht="14.25" x14ac:dyDescent="0.2">
      <c r="A136" s="60" t="s">
        <v>216</v>
      </c>
      <c r="B136" s="102" t="s">
        <v>217</v>
      </c>
      <c r="C136" s="35">
        <f>[15]С2!F38</f>
        <v>7</v>
      </c>
    </row>
    <row r="137" spans="1:4" ht="17.25" x14ac:dyDescent="0.2">
      <c r="A137" s="60" t="s">
        <v>218</v>
      </c>
      <c r="B137" s="102" t="s">
        <v>219</v>
      </c>
      <c r="C137" s="35">
        <f>[15]С2!F40</f>
        <v>0.97</v>
      </c>
    </row>
    <row r="138" spans="1:4" ht="15" thickBot="1" x14ac:dyDescent="0.25">
      <c r="A138" s="73" t="s">
        <v>220</v>
      </c>
      <c r="B138" s="103" t="s">
        <v>221</v>
      </c>
      <c r="C138" s="47">
        <f>[15]С2!F42</f>
        <v>0.35</v>
      </c>
    </row>
    <row r="139" spans="1:4" s="90" customFormat="1" ht="13.5" thickBot="1" x14ac:dyDescent="0.25">
      <c r="A139" s="48"/>
      <c r="B139" s="76"/>
      <c r="C139" s="15"/>
    </row>
    <row r="140" spans="1:4" ht="30" x14ac:dyDescent="0.2">
      <c r="A140" s="85" t="s">
        <v>222</v>
      </c>
      <c r="B140" s="104" t="s">
        <v>223</v>
      </c>
      <c r="C140" s="105">
        <f>[15]С2!F35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[15]С2.5!$E$11</f>
        <v>-2.9000000000000026E-2</v>
      </c>
      <c r="D143" s="90"/>
    </row>
    <row r="144" spans="1:4" x14ac:dyDescent="0.2">
      <c r="A144" s="107"/>
      <c r="B144" s="112">
        <f>B143+1</f>
        <v>2021</v>
      </c>
      <c r="C144" s="113">
        <f>[15]С2.5!$F$11</f>
        <v>0.245</v>
      </c>
      <c r="D144" s="90"/>
    </row>
    <row r="145" spans="1:4" x14ac:dyDescent="0.2">
      <c r="A145" s="107"/>
      <c r="B145" s="112">
        <f t="shared" ref="B145:B208" si="0">B144+1</f>
        <v>2022</v>
      </c>
      <c r="C145" s="113">
        <f>[15]С2.5!$G$11</f>
        <v>0.121</v>
      </c>
      <c r="D145" s="90"/>
    </row>
    <row r="146" spans="1:4" ht="13.5" thickBot="1" x14ac:dyDescent="0.25">
      <c r="A146" s="107"/>
      <c r="B146" s="114">
        <f t="shared" si="0"/>
        <v>2023</v>
      </c>
      <c r="C146" s="115">
        <f>[15]С2.5!$H$11</f>
        <v>0.02</v>
      </c>
      <c r="D146" s="90"/>
    </row>
    <row r="147" spans="1:4" hidden="1" x14ac:dyDescent="0.2">
      <c r="A147" s="107"/>
      <c r="B147" s="116">
        <f t="shared" si="0"/>
        <v>2024</v>
      </c>
      <c r="C147" s="117">
        <f>[15]С2.5!$I$11</f>
        <v>-2.93E-2</v>
      </c>
      <c r="D147" s="90"/>
    </row>
    <row r="148" spans="1:4" hidden="1" x14ac:dyDescent="0.2">
      <c r="A148" s="107"/>
      <c r="B148" s="112">
        <f t="shared" si="0"/>
        <v>2025</v>
      </c>
      <c r="C148" s="113">
        <f>[15]С2.5!$J$11</f>
        <v>0.21215960863291</v>
      </c>
      <c r="D148" s="90"/>
    </row>
    <row r="149" spans="1:4" hidden="1" x14ac:dyDescent="0.2">
      <c r="A149" s="107"/>
      <c r="B149" s="112">
        <f t="shared" si="0"/>
        <v>2026</v>
      </c>
      <c r="C149" s="113">
        <f>[15]С2.5!$K$11</f>
        <v>3.5813361771260002E-2</v>
      </c>
      <c r="D149" s="90"/>
    </row>
    <row r="150" spans="1:4" hidden="1" x14ac:dyDescent="0.2">
      <c r="A150" s="107"/>
      <c r="B150" s="112">
        <f t="shared" si="0"/>
        <v>2027</v>
      </c>
      <c r="C150" s="113">
        <f>[15]С2.5!$L$11</f>
        <v>3.2682303599220003E-2</v>
      </c>
      <c r="D150" s="90"/>
    </row>
    <row r="151" spans="1:4" hidden="1" x14ac:dyDescent="0.2">
      <c r="A151" s="107"/>
      <c r="B151" s="112">
        <f t="shared" si="0"/>
        <v>2028</v>
      </c>
      <c r="C151" s="113">
        <f>[15]С2.5!$M$11</f>
        <v>0</v>
      </c>
      <c r="D151" s="90"/>
    </row>
    <row r="152" spans="1:4" hidden="1" x14ac:dyDescent="0.2">
      <c r="A152" s="107"/>
      <c r="B152" s="112">
        <f t="shared" si="0"/>
        <v>2029</v>
      </c>
      <c r="C152" s="113">
        <f>[15]С2.5!$N$11</f>
        <v>0</v>
      </c>
      <c r="D152" s="90"/>
    </row>
    <row r="153" spans="1:4" hidden="1" x14ac:dyDescent="0.2">
      <c r="A153" s="107"/>
      <c r="B153" s="112">
        <f t="shared" si="0"/>
        <v>2030</v>
      </c>
      <c r="C153" s="113">
        <f>[15]С2.5!$O$11</f>
        <v>0</v>
      </c>
      <c r="D153" s="90"/>
    </row>
    <row r="154" spans="1:4" hidden="1" x14ac:dyDescent="0.2">
      <c r="A154" s="107"/>
      <c r="B154" s="112">
        <f t="shared" si="0"/>
        <v>2031</v>
      </c>
      <c r="C154" s="113">
        <f>[15]С2.5!$P$11</f>
        <v>0</v>
      </c>
      <c r="D154" s="90"/>
    </row>
    <row r="155" spans="1:4" hidden="1" x14ac:dyDescent="0.2">
      <c r="A155" s="90"/>
      <c r="B155" s="112">
        <f t="shared" si="0"/>
        <v>2032</v>
      </c>
      <c r="C155" s="113">
        <f>[15]С2.5!$Q$11</f>
        <v>0</v>
      </c>
      <c r="D155" s="90"/>
    </row>
    <row r="156" spans="1:4" hidden="1" x14ac:dyDescent="0.2">
      <c r="A156" s="90"/>
      <c r="B156" s="112">
        <f t="shared" si="0"/>
        <v>2033</v>
      </c>
      <c r="C156" s="113">
        <f>[15]С2.5!$R$11</f>
        <v>0</v>
      </c>
      <c r="D156" s="90"/>
    </row>
    <row r="157" spans="1:4" hidden="1" x14ac:dyDescent="0.2">
      <c r="B157" s="112">
        <f t="shared" si="0"/>
        <v>2034</v>
      </c>
      <c r="C157" s="113">
        <f>[15]С2.5!$S$11</f>
        <v>0</v>
      </c>
    </row>
    <row r="158" spans="1:4" hidden="1" x14ac:dyDescent="0.2">
      <c r="B158" s="112">
        <f t="shared" si="0"/>
        <v>2035</v>
      </c>
      <c r="C158" s="113">
        <f>[15]С2.5!$T$11</f>
        <v>0</v>
      </c>
    </row>
    <row r="159" spans="1:4" hidden="1" x14ac:dyDescent="0.2">
      <c r="B159" s="112">
        <f t="shared" si="0"/>
        <v>2036</v>
      </c>
      <c r="C159" s="113">
        <f>[15]С2.5!$U$11</f>
        <v>0</v>
      </c>
    </row>
    <row r="160" spans="1:4" hidden="1" x14ac:dyDescent="0.2">
      <c r="B160" s="112">
        <f t="shared" si="0"/>
        <v>2037</v>
      </c>
      <c r="C160" s="113">
        <f>[15]С2.5!$V$11</f>
        <v>0</v>
      </c>
    </row>
    <row r="161" spans="2:3" hidden="1" x14ac:dyDescent="0.2">
      <c r="B161" s="112">
        <f t="shared" si="0"/>
        <v>2038</v>
      </c>
      <c r="C161" s="113">
        <f>[15]С2.5!$W$11</f>
        <v>0</v>
      </c>
    </row>
    <row r="162" spans="2:3" hidden="1" x14ac:dyDescent="0.2">
      <c r="B162" s="112">
        <f t="shared" si="0"/>
        <v>2039</v>
      </c>
      <c r="C162" s="113">
        <f>[15]С2.5!$X$11</f>
        <v>0</v>
      </c>
    </row>
    <row r="163" spans="2:3" hidden="1" x14ac:dyDescent="0.2">
      <c r="B163" s="112">
        <f t="shared" si="0"/>
        <v>2040</v>
      </c>
      <c r="C163" s="113">
        <f>[15]С2.5!$Y$11</f>
        <v>0</v>
      </c>
    </row>
    <row r="164" spans="2:3" hidden="1" x14ac:dyDescent="0.2">
      <c r="B164" s="112">
        <f t="shared" si="0"/>
        <v>2041</v>
      </c>
      <c r="C164" s="113">
        <f>[15]С2.5!$Z$11</f>
        <v>0</v>
      </c>
    </row>
    <row r="165" spans="2:3" hidden="1" x14ac:dyDescent="0.2">
      <c r="B165" s="112">
        <f t="shared" si="0"/>
        <v>2042</v>
      </c>
      <c r="C165" s="113">
        <f>[15]С2.5!$AA$11</f>
        <v>0</v>
      </c>
    </row>
    <row r="166" spans="2:3" hidden="1" x14ac:dyDescent="0.2">
      <c r="B166" s="112">
        <f t="shared" si="0"/>
        <v>2043</v>
      </c>
      <c r="C166" s="113">
        <f>[15]С2.5!$AB$11</f>
        <v>0</v>
      </c>
    </row>
    <row r="167" spans="2:3" hidden="1" x14ac:dyDescent="0.2">
      <c r="B167" s="112">
        <f t="shared" si="0"/>
        <v>2044</v>
      </c>
      <c r="C167" s="113">
        <f>[15]С2.5!$AC$11</f>
        <v>0</v>
      </c>
    </row>
    <row r="168" spans="2:3" hidden="1" x14ac:dyDescent="0.2">
      <c r="B168" s="112">
        <f t="shared" si="0"/>
        <v>2045</v>
      </c>
      <c r="C168" s="113">
        <f>[15]С2.5!$AD$11</f>
        <v>0</v>
      </c>
    </row>
    <row r="169" spans="2:3" hidden="1" x14ac:dyDescent="0.2">
      <c r="B169" s="112">
        <f t="shared" si="0"/>
        <v>2046</v>
      </c>
      <c r="C169" s="113">
        <f>[15]С2.5!$AE$11</f>
        <v>0</v>
      </c>
    </row>
    <row r="170" spans="2:3" hidden="1" x14ac:dyDescent="0.2">
      <c r="B170" s="112">
        <f t="shared" si="0"/>
        <v>2047</v>
      </c>
      <c r="C170" s="113">
        <f>[15]С2.5!$AF$11</f>
        <v>0</v>
      </c>
    </row>
    <row r="171" spans="2:3" hidden="1" x14ac:dyDescent="0.2">
      <c r="B171" s="112">
        <f t="shared" si="0"/>
        <v>2048</v>
      </c>
      <c r="C171" s="113">
        <f>[15]С2.5!$AG$11</f>
        <v>0</v>
      </c>
    </row>
    <row r="172" spans="2:3" hidden="1" x14ac:dyDescent="0.2">
      <c r="B172" s="112">
        <f t="shared" si="0"/>
        <v>2049</v>
      </c>
      <c r="C172" s="113">
        <f>[15]С2.5!$AH$11</f>
        <v>0</v>
      </c>
    </row>
    <row r="173" spans="2:3" hidden="1" x14ac:dyDescent="0.2">
      <c r="B173" s="112">
        <f t="shared" si="0"/>
        <v>2050</v>
      </c>
      <c r="C173" s="113">
        <f>[15]С2.5!$AI$11</f>
        <v>0</v>
      </c>
    </row>
    <row r="174" spans="2:3" hidden="1" x14ac:dyDescent="0.2">
      <c r="B174" s="112">
        <f t="shared" si="0"/>
        <v>2051</v>
      </c>
      <c r="C174" s="113">
        <f>[15]С2.5!$AJ$11</f>
        <v>0</v>
      </c>
    </row>
    <row r="175" spans="2:3" hidden="1" x14ac:dyDescent="0.2">
      <c r="B175" s="112">
        <f t="shared" si="0"/>
        <v>2052</v>
      </c>
      <c r="C175" s="113">
        <f>[15]С2.5!$AK$11</f>
        <v>0</v>
      </c>
    </row>
    <row r="176" spans="2:3" hidden="1" x14ac:dyDescent="0.2">
      <c r="B176" s="112">
        <f t="shared" si="0"/>
        <v>2053</v>
      </c>
      <c r="C176" s="113">
        <f>[15]С2.5!$AL$11</f>
        <v>0</v>
      </c>
    </row>
    <row r="177" spans="2:3" hidden="1" x14ac:dyDescent="0.2">
      <c r="B177" s="112">
        <f t="shared" si="0"/>
        <v>2054</v>
      </c>
      <c r="C177" s="113">
        <f>[15]С2.5!$AM$11</f>
        <v>0</v>
      </c>
    </row>
    <row r="178" spans="2:3" hidden="1" x14ac:dyDescent="0.2">
      <c r="B178" s="112">
        <f t="shared" si="0"/>
        <v>2055</v>
      </c>
      <c r="C178" s="113">
        <f>[15]С2.5!$AN$11</f>
        <v>0</v>
      </c>
    </row>
    <row r="179" spans="2:3" hidden="1" x14ac:dyDescent="0.2">
      <c r="B179" s="112">
        <f t="shared" si="0"/>
        <v>2056</v>
      </c>
      <c r="C179" s="113">
        <f>[15]С2.5!$AO$11</f>
        <v>0</v>
      </c>
    </row>
    <row r="180" spans="2:3" hidden="1" x14ac:dyDescent="0.2">
      <c r="B180" s="112">
        <f t="shared" si="0"/>
        <v>2057</v>
      </c>
      <c r="C180" s="113">
        <f>[15]С2.5!$AP$11</f>
        <v>0</v>
      </c>
    </row>
    <row r="181" spans="2:3" hidden="1" x14ac:dyDescent="0.2">
      <c r="B181" s="112">
        <f t="shared" si="0"/>
        <v>2058</v>
      </c>
      <c r="C181" s="113">
        <f>[15]С2.5!$AQ$11</f>
        <v>0</v>
      </c>
    </row>
    <row r="182" spans="2:3" hidden="1" x14ac:dyDescent="0.2">
      <c r="B182" s="112">
        <f t="shared" si="0"/>
        <v>2059</v>
      </c>
      <c r="C182" s="113">
        <f>[15]С2.5!$AR$11</f>
        <v>0</v>
      </c>
    </row>
    <row r="183" spans="2:3" hidden="1" x14ac:dyDescent="0.2">
      <c r="B183" s="112">
        <f t="shared" si="0"/>
        <v>2060</v>
      </c>
      <c r="C183" s="113">
        <f>[15]С2.5!$AS$11</f>
        <v>0</v>
      </c>
    </row>
    <row r="184" spans="2:3" hidden="1" x14ac:dyDescent="0.2">
      <c r="B184" s="112">
        <f t="shared" si="0"/>
        <v>2061</v>
      </c>
      <c r="C184" s="113">
        <f>[15]С2.5!$AT$11</f>
        <v>0</v>
      </c>
    </row>
    <row r="185" spans="2:3" hidden="1" x14ac:dyDescent="0.2">
      <c r="B185" s="112">
        <f t="shared" si="0"/>
        <v>2062</v>
      </c>
      <c r="C185" s="113">
        <f>[15]С2.5!$AU$11</f>
        <v>0</v>
      </c>
    </row>
    <row r="186" spans="2:3" hidden="1" x14ac:dyDescent="0.2">
      <c r="B186" s="112">
        <f t="shared" si="0"/>
        <v>2063</v>
      </c>
      <c r="C186" s="113">
        <f>[15]С2.5!$AV$11</f>
        <v>0</v>
      </c>
    </row>
    <row r="187" spans="2:3" hidden="1" x14ac:dyDescent="0.2">
      <c r="B187" s="112">
        <f t="shared" si="0"/>
        <v>2064</v>
      </c>
      <c r="C187" s="113">
        <f>[15]С2.5!$AW$11</f>
        <v>0</v>
      </c>
    </row>
    <row r="188" spans="2:3" hidden="1" x14ac:dyDescent="0.2">
      <c r="B188" s="112">
        <f t="shared" si="0"/>
        <v>2065</v>
      </c>
      <c r="C188" s="113">
        <f>[15]С2.5!$AX$11</f>
        <v>0</v>
      </c>
    </row>
    <row r="189" spans="2:3" hidden="1" x14ac:dyDescent="0.2">
      <c r="B189" s="112">
        <f t="shared" si="0"/>
        <v>2066</v>
      </c>
      <c r="C189" s="113">
        <f>[15]С2.5!$AY$11</f>
        <v>0</v>
      </c>
    </row>
    <row r="190" spans="2:3" hidden="1" x14ac:dyDescent="0.2">
      <c r="B190" s="112">
        <f t="shared" si="0"/>
        <v>2067</v>
      </c>
      <c r="C190" s="113">
        <f>[15]С2.5!$AZ$11</f>
        <v>0</v>
      </c>
    </row>
    <row r="191" spans="2:3" hidden="1" x14ac:dyDescent="0.2">
      <c r="B191" s="112">
        <f t="shared" si="0"/>
        <v>2068</v>
      </c>
      <c r="C191" s="113">
        <f>[15]С2.5!$BA$11</f>
        <v>0</v>
      </c>
    </row>
    <row r="192" spans="2:3" hidden="1" x14ac:dyDescent="0.2">
      <c r="B192" s="112">
        <f t="shared" si="0"/>
        <v>2069</v>
      </c>
      <c r="C192" s="113">
        <f>[15]С2.5!$BB$11</f>
        <v>0</v>
      </c>
    </row>
    <row r="193" spans="2:3" hidden="1" x14ac:dyDescent="0.2">
      <c r="B193" s="112">
        <f t="shared" si="0"/>
        <v>2070</v>
      </c>
      <c r="C193" s="113">
        <f>[15]С2.5!$BC$11</f>
        <v>0</v>
      </c>
    </row>
    <row r="194" spans="2:3" hidden="1" x14ac:dyDescent="0.2">
      <c r="B194" s="112">
        <f t="shared" si="0"/>
        <v>2071</v>
      </c>
      <c r="C194" s="113">
        <f>[15]С2.5!$BD$11</f>
        <v>0</v>
      </c>
    </row>
    <row r="195" spans="2:3" hidden="1" x14ac:dyDescent="0.2">
      <c r="B195" s="112">
        <f t="shared" si="0"/>
        <v>2072</v>
      </c>
      <c r="C195" s="113">
        <f>[15]С2.5!$BE$11</f>
        <v>0</v>
      </c>
    </row>
    <row r="196" spans="2:3" hidden="1" x14ac:dyDescent="0.2">
      <c r="B196" s="112">
        <f t="shared" si="0"/>
        <v>2073</v>
      </c>
      <c r="C196" s="113">
        <f>[15]С2.5!$BF$11</f>
        <v>0</v>
      </c>
    </row>
    <row r="197" spans="2:3" hidden="1" x14ac:dyDescent="0.2">
      <c r="B197" s="112">
        <f t="shared" si="0"/>
        <v>2074</v>
      </c>
      <c r="C197" s="113">
        <f>[15]С2.5!$BG$11</f>
        <v>0</v>
      </c>
    </row>
    <row r="198" spans="2:3" hidden="1" x14ac:dyDescent="0.2">
      <c r="B198" s="112">
        <f t="shared" si="0"/>
        <v>2075</v>
      </c>
      <c r="C198" s="113">
        <f>[15]С2.5!$BH$11</f>
        <v>0</v>
      </c>
    </row>
    <row r="199" spans="2:3" hidden="1" x14ac:dyDescent="0.2">
      <c r="B199" s="112">
        <f t="shared" si="0"/>
        <v>2076</v>
      </c>
      <c r="C199" s="113">
        <f>[15]С2.5!$BI$11</f>
        <v>0</v>
      </c>
    </row>
    <row r="200" spans="2:3" hidden="1" x14ac:dyDescent="0.2">
      <c r="B200" s="112">
        <f t="shared" si="0"/>
        <v>2077</v>
      </c>
      <c r="C200" s="113">
        <f>[15]С2.5!$BJ$11</f>
        <v>0</v>
      </c>
    </row>
    <row r="201" spans="2:3" hidden="1" x14ac:dyDescent="0.2">
      <c r="B201" s="112">
        <f t="shared" si="0"/>
        <v>2078</v>
      </c>
      <c r="C201" s="113">
        <f>[15]С2.5!$BK$11</f>
        <v>0</v>
      </c>
    </row>
    <row r="202" spans="2:3" hidden="1" x14ac:dyDescent="0.2">
      <c r="B202" s="112">
        <f t="shared" si="0"/>
        <v>2079</v>
      </c>
      <c r="C202" s="113">
        <f>[15]С2.5!$BL$11</f>
        <v>0</v>
      </c>
    </row>
    <row r="203" spans="2:3" hidden="1" x14ac:dyDescent="0.2">
      <c r="B203" s="112">
        <f t="shared" si="0"/>
        <v>2080</v>
      </c>
      <c r="C203" s="113">
        <f>[15]С2.5!$BM$11</f>
        <v>0</v>
      </c>
    </row>
    <row r="204" spans="2:3" hidden="1" x14ac:dyDescent="0.2">
      <c r="B204" s="112">
        <f t="shared" si="0"/>
        <v>2081</v>
      </c>
      <c r="C204" s="113">
        <f>[15]С2.5!$BN$11</f>
        <v>0</v>
      </c>
    </row>
    <row r="205" spans="2:3" hidden="1" x14ac:dyDescent="0.2">
      <c r="B205" s="112">
        <f t="shared" si="0"/>
        <v>2082</v>
      </c>
      <c r="C205" s="113">
        <f>[15]С2.5!$BO$11</f>
        <v>0</v>
      </c>
    </row>
    <row r="206" spans="2:3" hidden="1" x14ac:dyDescent="0.2">
      <c r="B206" s="112">
        <f t="shared" si="0"/>
        <v>2083</v>
      </c>
      <c r="C206" s="113">
        <f>[15]С2.5!$BP$11</f>
        <v>0</v>
      </c>
    </row>
    <row r="207" spans="2:3" hidden="1" x14ac:dyDescent="0.2">
      <c r="B207" s="112">
        <f t="shared" si="0"/>
        <v>2084</v>
      </c>
      <c r="C207" s="113">
        <f>[15]С2.5!$BQ$11</f>
        <v>0</v>
      </c>
    </row>
    <row r="208" spans="2:3" hidden="1" x14ac:dyDescent="0.2">
      <c r="B208" s="112">
        <f t="shared" si="0"/>
        <v>2085</v>
      </c>
      <c r="C208" s="113">
        <f>[15]С2.5!$BR$11</f>
        <v>0</v>
      </c>
    </row>
    <row r="209" spans="2:3" hidden="1" x14ac:dyDescent="0.2">
      <c r="B209" s="112">
        <f t="shared" ref="B209:B223" si="1">B208+1</f>
        <v>2086</v>
      </c>
      <c r="C209" s="113">
        <f>[15]С2.5!$BS$11</f>
        <v>0</v>
      </c>
    </row>
    <row r="210" spans="2:3" hidden="1" x14ac:dyDescent="0.2">
      <c r="B210" s="112">
        <f t="shared" si="1"/>
        <v>2087</v>
      </c>
      <c r="C210" s="113">
        <f>[15]С2.5!$BT$11</f>
        <v>0</v>
      </c>
    </row>
    <row r="211" spans="2:3" hidden="1" x14ac:dyDescent="0.2">
      <c r="B211" s="112">
        <f t="shared" si="1"/>
        <v>2088</v>
      </c>
      <c r="C211" s="113">
        <f>[15]С2.5!$BU$11</f>
        <v>0</v>
      </c>
    </row>
    <row r="212" spans="2:3" hidden="1" x14ac:dyDescent="0.2">
      <c r="B212" s="112">
        <f t="shared" si="1"/>
        <v>2089</v>
      </c>
      <c r="C212" s="113">
        <f>[15]С2.5!$BV$11</f>
        <v>0</v>
      </c>
    </row>
    <row r="213" spans="2:3" hidden="1" x14ac:dyDescent="0.2">
      <c r="B213" s="112">
        <f t="shared" si="1"/>
        <v>2090</v>
      </c>
      <c r="C213" s="113">
        <f>[15]С2.5!$BW$11</f>
        <v>0</v>
      </c>
    </row>
    <row r="214" spans="2:3" hidden="1" x14ac:dyDescent="0.2">
      <c r="B214" s="112">
        <f t="shared" si="1"/>
        <v>2091</v>
      </c>
      <c r="C214" s="113">
        <f>[15]С2.5!$BX$11</f>
        <v>0</v>
      </c>
    </row>
    <row r="215" spans="2:3" hidden="1" x14ac:dyDescent="0.2">
      <c r="B215" s="112">
        <f t="shared" si="1"/>
        <v>2092</v>
      </c>
      <c r="C215" s="113">
        <f>[15]С2.5!$BY$11</f>
        <v>0</v>
      </c>
    </row>
    <row r="216" spans="2:3" hidden="1" x14ac:dyDescent="0.2">
      <c r="B216" s="112">
        <f t="shared" si="1"/>
        <v>2093</v>
      </c>
      <c r="C216" s="113">
        <f>[15]С2.5!$BZ$11</f>
        <v>0</v>
      </c>
    </row>
    <row r="217" spans="2:3" hidden="1" x14ac:dyDescent="0.2">
      <c r="B217" s="112">
        <f t="shared" si="1"/>
        <v>2094</v>
      </c>
      <c r="C217" s="113">
        <f>[15]С2.5!$CA$11</f>
        <v>0</v>
      </c>
    </row>
    <row r="218" spans="2:3" hidden="1" x14ac:dyDescent="0.2">
      <c r="B218" s="112">
        <f t="shared" si="1"/>
        <v>2095</v>
      </c>
      <c r="C218" s="113">
        <f>[15]С2.5!$CB$11</f>
        <v>0</v>
      </c>
    </row>
    <row r="219" spans="2:3" hidden="1" x14ac:dyDescent="0.2">
      <c r="B219" s="112">
        <f t="shared" si="1"/>
        <v>2096</v>
      </c>
      <c r="C219" s="113">
        <f>[15]С2.5!$CC$11</f>
        <v>0</v>
      </c>
    </row>
    <row r="220" spans="2:3" hidden="1" x14ac:dyDescent="0.2">
      <c r="B220" s="112">
        <f t="shared" si="1"/>
        <v>2097</v>
      </c>
      <c r="C220" s="113">
        <f>[15]С2.5!$CD$11</f>
        <v>0</v>
      </c>
    </row>
    <row r="221" spans="2:3" hidden="1" x14ac:dyDescent="0.2">
      <c r="B221" s="112">
        <f t="shared" si="1"/>
        <v>2098</v>
      </c>
      <c r="C221" s="113">
        <f>[15]С2.5!$CE$11</f>
        <v>0</v>
      </c>
    </row>
    <row r="222" spans="2:3" hidden="1" x14ac:dyDescent="0.2">
      <c r="B222" s="112">
        <f t="shared" si="1"/>
        <v>2099</v>
      </c>
      <c r="C222" s="113">
        <f>[15]С2.5!$CF$11</f>
        <v>0</v>
      </c>
    </row>
    <row r="223" spans="2:3" ht="13.5" hidden="1" thickBot="1" x14ac:dyDescent="0.25">
      <c r="B223" s="114">
        <f t="shared" si="1"/>
        <v>2100</v>
      </c>
      <c r="C223" s="115">
        <f>[15]С2.5!$CG$11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Button 1">
              <controlPr defaultSize="0" print="0" autoFill="0" autoPict="0" macro="[15]!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[16]И1!D13</f>
        <v>Субъект Российской Федерации</v>
      </c>
      <c r="C4" s="10" t="str">
        <f>[16]И1!E13</f>
        <v>Новосибирская область</v>
      </c>
    </row>
    <row r="5" spans="1:3" ht="38.25" x14ac:dyDescent="0.2">
      <c r="A5" s="8"/>
      <c r="B5" s="9" t="str">
        <f>[16]И1!D14</f>
        <v>Тип муниципального образования (выберите из списка)</v>
      </c>
      <c r="C5" s="10" t="str">
        <f>[16]И1!E14</f>
        <v>село Полойка, Краснозерский муниципальный район</v>
      </c>
    </row>
    <row r="6" spans="1:3" x14ac:dyDescent="0.2">
      <c r="A6" s="8"/>
      <c r="B6" s="9" t="str">
        <f>IF([16]И1!E15="","",[16]И1!D15)</f>
        <v/>
      </c>
      <c r="C6" s="10" t="str">
        <f>IF([16]И1!E15="","",[16]И1!E15)</f>
        <v/>
      </c>
    </row>
    <row r="7" spans="1:3" x14ac:dyDescent="0.2">
      <c r="A7" s="8"/>
      <c r="B7" s="9" t="str">
        <f>[16]И1!D16</f>
        <v>Код ОКТМО</v>
      </c>
      <c r="C7" s="11" t="str">
        <f>[16]И1!E16</f>
        <v xml:space="preserve"> (50627440101)</v>
      </c>
    </row>
    <row r="8" spans="1:3" x14ac:dyDescent="0.2">
      <c r="A8" s="8"/>
      <c r="B8" s="12" t="str">
        <f>[16]И1!D17</f>
        <v>Система теплоснабжения</v>
      </c>
      <c r="C8" s="13">
        <f>[16]И1!E17</f>
        <v>0</v>
      </c>
    </row>
    <row r="9" spans="1:3" x14ac:dyDescent="0.2">
      <c r="A9" s="8"/>
      <c r="B9" s="9" t="str">
        <f>[16]И1!D8</f>
        <v>Период регулирования (i)-й</v>
      </c>
      <c r="C9" s="14">
        <f>[16]И1!E8</f>
        <v>2023</v>
      </c>
    </row>
    <row r="10" spans="1:3" x14ac:dyDescent="0.2">
      <c r="A10" s="8"/>
      <c r="B10" s="9" t="str">
        <f>[16]И1!D9</f>
        <v>Период регулирования (i-1)-й</v>
      </c>
      <c r="C10" s="14">
        <f>[16]И1!E9</f>
        <v>2022</v>
      </c>
    </row>
    <row r="11" spans="1:3" x14ac:dyDescent="0.2">
      <c r="A11" s="8"/>
      <c r="B11" s="9" t="str">
        <f>[16]И1!D10</f>
        <v>Период регулирования (i-2)-й</v>
      </c>
      <c r="C11" s="14">
        <f>[16]И1!E10</f>
        <v>2021</v>
      </c>
    </row>
    <row r="12" spans="1:3" x14ac:dyDescent="0.2">
      <c r="A12" s="8"/>
      <c r="B12" s="9" t="str">
        <f>[16]И1!D11</f>
        <v>Базовый год (б)</v>
      </c>
      <c r="C12" s="14">
        <f>[16]И1!E11</f>
        <v>2019</v>
      </c>
    </row>
    <row r="13" spans="1:3" ht="38.25" x14ac:dyDescent="0.2">
      <c r="A13" s="8"/>
      <c r="B13" s="9" t="str">
        <f>[16]И1!D18</f>
        <v>Вид топлива, использование которого преобладает в системе теплоснабжения</v>
      </c>
      <c r="C13" s="15" t="str">
        <f>[16]С1.1!E13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4002.5737073327568</v>
      </c>
    </row>
    <row r="18" spans="1:3" ht="42.75" x14ac:dyDescent="0.2">
      <c r="A18" s="22" t="s">
        <v>8</v>
      </c>
      <c r="B18" s="25" t="s">
        <v>9</v>
      </c>
      <c r="C18" s="26">
        <f>[16]С1!F12</f>
        <v>922.33326199623832</v>
      </c>
    </row>
    <row r="19" spans="1:3" ht="42.75" x14ac:dyDescent="0.2">
      <c r="A19" s="22" t="s">
        <v>10</v>
      </c>
      <c r="B19" s="25" t="s">
        <v>11</v>
      </c>
      <c r="C19" s="26">
        <f>[16]С2!F12</f>
        <v>2106.0579468653982</v>
      </c>
    </row>
    <row r="20" spans="1:3" ht="30" x14ac:dyDescent="0.2">
      <c r="A20" s="22" t="s">
        <v>12</v>
      </c>
      <c r="B20" s="25" t="s">
        <v>13</v>
      </c>
      <c r="C20" s="26">
        <f>[16]С3!F12</f>
        <v>503.83473408478085</v>
      </c>
    </row>
    <row r="21" spans="1:3" ht="42.75" x14ac:dyDescent="0.2">
      <c r="A21" s="22" t="s">
        <v>14</v>
      </c>
      <c r="B21" s="25" t="s">
        <v>15</v>
      </c>
      <c r="C21" s="26">
        <f>[16]С4!F12</f>
        <v>391.8659269876581</v>
      </c>
    </row>
    <row r="22" spans="1:3" ht="30" x14ac:dyDescent="0.2">
      <c r="A22" s="22" t="s">
        <v>16</v>
      </c>
      <c r="B22" s="25" t="s">
        <v>17</v>
      </c>
      <c r="C22" s="26">
        <f>[16]С5!F12</f>
        <v>78.481837398681506</v>
      </c>
    </row>
    <row r="23" spans="1:3" ht="43.5" thickBot="1" x14ac:dyDescent="0.25">
      <c r="A23" s="27" t="s">
        <v>18</v>
      </c>
      <c r="B23" s="120" t="s">
        <v>19</v>
      </c>
      <c r="C23" s="29" t="str">
        <f>[16]С6!F12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[16]С1.1!E16</f>
        <v>5100</v>
      </c>
    </row>
    <row r="29" spans="1:3" ht="42.75" x14ac:dyDescent="0.2">
      <c r="A29" s="22" t="s">
        <v>10</v>
      </c>
      <c r="B29" s="34" t="s">
        <v>22</v>
      </c>
      <c r="C29" s="35">
        <f>[16]С1.1!E27</f>
        <v>2480</v>
      </c>
    </row>
    <row r="30" spans="1:3" ht="17.25" x14ac:dyDescent="0.2">
      <c r="A30" s="22" t="s">
        <v>12</v>
      </c>
      <c r="B30" s="34" t="s">
        <v>23</v>
      </c>
      <c r="C30" s="36">
        <f>[16]С1.1!E19</f>
        <v>0.59499999999999997</v>
      </c>
    </row>
    <row r="31" spans="1:3" ht="17.25" x14ac:dyDescent="0.2">
      <c r="A31" s="22" t="s">
        <v>14</v>
      </c>
      <c r="B31" s="34" t="s">
        <v>24</v>
      </c>
      <c r="C31" s="36">
        <f>[16]С1.1!E20</f>
        <v>-0.113</v>
      </c>
    </row>
    <row r="32" spans="1:3" ht="30" x14ac:dyDescent="0.2">
      <c r="A32" s="22" t="s">
        <v>16</v>
      </c>
      <c r="B32" s="37" t="s">
        <v>25</v>
      </c>
      <c r="C32" s="38">
        <f>[16]С1!F13</f>
        <v>176.4</v>
      </c>
    </row>
    <row r="33" spans="1:3" x14ac:dyDescent="0.2">
      <c r="A33" s="22" t="s">
        <v>18</v>
      </c>
      <c r="B33" s="37" t="s">
        <v>26</v>
      </c>
      <c r="C33" s="39">
        <f>[16]С1!F16</f>
        <v>7000</v>
      </c>
    </row>
    <row r="34" spans="1:3" ht="14.25" x14ac:dyDescent="0.2">
      <c r="A34" s="22" t="s">
        <v>27</v>
      </c>
      <c r="B34" s="40" t="s">
        <v>28</v>
      </c>
      <c r="C34" s="41">
        <f>[16]С1!F17</f>
        <v>0.72857142857142854</v>
      </c>
    </row>
    <row r="35" spans="1:3" ht="15.75" x14ac:dyDescent="0.2">
      <c r="A35" s="42" t="s">
        <v>29</v>
      </c>
      <c r="B35" s="43" t="s">
        <v>30</v>
      </c>
      <c r="C35" s="41">
        <f>[16]С1!F20</f>
        <v>21.588411179999994</v>
      </c>
    </row>
    <row r="36" spans="1:3" ht="15.75" x14ac:dyDescent="0.2">
      <c r="A36" s="42" t="s">
        <v>31</v>
      </c>
      <c r="B36" s="44" t="s">
        <v>32</v>
      </c>
      <c r="C36" s="41">
        <f>[16]С1!F21</f>
        <v>20.818139999999996</v>
      </c>
    </row>
    <row r="37" spans="1:3" ht="14.25" x14ac:dyDescent="0.2">
      <c r="A37" s="42" t="s">
        <v>33</v>
      </c>
      <c r="B37" s="45" t="s">
        <v>34</v>
      </c>
      <c r="C37" s="41">
        <f>[16]С1!F22</f>
        <v>1.0369999999999999</v>
      </c>
    </row>
    <row r="38" spans="1:3" ht="53.25" thickBot="1" x14ac:dyDescent="0.25">
      <c r="A38" s="27" t="s">
        <v>35</v>
      </c>
      <c r="B38" s="46" t="s">
        <v>36</v>
      </c>
      <c r="C38" s="47">
        <f>[16]С1!F23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[16]С2.1!E12</f>
        <v>V</v>
      </c>
    </row>
    <row r="42" spans="1:3" ht="25.5" x14ac:dyDescent="0.2">
      <c r="A42" s="22" t="s">
        <v>41</v>
      </c>
      <c r="B42" s="34" t="s">
        <v>42</v>
      </c>
      <c r="C42" s="52" t="str">
        <f>[16]С2.1!E13</f>
        <v>6 и менее баллов</v>
      </c>
    </row>
    <row r="43" spans="1:3" ht="25.5" x14ac:dyDescent="0.2">
      <c r="A43" s="22" t="s">
        <v>43</v>
      </c>
      <c r="B43" s="34" t="s">
        <v>44</v>
      </c>
      <c r="C43" s="52" t="str">
        <f>[16]С2.1!E14</f>
        <v>от 200 до 500</v>
      </c>
    </row>
    <row r="44" spans="1:3" ht="25.5" x14ac:dyDescent="0.2">
      <c r="A44" s="22" t="s">
        <v>45</v>
      </c>
      <c r="B44" s="34" t="s">
        <v>46</v>
      </c>
      <c r="C44" s="53" t="str">
        <f>[16]С2.1!E15</f>
        <v>нет</v>
      </c>
    </row>
    <row r="45" spans="1:3" ht="30" x14ac:dyDescent="0.2">
      <c r="A45" s="22" t="s">
        <v>47</v>
      </c>
      <c r="B45" s="34" t="s">
        <v>48</v>
      </c>
      <c r="C45" s="35">
        <f>[16]С2!F18</f>
        <v>32402.627334033532</v>
      </c>
    </row>
    <row r="46" spans="1:3" ht="30" x14ac:dyDescent="0.2">
      <c r="A46" s="22" t="s">
        <v>49</v>
      </c>
      <c r="B46" s="54" t="s">
        <v>50</v>
      </c>
      <c r="C46" s="35">
        <f>IF([16]С2!F19&gt;0,[16]С2!F19,[16]С2!F20)</f>
        <v>23441.524932855718</v>
      </c>
    </row>
    <row r="47" spans="1:3" ht="25.5" x14ac:dyDescent="0.2">
      <c r="A47" s="22" t="s">
        <v>51</v>
      </c>
      <c r="B47" s="55" t="s">
        <v>52</v>
      </c>
      <c r="C47" s="35">
        <f>[16]С2.1!E19</f>
        <v>-37</v>
      </c>
    </row>
    <row r="48" spans="1:3" ht="25.5" x14ac:dyDescent="0.2">
      <c r="A48" s="22" t="s">
        <v>53</v>
      </c>
      <c r="B48" s="55" t="s">
        <v>54</v>
      </c>
      <c r="C48" s="35" t="str">
        <f>[16]С2.1!E22</f>
        <v>нет</v>
      </c>
    </row>
    <row r="49" spans="1:3" ht="38.25" x14ac:dyDescent="0.2">
      <c r="A49" s="22" t="s">
        <v>55</v>
      </c>
      <c r="B49" s="56" t="s">
        <v>56</v>
      </c>
      <c r="C49" s="35">
        <f>[16]С2.2!E10</f>
        <v>1287</v>
      </c>
    </row>
    <row r="50" spans="1:3" ht="25.5" x14ac:dyDescent="0.2">
      <c r="A50" s="22" t="s">
        <v>57</v>
      </c>
      <c r="B50" s="57" t="s">
        <v>58</v>
      </c>
      <c r="C50" s="35">
        <f>[16]С2.2!E12</f>
        <v>5.97</v>
      </c>
    </row>
    <row r="51" spans="1:3" ht="52.5" x14ac:dyDescent="0.2">
      <c r="A51" s="22" t="s">
        <v>59</v>
      </c>
      <c r="B51" s="58" t="s">
        <v>60</v>
      </c>
      <c r="C51" s="35">
        <f>[16]С2.2!E13</f>
        <v>1</v>
      </c>
    </row>
    <row r="52" spans="1:3" ht="27.75" x14ac:dyDescent="0.2">
      <c r="A52" s="22" t="s">
        <v>61</v>
      </c>
      <c r="B52" s="57" t="s">
        <v>62</v>
      </c>
      <c r="C52" s="35">
        <f>[16]С2.2!E14</f>
        <v>12104</v>
      </c>
    </row>
    <row r="53" spans="1:3" ht="25.5" x14ac:dyDescent="0.2">
      <c r="A53" s="22" t="s">
        <v>63</v>
      </c>
      <c r="B53" s="58" t="s">
        <v>64</v>
      </c>
      <c r="C53" s="36">
        <f>[16]С2.2!E15</f>
        <v>4.8000000000000001E-2</v>
      </c>
    </row>
    <row r="54" spans="1:3" x14ac:dyDescent="0.2">
      <c r="A54" s="22" t="s">
        <v>65</v>
      </c>
      <c r="B54" s="58" t="s">
        <v>66</v>
      </c>
      <c r="C54" s="35">
        <f>[16]С2.2!E16</f>
        <v>1</v>
      </c>
    </row>
    <row r="55" spans="1:3" ht="15.75" x14ac:dyDescent="0.2">
      <c r="A55" s="22" t="s">
        <v>67</v>
      </c>
      <c r="B55" s="59" t="s">
        <v>68</v>
      </c>
      <c r="C55" s="35">
        <f>[16]С2!F21</f>
        <v>1</v>
      </c>
    </row>
    <row r="56" spans="1:3" ht="30" x14ac:dyDescent="0.2">
      <c r="A56" s="60" t="s">
        <v>69</v>
      </c>
      <c r="B56" s="34" t="s">
        <v>70</v>
      </c>
      <c r="C56" s="35">
        <f>[16]С2!F13</f>
        <v>169640.22915965237</v>
      </c>
    </row>
    <row r="57" spans="1:3" ht="30" x14ac:dyDescent="0.2">
      <c r="A57" s="60" t="s">
        <v>71</v>
      </c>
      <c r="B57" s="59" t="s">
        <v>72</v>
      </c>
      <c r="C57" s="35">
        <f>[16]С2!F14</f>
        <v>113455</v>
      </c>
    </row>
    <row r="58" spans="1:3" ht="15.75" x14ac:dyDescent="0.2">
      <c r="A58" s="60" t="s">
        <v>73</v>
      </c>
      <c r="B58" s="61" t="s">
        <v>74</v>
      </c>
      <c r="C58" s="41">
        <f>[16]С2!F15</f>
        <v>1.071</v>
      </c>
    </row>
    <row r="59" spans="1:3" ht="15.75" x14ac:dyDescent="0.2">
      <c r="A59" s="60" t="s">
        <v>75</v>
      </c>
      <c r="B59" s="61" t="s">
        <v>76</v>
      </c>
      <c r="C59" s="41">
        <f>[16]С2!F16</f>
        <v>1</v>
      </c>
    </row>
    <row r="60" spans="1:3" ht="17.25" x14ac:dyDescent="0.2">
      <c r="A60" s="60" t="s">
        <v>77</v>
      </c>
      <c r="B60" s="59" t="s">
        <v>78</v>
      </c>
      <c r="C60" s="35">
        <f>[16]С2!F17</f>
        <v>1.01</v>
      </c>
    </row>
    <row r="61" spans="1:3" s="64" customFormat="1" ht="14.25" x14ac:dyDescent="0.2">
      <c r="A61" s="60" t="s">
        <v>79</v>
      </c>
      <c r="B61" s="62" t="s">
        <v>80</v>
      </c>
      <c r="C61" s="63">
        <f>[16]С2!F33</f>
        <v>10</v>
      </c>
    </row>
    <row r="62" spans="1:3" ht="30" x14ac:dyDescent="0.2">
      <c r="A62" s="60" t="s">
        <v>81</v>
      </c>
      <c r="B62" s="65" t="s">
        <v>82</v>
      </c>
      <c r="C62" s="35">
        <f>[16]С2!F26</f>
        <v>1123.6482814273334</v>
      </c>
    </row>
    <row r="63" spans="1:3" ht="17.25" x14ac:dyDescent="0.2">
      <c r="A63" s="60" t="s">
        <v>83</v>
      </c>
      <c r="B63" s="54" t="s">
        <v>84</v>
      </c>
      <c r="C63" s="35">
        <f>[16]С2!F27</f>
        <v>0.19354712999999998</v>
      </c>
    </row>
    <row r="64" spans="1:3" ht="17.25" x14ac:dyDescent="0.2">
      <c r="A64" s="60" t="s">
        <v>85</v>
      </c>
      <c r="B64" s="59" t="s">
        <v>86</v>
      </c>
      <c r="C64" s="63">
        <f>[16]С2!F28</f>
        <v>4200</v>
      </c>
    </row>
    <row r="65" spans="1:3" ht="42.75" x14ac:dyDescent="0.2">
      <c r="A65" s="60" t="s">
        <v>87</v>
      </c>
      <c r="B65" s="34" t="s">
        <v>88</v>
      </c>
      <c r="C65" s="35">
        <f>[16]С2!F22</f>
        <v>35717.748653137714</v>
      </c>
    </row>
    <row r="66" spans="1:3" ht="30" x14ac:dyDescent="0.2">
      <c r="A66" s="60" t="s">
        <v>89</v>
      </c>
      <c r="B66" s="61" t="s">
        <v>90</v>
      </c>
      <c r="C66" s="35">
        <f>[16]С2!F23</f>
        <v>1990</v>
      </c>
    </row>
    <row r="67" spans="1:3" ht="30" x14ac:dyDescent="0.2">
      <c r="A67" s="60" t="s">
        <v>91</v>
      </c>
      <c r="B67" s="54" t="s">
        <v>92</v>
      </c>
      <c r="C67" s="35">
        <f>[16]С2.1!E27</f>
        <v>14307.876789999998</v>
      </c>
    </row>
    <row r="68" spans="1:3" ht="38.25" x14ac:dyDescent="0.2">
      <c r="A68" s="60" t="s">
        <v>93</v>
      </c>
      <c r="B68" s="66" t="s">
        <v>94</v>
      </c>
      <c r="C68" s="53">
        <f>[16]С2.3!E21</f>
        <v>0</v>
      </c>
    </row>
    <row r="69" spans="1:3" ht="25.5" x14ac:dyDescent="0.2">
      <c r="A69" s="60" t="s">
        <v>95</v>
      </c>
      <c r="B69" s="67" t="s">
        <v>96</v>
      </c>
      <c r="C69" s="68">
        <f>[16]С2.3!E11</f>
        <v>9.89</v>
      </c>
    </row>
    <row r="70" spans="1:3" ht="25.5" x14ac:dyDescent="0.2">
      <c r="A70" s="60" t="s">
        <v>97</v>
      </c>
      <c r="B70" s="67" t="s">
        <v>98</v>
      </c>
      <c r="C70" s="63">
        <f>[16]С2.3!E13</f>
        <v>300</v>
      </c>
    </row>
    <row r="71" spans="1:3" ht="25.5" x14ac:dyDescent="0.2">
      <c r="A71" s="60" t="s">
        <v>99</v>
      </c>
      <c r="B71" s="66" t="s">
        <v>100</v>
      </c>
      <c r="C71" s="69">
        <f>IF([16]С2.3!E22&gt;0,[16]С2.3!E22,[16]С2.3!E14)</f>
        <v>61211</v>
      </c>
    </row>
    <row r="72" spans="1:3" ht="38.25" x14ac:dyDescent="0.2">
      <c r="A72" s="60" t="s">
        <v>101</v>
      </c>
      <c r="B72" s="66" t="s">
        <v>102</v>
      </c>
      <c r="C72" s="69">
        <f>IF([16]С2.3!E23&gt;0,[16]С2.3!E23,[16]С2.3!E15)</f>
        <v>45675</v>
      </c>
    </row>
    <row r="73" spans="1:3" ht="30" x14ac:dyDescent="0.2">
      <c r="A73" s="60" t="s">
        <v>103</v>
      </c>
      <c r="B73" s="54" t="s">
        <v>104</v>
      </c>
      <c r="C73" s="35">
        <f>[16]С2.1!E28</f>
        <v>9541.9567200000001</v>
      </c>
    </row>
    <row r="74" spans="1:3" ht="38.25" x14ac:dyDescent="0.2">
      <c r="A74" s="60" t="s">
        <v>105</v>
      </c>
      <c r="B74" s="66" t="s">
        <v>106</v>
      </c>
      <c r="C74" s="53">
        <f>[16]С2.3!E25</f>
        <v>0</v>
      </c>
    </row>
    <row r="75" spans="1:3" ht="25.5" x14ac:dyDescent="0.2">
      <c r="A75" s="60" t="s">
        <v>107</v>
      </c>
      <c r="B75" s="67" t="s">
        <v>108</v>
      </c>
      <c r="C75" s="68">
        <f>[16]С2.3!E12</f>
        <v>0.56000000000000005</v>
      </c>
    </row>
    <row r="76" spans="1:3" ht="25.5" x14ac:dyDescent="0.2">
      <c r="A76" s="60" t="s">
        <v>109</v>
      </c>
      <c r="B76" s="67" t="s">
        <v>98</v>
      </c>
      <c r="C76" s="63">
        <f>[16]С2.3!E13</f>
        <v>300</v>
      </c>
    </row>
    <row r="77" spans="1:3" ht="25.5" x14ac:dyDescent="0.2">
      <c r="A77" s="60" t="s">
        <v>110</v>
      </c>
      <c r="B77" s="70" t="s">
        <v>111</v>
      </c>
      <c r="C77" s="69">
        <f>IF([16]С2.3!E26&gt;0,[16]С2.3!E26,[16]С2.3!E16)</f>
        <v>65637</v>
      </c>
    </row>
    <row r="78" spans="1:3" ht="38.25" x14ac:dyDescent="0.2">
      <c r="A78" s="60" t="s">
        <v>112</v>
      </c>
      <c r="B78" s="70" t="s">
        <v>113</v>
      </c>
      <c r="C78" s="69">
        <f>IF([16]С2.3!E27&gt;0,[16]С2.3!E27,[16]С2.3!E17)</f>
        <v>31684</v>
      </c>
    </row>
    <row r="79" spans="1:3" ht="17.25" x14ac:dyDescent="0.2">
      <c r="A79" s="60" t="s">
        <v>114</v>
      </c>
      <c r="B79" s="34" t="s">
        <v>115</v>
      </c>
      <c r="C79" s="36">
        <f>[16]С2!F29</f>
        <v>0.128978033685065</v>
      </c>
    </row>
    <row r="80" spans="1:3" ht="30" x14ac:dyDescent="0.2">
      <c r="A80" s="60" t="s">
        <v>116</v>
      </c>
      <c r="B80" s="54" t="s">
        <v>117</v>
      </c>
      <c r="C80" s="71">
        <f>[16]С2!F30</f>
        <v>0.11668498168498169</v>
      </c>
    </row>
    <row r="81" spans="1:3" ht="17.25" x14ac:dyDescent="0.2">
      <c r="A81" s="60" t="s">
        <v>118</v>
      </c>
      <c r="B81" s="72" t="s">
        <v>119</v>
      </c>
      <c r="C81" s="36">
        <f>[16]С2!F31</f>
        <v>0.13880000000000001</v>
      </c>
    </row>
    <row r="82" spans="1:3" s="64" customFormat="1" ht="18" thickBot="1" x14ac:dyDescent="0.25">
      <c r="A82" s="73" t="s">
        <v>120</v>
      </c>
      <c r="B82" s="74" t="s">
        <v>121</v>
      </c>
      <c r="C82" s="75">
        <f>[16]С2!F32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[16]С3!F14</f>
        <v>6998.3755440420418</v>
      </c>
    </row>
    <row r="86" spans="1:3" s="64" customFormat="1" ht="42.75" x14ac:dyDescent="0.2">
      <c r="A86" s="78" t="s">
        <v>126</v>
      </c>
      <c r="B86" s="54" t="s">
        <v>127</v>
      </c>
      <c r="C86" s="79">
        <f>[16]С3!F15</f>
        <v>0.2</v>
      </c>
    </row>
    <row r="87" spans="1:3" s="64" customFormat="1" ht="14.25" x14ac:dyDescent="0.2">
      <c r="A87" s="78" t="s">
        <v>128</v>
      </c>
      <c r="B87" s="80" t="s">
        <v>129</v>
      </c>
      <c r="C87" s="63">
        <f>[16]С3!F18</f>
        <v>15</v>
      </c>
    </row>
    <row r="88" spans="1:3" s="64" customFormat="1" ht="17.25" x14ac:dyDescent="0.2">
      <c r="A88" s="78" t="s">
        <v>130</v>
      </c>
      <c r="B88" s="34" t="s">
        <v>131</v>
      </c>
      <c r="C88" s="35">
        <f>[16]С3!F19</f>
        <v>3487.1555421534131</v>
      </c>
    </row>
    <row r="89" spans="1:3" s="64" customFormat="1" ht="55.5" x14ac:dyDescent="0.2">
      <c r="A89" s="78" t="s">
        <v>132</v>
      </c>
      <c r="B89" s="54" t="s">
        <v>133</v>
      </c>
      <c r="C89" s="81">
        <f>[16]С3!F20</f>
        <v>2.1999999999999999E-2</v>
      </c>
    </row>
    <row r="90" spans="1:3" s="64" customFormat="1" ht="14.25" x14ac:dyDescent="0.2">
      <c r="A90" s="78" t="s">
        <v>134</v>
      </c>
      <c r="B90" s="59" t="s">
        <v>80</v>
      </c>
      <c r="C90" s="63">
        <f>[16]С3!F21</f>
        <v>10</v>
      </c>
    </row>
    <row r="91" spans="1:3" s="64" customFormat="1" ht="17.25" x14ac:dyDescent="0.2">
      <c r="A91" s="78" t="s">
        <v>135</v>
      </c>
      <c r="B91" s="34" t="s">
        <v>136</v>
      </c>
      <c r="C91" s="35">
        <f>[16]С3!F22</f>
        <v>3.370944844282</v>
      </c>
    </row>
    <row r="92" spans="1:3" s="64" customFormat="1" ht="55.5" x14ac:dyDescent="0.2">
      <c r="A92" s="78" t="s">
        <v>137</v>
      </c>
      <c r="B92" s="54" t="s">
        <v>138</v>
      </c>
      <c r="C92" s="81">
        <f>[16]С3!F23</f>
        <v>3.0000000000000001E-3</v>
      </c>
    </row>
    <row r="93" spans="1:3" s="64" customFormat="1" ht="27.75" thickBot="1" x14ac:dyDescent="0.25">
      <c r="A93" s="82" t="s">
        <v>139</v>
      </c>
      <c r="B93" s="83" t="s">
        <v>140</v>
      </c>
      <c r="C93" s="84">
        <f>[16]С3!F24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[16]С4!F16</f>
        <v>1652.5</v>
      </c>
    </row>
    <row r="97" spans="1:3" ht="30" x14ac:dyDescent="0.2">
      <c r="A97" s="60" t="s">
        <v>145</v>
      </c>
      <c r="B97" s="59" t="s">
        <v>146</v>
      </c>
      <c r="C97" s="35">
        <f>[16]С4!F17</f>
        <v>73547</v>
      </c>
    </row>
    <row r="98" spans="1:3" ht="17.25" x14ac:dyDescent="0.2">
      <c r="A98" s="60" t="s">
        <v>147</v>
      </c>
      <c r="B98" s="59" t="s">
        <v>148</v>
      </c>
      <c r="C98" s="41">
        <f>[16]С4!F18</f>
        <v>0.02</v>
      </c>
    </row>
    <row r="99" spans="1:3" ht="30" x14ac:dyDescent="0.2">
      <c r="A99" s="60" t="s">
        <v>149</v>
      </c>
      <c r="B99" s="59" t="s">
        <v>150</v>
      </c>
      <c r="C99" s="35">
        <f>[16]С4!F19</f>
        <v>12104</v>
      </c>
    </row>
    <row r="100" spans="1:3" ht="31.5" x14ac:dyDescent="0.2">
      <c r="A100" s="60" t="s">
        <v>151</v>
      </c>
      <c r="B100" s="59" t="s">
        <v>152</v>
      </c>
      <c r="C100" s="41">
        <f>[16]С4!F20</f>
        <v>1.4999999999999999E-2</v>
      </c>
    </row>
    <row r="101" spans="1:3" ht="30" x14ac:dyDescent="0.2">
      <c r="A101" s="60" t="s">
        <v>153</v>
      </c>
      <c r="B101" s="34" t="s">
        <v>154</v>
      </c>
      <c r="C101" s="35">
        <f>[16]С4!F21</f>
        <v>1933.1949342509995</v>
      </c>
    </row>
    <row r="102" spans="1:3" ht="24" customHeight="1" x14ac:dyDescent="0.2">
      <c r="A102" s="60" t="s">
        <v>155</v>
      </c>
      <c r="B102" s="54" t="s">
        <v>156</v>
      </c>
      <c r="C102" s="86">
        <f>IF([16]С4.2!F8="да",[16]С4.2!D21,[16]С4.2!D15)</f>
        <v>0</v>
      </c>
    </row>
    <row r="103" spans="1:3" ht="68.25" x14ac:dyDescent="0.2">
      <c r="A103" s="60" t="s">
        <v>157</v>
      </c>
      <c r="B103" s="54" t="s">
        <v>158</v>
      </c>
      <c r="C103" s="35">
        <f>[16]С4!F22</f>
        <v>3.6112641666666665</v>
      </c>
    </row>
    <row r="104" spans="1:3" ht="30" x14ac:dyDescent="0.2">
      <c r="A104" s="60" t="s">
        <v>159</v>
      </c>
      <c r="B104" s="59" t="s">
        <v>160</v>
      </c>
      <c r="C104" s="35">
        <f>[16]С4!F23</f>
        <v>180</v>
      </c>
    </row>
    <row r="105" spans="1:3" ht="14.25" x14ac:dyDescent="0.2">
      <c r="A105" s="60" t="s">
        <v>161</v>
      </c>
      <c r="B105" s="54" t="s">
        <v>162</v>
      </c>
      <c r="C105" s="35">
        <f>[16]С4!F24</f>
        <v>8497.1999999999989</v>
      </c>
    </row>
    <row r="106" spans="1:3" ht="14.25" x14ac:dyDescent="0.2">
      <c r="A106" s="60" t="s">
        <v>163</v>
      </c>
      <c r="B106" s="59" t="s">
        <v>164</v>
      </c>
      <c r="C106" s="41">
        <f>[16]С4!F25</f>
        <v>0.35</v>
      </c>
    </row>
    <row r="107" spans="1:3" ht="17.25" x14ac:dyDescent="0.2">
      <c r="A107" s="60" t="s">
        <v>165</v>
      </c>
      <c r="B107" s="34" t="s">
        <v>166</v>
      </c>
      <c r="C107" s="35">
        <f>[16]С4!F26</f>
        <v>51.53172</v>
      </c>
    </row>
    <row r="108" spans="1:3" ht="25.5" x14ac:dyDescent="0.2">
      <c r="A108" s="60" t="s">
        <v>167</v>
      </c>
      <c r="B108" s="54" t="s">
        <v>94</v>
      </c>
      <c r="C108" s="86">
        <f>[16]С4.3!E16</f>
        <v>0</v>
      </c>
    </row>
    <row r="109" spans="1:3" ht="25.5" x14ac:dyDescent="0.2">
      <c r="A109" s="60" t="s">
        <v>168</v>
      </c>
      <c r="B109" s="54" t="s">
        <v>169</v>
      </c>
      <c r="C109" s="35">
        <f>[16]С4.3!E17</f>
        <v>13.32</v>
      </c>
    </row>
    <row r="110" spans="1:3" ht="38.25" x14ac:dyDescent="0.2">
      <c r="A110" s="60" t="s">
        <v>170</v>
      </c>
      <c r="B110" s="54" t="s">
        <v>106</v>
      </c>
      <c r="C110" s="86">
        <f>[16]С4.3!E18</f>
        <v>0</v>
      </c>
    </row>
    <row r="111" spans="1:3" x14ac:dyDescent="0.2">
      <c r="A111" s="60" t="s">
        <v>171</v>
      </c>
      <c r="B111" s="54" t="s">
        <v>172</v>
      </c>
      <c r="C111" s="35">
        <f>[16]С4.3!E19</f>
        <v>23.62</v>
      </c>
    </row>
    <row r="112" spans="1:3" x14ac:dyDescent="0.2">
      <c r="A112" s="60" t="s">
        <v>173</v>
      </c>
      <c r="B112" s="59" t="s">
        <v>174</v>
      </c>
      <c r="C112" s="35">
        <f>[16]С4.3!E11</f>
        <v>1871</v>
      </c>
    </row>
    <row r="113" spans="1:3" x14ac:dyDescent="0.2">
      <c r="A113" s="60" t="s">
        <v>175</v>
      </c>
      <c r="B113" s="59" t="s">
        <v>176</v>
      </c>
      <c r="C113" s="53">
        <f>[16]С4.3!E12</f>
        <v>1636</v>
      </c>
    </row>
    <row r="114" spans="1:3" x14ac:dyDescent="0.2">
      <c r="A114" s="60" t="s">
        <v>177</v>
      </c>
      <c r="B114" s="59" t="s">
        <v>178</v>
      </c>
      <c r="C114" s="53">
        <f>[16]С4.3!E13</f>
        <v>204</v>
      </c>
    </row>
    <row r="115" spans="1:3" ht="30" x14ac:dyDescent="0.2">
      <c r="A115" s="60" t="s">
        <v>179</v>
      </c>
      <c r="B115" s="34" t="s">
        <v>180</v>
      </c>
      <c r="C115" s="35">
        <f>[16]С4!F27</f>
        <v>776.44759830395003</v>
      </c>
    </row>
    <row r="116" spans="1:3" ht="25.5" x14ac:dyDescent="0.2">
      <c r="A116" s="60" t="s">
        <v>181</v>
      </c>
      <c r="B116" s="54" t="s">
        <v>182</v>
      </c>
      <c r="C116" s="35">
        <f>[16]С4!F28</f>
        <v>596.34992189243474</v>
      </c>
    </row>
    <row r="117" spans="1:3" ht="42.75" x14ac:dyDescent="0.2">
      <c r="A117" s="60" t="s">
        <v>183</v>
      </c>
      <c r="B117" s="54" t="s">
        <v>184</v>
      </c>
      <c r="C117" s="35">
        <f>[16]С4!F29</f>
        <v>180.09767641151529</v>
      </c>
    </row>
    <row r="118" spans="1:3" ht="30" x14ac:dyDescent="0.2">
      <c r="A118" s="60" t="s">
        <v>185</v>
      </c>
      <c r="B118" s="40" t="s">
        <v>186</v>
      </c>
      <c r="C118" s="35">
        <f>[16]С4!F30</f>
        <v>2057.0093836649335</v>
      </c>
    </row>
    <row r="119" spans="1:3" ht="42.75" x14ac:dyDescent="0.2">
      <c r="A119" s="60" t="s">
        <v>187</v>
      </c>
      <c r="B119" s="87" t="s">
        <v>188</v>
      </c>
      <c r="C119" s="35">
        <f>[16]С4!F33</f>
        <v>1361.1290892426057</v>
      </c>
    </row>
    <row r="120" spans="1:3" ht="30" x14ac:dyDescent="0.2">
      <c r="A120" s="60" t="s">
        <v>189</v>
      </c>
      <c r="B120" s="88" t="s">
        <v>190</v>
      </c>
      <c r="C120" s="35">
        <f>[16]С4!F35</f>
        <v>17.040680999999999</v>
      </c>
    </row>
    <row r="121" spans="1:3" ht="14.25" x14ac:dyDescent="0.2">
      <c r="A121" s="60" t="s">
        <v>191</v>
      </c>
      <c r="B121" s="57" t="s">
        <v>192</v>
      </c>
      <c r="C121" s="35">
        <f>[16]С4!F36</f>
        <v>14319.9</v>
      </c>
    </row>
    <row r="122" spans="1:3" ht="28.5" thickBot="1" x14ac:dyDescent="0.25">
      <c r="A122" s="73" t="s">
        <v>193</v>
      </c>
      <c r="B122" s="89" t="s">
        <v>194</v>
      </c>
      <c r="C122" s="84">
        <f>[16]С4!F37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[16]С5!F17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[16]С2!F37</f>
        <v>20.818139999999996</v>
      </c>
    </row>
    <row r="136" spans="1:4" ht="14.25" x14ac:dyDescent="0.2">
      <c r="A136" s="60" t="s">
        <v>216</v>
      </c>
      <c r="B136" s="102" t="s">
        <v>217</v>
      </c>
      <c r="C136" s="35">
        <f>[16]С2!F38</f>
        <v>7</v>
      </c>
    </row>
    <row r="137" spans="1:4" ht="17.25" x14ac:dyDescent="0.2">
      <c r="A137" s="60" t="s">
        <v>218</v>
      </c>
      <c r="B137" s="102" t="s">
        <v>219</v>
      </c>
      <c r="C137" s="35">
        <f>[16]С2!F40</f>
        <v>0.97</v>
      </c>
    </row>
    <row r="138" spans="1:4" ht="15" thickBot="1" x14ac:dyDescent="0.25">
      <c r="A138" s="73" t="s">
        <v>220</v>
      </c>
      <c r="B138" s="103" t="s">
        <v>221</v>
      </c>
      <c r="C138" s="47">
        <f>[16]С2!F42</f>
        <v>0.35</v>
      </c>
    </row>
    <row r="139" spans="1:4" s="90" customFormat="1" ht="13.5" thickBot="1" x14ac:dyDescent="0.25">
      <c r="A139" s="48"/>
      <c r="B139" s="76"/>
      <c r="C139" s="15"/>
    </row>
    <row r="140" spans="1:4" ht="30" x14ac:dyDescent="0.2">
      <c r="A140" s="85" t="s">
        <v>222</v>
      </c>
      <c r="B140" s="104" t="s">
        <v>223</v>
      </c>
      <c r="C140" s="105">
        <f>[16]С2!F35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[16]С2.5!$E$11</f>
        <v>-2.9000000000000026E-2</v>
      </c>
      <c r="D143" s="90"/>
    </row>
    <row r="144" spans="1:4" x14ac:dyDescent="0.2">
      <c r="A144" s="107"/>
      <c r="B144" s="112">
        <f>B143+1</f>
        <v>2021</v>
      </c>
      <c r="C144" s="113">
        <f>[16]С2.5!$F$11</f>
        <v>0.245</v>
      </c>
      <c r="D144" s="90"/>
    </row>
    <row r="145" spans="1:4" x14ac:dyDescent="0.2">
      <c r="A145" s="107"/>
      <c r="B145" s="112">
        <f t="shared" ref="B145:B208" si="0">B144+1</f>
        <v>2022</v>
      </c>
      <c r="C145" s="113">
        <f>[16]С2.5!$G$11</f>
        <v>0.121</v>
      </c>
      <c r="D145" s="90"/>
    </row>
    <row r="146" spans="1:4" ht="13.5" thickBot="1" x14ac:dyDescent="0.25">
      <c r="A146" s="107"/>
      <c r="B146" s="114">
        <f t="shared" si="0"/>
        <v>2023</v>
      </c>
      <c r="C146" s="115">
        <f>[16]С2.5!$H$11</f>
        <v>0.02</v>
      </c>
      <c r="D146" s="90"/>
    </row>
    <row r="147" spans="1:4" hidden="1" x14ac:dyDescent="0.2">
      <c r="A147" s="107"/>
      <c r="B147" s="116">
        <f t="shared" si="0"/>
        <v>2024</v>
      </c>
      <c r="C147" s="117">
        <f>[16]С2.5!$I$11</f>
        <v>-2.93E-2</v>
      </c>
      <c r="D147" s="90"/>
    </row>
    <row r="148" spans="1:4" hidden="1" x14ac:dyDescent="0.2">
      <c r="A148" s="107"/>
      <c r="B148" s="112">
        <f t="shared" si="0"/>
        <v>2025</v>
      </c>
      <c r="C148" s="113">
        <f>[16]С2.5!$J$11</f>
        <v>0.21215960863291</v>
      </c>
      <c r="D148" s="90"/>
    </row>
    <row r="149" spans="1:4" hidden="1" x14ac:dyDescent="0.2">
      <c r="A149" s="107"/>
      <c r="B149" s="112">
        <f t="shared" si="0"/>
        <v>2026</v>
      </c>
      <c r="C149" s="113">
        <f>[16]С2.5!$K$11</f>
        <v>3.5813361771260002E-2</v>
      </c>
      <c r="D149" s="90"/>
    </row>
    <row r="150" spans="1:4" hidden="1" x14ac:dyDescent="0.2">
      <c r="A150" s="107"/>
      <c r="B150" s="112">
        <f t="shared" si="0"/>
        <v>2027</v>
      </c>
      <c r="C150" s="113">
        <f>[16]С2.5!$L$11</f>
        <v>3.2682303599220003E-2</v>
      </c>
      <c r="D150" s="90"/>
    </row>
    <row r="151" spans="1:4" hidden="1" x14ac:dyDescent="0.2">
      <c r="A151" s="107"/>
      <c r="B151" s="112">
        <f t="shared" si="0"/>
        <v>2028</v>
      </c>
      <c r="C151" s="113">
        <f>[16]С2.5!$M$11</f>
        <v>0</v>
      </c>
      <c r="D151" s="90"/>
    </row>
    <row r="152" spans="1:4" hidden="1" x14ac:dyDescent="0.2">
      <c r="A152" s="107"/>
      <c r="B152" s="112">
        <f t="shared" si="0"/>
        <v>2029</v>
      </c>
      <c r="C152" s="113">
        <f>[16]С2.5!$N$11</f>
        <v>0</v>
      </c>
      <c r="D152" s="90"/>
    </row>
    <row r="153" spans="1:4" hidden="1" x14ac:dyDescent="0.2">
      <c r="A153" s="107"/>
      <c r="B153" s="112">
        <f t="shared" si="0"/>
        <v>2030</v>
      </c>
      <c r="C153" s="113">
        <f>[16]С2.5!$O$11</f>
        <v>0</v>
      </c>
      <c r="D153" s="90"/>
    </row>
    <row r="154" spans="1:4" hidden="1" x14ac:dyDescent="0.2">
      <c r="A154" s="107"/>
      <c r="B154" s="112">
        <f t="shared" si="0"/>
        <v>2031</v>
      </c>
      <c r="C154" s="113">
        <f>[16]С2.5!$P$11</f>
        <v>0</v>
      </c>
      <c r="D154" s="90"/>
    </row>
    <row r="155" spans="1:4" hidden="1" x14ac:dyDescent="0.2">
      <c r="A155" s="90"/>
      <c r="B155" s="112">
        <f t="shared" si="0"/>
        <v>2032</v>
      </c>
      <c r="C155" s="113">
        <f>[16]С2.5!$Q$11</f>
        <v>0</v>
      </c>
      <c r="D155" s="90"/>
    </row>
    <row r="156" spans="1:4" hidden="1" x14ac:dyDescent="0.2">
      <c r="A156" s="90"/>
      <c r="B156" s="112">
        <f t="shared" si="0"/>
        <v>2033</v>
      </c>
      <c r="C156" s="113">
        <f>[16]С2.5!$R$11</f>
        <v>0</v>
      </c>
      <c r="D156" s="90"/>
    </row>
    <row r="157" spans="1:4" hidden="1" x14ac:dyDescent="0.2">
      <c r="B157" s="112">
        <f t="shared" si="0"/>
        <v>2034</v>
      </c>
      <c r="C157" s="113">
        <f>[16]С2.5!$S$11</f>
        <v>0</v>
      </c>
    </row>
    <row r="158" spans="1:4" hidden="1" x14ac:dyDescent="0.2">
      <c r="B158" s="112">
        <f t="shared" si="0"/>
        <v>2035</v>
      </c>
      <c r="C158" s="113">
        <f>[16]С2.5!$T$11</f>
        <v>0</v>
      </c>
    </row>
    <row r="159" spans="1:4" hidden="1" x14ac:dyDescent="0.2">
      <c r="B159" s="112">
        <f t="shared" si="0"/>
        <v>2036</v>
      </c>
      <c r="C159" s="113">
        <f>[16]С2.5!$U$11</f>
        <v>0</v>
      </c>
    </row>
    <row r="160" spans="1:4" hidden="1" x14ac:dyDescent="0.2">
      <c r="B160" s="112">
        <f t="shared" si="0"/>
        <v>2037</v>
      </c>
      <c r="C160" s="113">
        <f>[16]С2.5!$V$11</f>
        <v>0</v>
      </c>
    </row>
    <row r="161" spans="2:3" hidden="1" x14ac:dyDescent="0.2">
      <c r="B161" s="112">
        <f t="shared" si="0"/>
        <v>2038</v>
      </c>
      <c r="C161" s="113">
        <f>[16]С2.5!$W$11</f>
        <v>0</v>
      </c>
    </row>
    <row r="162" spans="2:3" hidden="1" x14ac:dyDescent="0.2">
      <c r="B162" s="112">
        <f t="shared" si="0"/>
        <v>2039</v>
      </c>
      <c r="C162" s="113">
        <f>[16]С2.5!$X$11</f>
        <v>0</v>
      </c>
    </row>
    <row r="163" spans="2:3" hidden="1" x14ac:dyDescent="0.2">
      <c r="B163" s="112">
        <f t="shared" si="0"/>
        <v>2040</v>
      </c>
      <c r="C163" s="113">
        <f>[16]С2.5!$Y$11</f>
        <v>0</v>
      </c>
    </row>
    <row r="164" spans="2:3" hidden="1" x14ac:dyDescent="0.2">
      <c r="B164" s="112">
        <f t="shared" si="0"/>
        <v>2041</v>
      </c>
      <c r="C164" s="113">
        <f>[16]С2.5!$Z$11</f>
        <v>0</v>
      </c>
    </row>
    <row r="165" spans="2:3" hidden="1" x14ac:dyDescent="0.2">
      <c r="B165" s="112">
        <f t="shared" si="0"/>
        <v>2042</v>
      </c>
      <c r="C165" s="113">
        <f>[16]С2.5!$AA$11</f>
        <v>0</v>
      </c>
    </row>
    <row r="166" spans="2:3" hidden="1" x14ac:dyDescent="0.2">
      <c r="B166" s="112">
        <f t="shared" si="0"/>
        <v>2043</v>
      </c>
      <c r="C166" s="113">
        <f>[16]С2.5!$AB$11</f>
        <v>0</v>
      </c>
    </row>
    <row r="167" spans="2:3" hidden="1" x14ac:dyDescent="0.2">
      <c r="B167" s="112">
        <f t="shared" si="0"/>
        <v>2044</v>
      </c>
      <c r="C167" s="113">
        <f>[16]С2.5!$AC$11</f>
        <v>0</v>
      </c>
    </row>
    <row r="168" spans="2:3" hidden="1" x14ac:dyDescent="0.2">
      <c r="B168" s="112">
        <f t="shared" si="0"/>
        <v>2045</v>
      </c>
      <c r="C168" s="113">
        <f>[16]С2.5!$AD$11</f>
        <v>0</v>
      </c>
    </row>
    <row r="169" spans="2:3" hidden="1" x14ac:dyDescent="0.2">
      <c r="B169" s="112">
        <f t="shared" si="0"/>
        <v>2046</v>
      </c>
      <c r="C169" s="113">
        <f>[16]С2.5!$AE$11</f>
        <v>0</v>
      </c>
    </row>
    <row r="170" spans="2:3" hidden="1" x14ac:dyDescent="0.2">
      <c r="B170" s="112">
        <f t="shared" si="0"/>
        <v>2047</v>
      </c>
      <c r="C170" s="113">
        <f>[16]С2.5!$AF$11</f>
        <v>0</v>
      </c>
    </row>
    <row r="171" spans="2:3" hidden="1" x14ac:dyDescent="0.2">
      <c r="B171" s="112">
        <f t="shared" si="0"/>
        <v>2048</v>
      </c>
      <c r="C171" s="113">
        <f>[16]С2.5!$AG$11</f>
        <v>0</v>
      </c>
    </row>
    <row r="172" spans="2:3" hidden="1" x14ac:dyDescent="0.2">
      <c r="B172" s="112">
        <f t="shared" si="0"/>
        <v>2049</v>
      </c>
      <c r="C172" s="113">
        <f>[16]С2.5!$AH$11</f>
        <v>0</v>
      </c>
    </row>
    <row r="173" spans="2:3" hidden="1" x14ac:dyDescent="0.2">
      <c r="B173" s="112">
        <f t="shared" si="0"/>
        <v>2050</v>
      </c>
      <c r="C173" s="113">
        <f>[16]С2.5!$AI$11</f>
        <v>0</v>
      </c>
    </row>
    <row r="174" spans="2:3" hidden="1" x14ac:dyDescent="0.2">
      <c r="B174" s="112">
        <f t="shared" si="0"/>
        <v>2051</v>
      </c>
      <c r="C174" s="113">
        <f>[16]С2.5!$AJ$11</f>
        <v>0</v>
      </c>
    </row>
    <row r="175" spans="2:3" hidden="1" x14ac:dyDescent="0.2">
      <c r="B175" s="112">
        <f t="shared" si="0"/>
        <v>2052</v>
      </c>
      <c r="C175" s="113">
        <f>[16]С2.5!$AK$11</f>
        <v>0</v>
      </c>
    </row>
    <row r="176" spans="2:3" hidden="1" x14ac:dyDescent="0.2">
      <c r="B176" s="112">
        <f t="shared" si="0"/>
        <v>2053</v>
      </c>
      <c r="C176" s="113">
        <f>[16]С2.5!$AL$11</f>
        <v>0</v>
      </c>
    </row>
    <row r="177" spans="2:3" hidden="1" x14ac:dyDescent="0.2">
      <c r="B177" s="112">
        <f t="shared" si="0"/>
        <v>2054</v>
      </c>
      <c r="C177" s="113">
        <f>[16]С2.5!$AM$11</f>
        <v>0</v>
      </c>
    </row>
    <row r="178" spans="2:3" hidden="1" x14ac:dyDescent="0.2">
      <c r="B178" s="112">
        <f t="shared" si="0"/>
        <v>2055</v>
      </c>
      <c r="C178" s="113">
        <f>[16]С2.5!$AN$11</f>
        <v>0</v>
      </c>
    </row>
    <row r="179" spans="2:3" hidden="1" x14ac:dyDescent="0.2">
      <c r="B179" s="112">
        <f t="shared" si="0"/>
        <v>2056</v>
      </c>
      <c r="C179" s="113">
        <f>[16]С2.5!$AO$11</f>
        <v>0</v>
      </c>
    </row>
    <row r="180" spans="2:3" hidden="1" x14ac:dyDescent="0.2">
      <c r="B180" s="112">
        <f t="shared" si="0"/>
        <v>2057</v>
      </c>
      <c r="C180" s="113">
        <f>[16]С2.5!$AP$11</f>
        <v>0</v>
      </c>
    </row>
    <row r="181" spans="2:3" hidden="1" x14ac:dyDescent="0.2">
      <c r="B181" s="112">
        <f t="shared" si="0"/>
        <v>2058</v>
      </c>
      <c r="C181" s="113">
        <f>[16]С2.5!$AQ$11</f>
        <v>0</v>
      </c>
    </row>
    <row r="182" spans="2:3" hidden="1" x14ac:dyDescent="0.2">
      <c r="B182" s="112">
        <f t="shared" si="0"/>
        <v>2059</v>
      </c>
      <c r="C182" s="113">
        <f>[16]С2.5!$AR$11</f>
        <v>0</v>
      </c>
    </row>
    <row r="183" spans="2:3" hidden="1" x14ac:dyDescent="0.2">
      <c r="B183" s="112">
        <f t="shared" si="0"/>
        <v>2060</v>
      </c>
      <c r="C183" s="113">
        <f>[16]С2.5!$AS$11</f>
        <v>0</v>
      </c>
    </row>
    <row r="184" spans="2:3" hidden="1" x14ac:dyDescent="0.2">
      <c r="B184" s="112">
        <f t="shared" si="0"/>
        <v>2061</v>
      </c>
      <c r="C184" s="113">
        <f>[16]С2.5!$AT$11</f>
        <v>0</v>
      </c>
    </row>
    <row r="185" spans="2:3" hidden="1" x14ac:dyDescent="0.2">
      <c r="B185" s="112">
        <f t="shared" si="0"/>
        <v>2062</v>
      </c>
      <c r="C185" s="113">
        <f>[16]С2.5!$AU$11</f>
        <v>0</v>
      </c>
    </row>
    <row r="186" spans="2:3" hidden="1" x14ac:dyDescent="0.2">
      <c r="B186" s="112">
        <f t="shared" si="0"/>
        <v>2063</v>
      </c>
      <c r="C186" s="113">
        <f>[16]С2.5!$AV$11</f>
        <v>0</v>
      </c>
    </row>
    <row r="187" spans="2:3" hidden="1" x14ac:dyDescent="0.2">
      <c r="B187" s="112">
        <f t="shared" si="0"/>
        <v>2064</v>
      </c>
      <c r="C187" s="113">
        <f>[16]С2.5!$AW$11</f>
        <v>0</v>
      </c>
    </row>
    <row r="188" spans="2:3" hidden="1" x14ac:dyDescent="0.2">
      <c r="B188" s="112">
        <f t="shared" si="0"/>
        <v>2065</v>
      </c>
      <c r="C188" s="113">
        <f>[16]С2.5!$AX$11</f>
        <v>0</v>
      </c>
    </row>
    <row r="189" spans="2:3" hidden="1" x14ac:dyDescent="0.2">
      <c r="B189" s="112">
        <f t="shared" si="0"/>
        <v>2066</v>
      </c>
      <c r="C189" s="113">
        <f>[16]С2.5!$AY$11</f>
        <v>0</v>
      </c>
    </row>
    <row r="190" spans="2:3" hidden="1" x14ac:dyDescent="0.2">
      <c r="B190" s="112">
        <f t="shared" si="0"/>
        <v>2067</v>
      </c>
      <c r="C190" s="113">
        <f>[16]С2.5!$AZ$11</f>
        <v>0</v>
      </c>
    </row>
    <row r="191" spans="2:3" hidden="1" x14ac:dyDescent="0.2">
      <c r="B191" s="112">
        <f t="shared" si="0"/>
        <v>2068</v>
      </c>
      <c r="C191" s="113">
        <f>[16]С2.5!$BA$11</f>
        <v>0</v>
      </c>
    </row>
    <row r="192" spans="2:3" hidden="1" x14ac:dyDescent="0.2">
      <c r="B192" s="112">
        <f t="shared" si="0"/>
        <v>2069</v>
      </c>
      <c r="C192" s="113">
        <f>[16]С2.5!$BB$11</f>
        <v>0</v>
      </c>
    </row>
    <row r="193" spans="2:3" hidden="1" x14ac:dyDescent="0.2">
      <c r="B193" s="112">
        <f t="shared" si="0"/>
        <v>2070</v>
      </c>
      <c r="C193" s="113">
        <f>[16]С2.5!$BC$11</f>
        <v>0</v>
      </c>
    </row>
    <row r="194" spans="2:3" hidden="1" x14ac:dyDescent="0.2">
      <c r="B194" s="112">
        <f t="shared" si="0"/>
        <v>2071</v>
      </c>
      <c r="C194" s="113">
        <f>[16]С2.5!$BD$11</f>
        <v>0</v>
      </c>
    </row>
    <row r="195" spans="2:3" hidden="1" x14ac:dyDescent="0.2">
      <c r="B195" s="112">
        <f t="shared" si="0"/>
        <v>2072</v>
      </c>
      <c r="C195" s="113">
        <f>[16]С2.5!$BE$11</f>
        <v>0</v>
      </c>
    </row>
    <row r="196" spans="2:3" hidden="1" x14ac:dyDescent="0.2">
      <c r="B196" s="112">
        <f t="shared" si="0"/>
        <v>2073</v>
      </c>
      <c r="C196" s="113">
        <f>[16]С2.5!$BF$11</f>
        <v>0</v>
      </c>
    </row>
    <row r="197" spans="2:3" hidden="1" x14ac:dyDescent="0.2">
      <c r="B197" s="112">
        <f t="shared" si="0"/>
        <v>2074</v>
      </c>
      <c r="C197" s="113">
        <f>[16]С2.5!$BG$11</f>
        <v>0</v>
      </c>
    </row>
    <row r="198" spans="2:3" hidden="1" x14ac:dyDescent="0.2">
      <c r="B198" s="112">
        <f t="shared" si="0"/>
        <v>2075</v>
      </c>
      <c r="C198" s="113">
        <f>[16]С2.5!$BH$11</f>
        <v>0</v>
      </c>
    </row>
    <row r="199" spans="2:3" hidden="1" x14ac:dyDescent="0.2">
      <c r="B199" s="112">
        <f t="shared" si="0"/>
        <v>2076</v>
      </c>
      <c r="C199" s="113">
        <f>[16]С2.5!$BI$11</f>
        <v>0</v>
      </c>
    </row>
    <row r="200" spans="2:3" hidden="1" x14ac:dyDescent="0.2">
      <c r="B200" s="112">
        <f t="shared" si="0"/>
        <v>2077</v>
      </c>
      <c r="C200" s="113">
        <f>[16]С2.5!$BJ$11</f>
        <v>0</v>
      </c>
    </row>
    <row r="201" spans="2:3" hidden="1" x14ac:dyDescent="0.2">
      <c r="B201" s="112">
        <f t="shared" si="0"/>
        <v>2078</v>
      </c>
      <c r="C201" s="113">
        <f>[16]С2.5!$BK$11</f>
        <v>0</v>
      </c>
    </row>
    <row r="202" spans="2:3" hidden="1" x14ac:dyDescent="0.2">
      <c r="B202" s="112">
        <f t="shared" si="0"/>
        <v>2079</v>
      </c>
      <c r="C202" s="113">
        <f>[16]С2.5!$BL$11</f>
        <v>0</v>
      </c>
    </row>
    <row r="203" spans="2:3" hidden="1" x14ac:dyDescent="0.2">
      <c r="B203" s="112">
        <f t="shared" si="0"/>
        <v>2080</v>
      </c>
      <c r="C203" s="113">
        <f>[16]С2.5!$BM$11</f>
        <v>0</v>
      </c>
    </row>
    <row r="204" spans="2:3" hidden="1" x14ac:dyDescent="0.2">
      <c r="B204" s="112">
        <f t="shared" si="0"/>
        <v>2081</v>
      </c>
      <c r="C204" s="113">
        <f>[16]С2.5!$BN$11</f>
        <v>0</v>
      </c>
    </row>
    <row r="205" spans="2:3" hidden="1" x14ac:dyDescent="0.2">
      <c r="B205" s="112">
        <f t="shared" si="0"/>
        <v>2082</v>
      </c>
      <c r="C205" s="113">
        <f>[16]С2.5!$BO$11</f>
        <v>0</v>
      </c>
    </row>
    <row r="206" spans="2:3" hidden="1" x14ac:dyDescent="0.2">
      <c r="B206" s="112">
        <f t="shared" si="0"/>
        <v>2083</v>
      </c>
      <c r="C206" s="113">
        <f>[16]С2.5!$BP$11</f>
        <v>0</v>
      </c>
    </row>
    <row r="207" spans="2:3" hidden="1" x14ac:dyDescent="0.2">
      <c r="B207" s="112">
        <f t="shared" si="0"/>
        <v>2084</v>
      </c>
      <c r="C207" s="113">
        <f>[16]С2.5!$BQ$11</f>
        <v>0</v>
      </c>
    </row>
    <row r="208" spans="2:3" hidden="1" x14ac:dyDescent="0.2">
      <c r="B208" s="112">
        <f t="shared" si="0"/>
        <v>2085</v>
      </c>
      <c r="C208" s="113">
        <f>[16]С2.5!$BR$11</f>
        <v>0</v>
      </c>
    </row>
    <row r="209" spans="2:3" hidden="1" x14ac:dyDescent="0.2">
      <c r="B209" s="112">
        <f t="shared" ref="B209:B223" si="1">B208+1</f>
        <v>2086</v>
      </c>
      <c r="C209" s="113">
        <f>[16]С2.5!$BS$11</f>
        <v>0</v>
      </c>
    </row>
    <row r="210" spans="2:3" hidden="1" x14ac:dyDescent="0.2">
      <c r="B210" s="112">
        <f t="shared" si="1"/>
        <v>2087</v>
      </c>
      <c r="C210" s="113">
        <f>[16]С2.5!$BT$11</f>
        <v>0</v>
      </c>
    </row>
    <row r="211" spans="2:3" hidden="1" x14ac:dyDescent="0.2">
      <c r="B211" s="112">
        <f t="shared" si="1"/>
        <v>2088</v>
      </c>
      <c r="C211" s="113">
        <f>[16]С2.5!$BU$11</f>
        <v>0</v>
      </c>
    </row>
    <row r="212" spans="2:3" hidden="1" x14ac:dyDescent="0.2">
      <c r="B212" s="112">
        <f t="shared" si="1"/>
        <v>2089</v>
      </c>
      <c r="C212" s="113">
        <f>[16]С2.5!$BV$11</f>
        <v>0</v>
      </c>
    </row>
    <row r="213" spans="2:3" hidden="1" x14ac:dyDescent="0.2">
      <c r="B213" s="112">
        <f t="shared" si="1"/>
        <v>2090</v>
      </c>
      <c r="C213" s="113">
        <f>[16]С2.5!$BW$11</f>
        <v>0</v>
      </c>
    </row>
    <row r="214" spans="2:3" hidden="1" x14ac:dyDescent="0.2">
      <c r="B214" s="112">
        <f t="shared" si="1"/>
        <v>2091</v>
      </c>
      <c r="C214" s="113">
        <f>[16]С2.5!$BX$11</f>
        <v>0</v>
      </c>
    </row>
    <row r="215" spans="2:3" hidden="1" x14ac:dyDescent="0.2">
      <c r="B215" s="112">
        <f t="shared" si="1"/>
        <v>2092</v>
      </c>
      <c r="C215" s="113">
        <f>[16]С2.5!$BY$11</f>
        <v>0</v>
      </c>
    </row>
    <row r="216" spans="2:3" hidden="1" x14ac:dyDescent="0.2">
      <c r="B216" s="112">
        <f t="shared" si="1"/>
        <v>2093</v>
      </c>
      <c r="C216" s="113">
        <f>[16]С2.5!$BZ$11</f>
        <v>0</v>
      </c>
    </row>
    <row r="217" spans="2:3" hidden="1" x14ac:dyDescent="0.2">
      <c r="B217" s="112">
        <f t="shared" si="1"/>
        <v>2094</v>
      </c>
      <c r="C217" s="113">
        <f>[16]С2.5!$CA$11</f>
        <v>0</v>
      </c>
    </row>
    <row r="218" spans="2:3" hidden="1" x14ac:dyDescent="0.2">
      <c r="B218" s="112">
        <f t="shared" si="1"/>
        <v>2095</v>
      </c>
      <c r="C218" s="113">
        <f>[16]С2.5!$CB$11</f>
        <v>0</v>
      </c>
    </row>
    <row r="219" spans="2:3" hidden="1" x14ac:dyDescent="0.2">
      <c r="B219" s="112">
        <f t="shared" si="1"/>
        <v>2096</v>
      </c>
      <c r="C219" s="113">
        <f>[16]С2.5!$CC$11</f>
        <v>0</v>
      </c>
    </row>
    <row r="220" spans="2:3" hidden="1" x14ac:dyDescent="0.2">
      <c r="B220" s="112">
        <f t="shared" si="1"/>
        <v>2097</v>
      </c>
      <c r="C220" s="113">
        <f>[16]С2.5!$CD$11</f>
        <v>0</v>
      </c>
    </row>
    <row r="221" spans="2:3" hidden="1" x14ac:dyDescent="0.2">
      <c r="B221" s="112">
        <f t="shared" si="1"/>
        <v>2098</v>
      </c>
      <c r="C221" s="113">
        <f>[16]С2.5!$CE$11</f>
        <v>0</v>
      </c>
    </row>
    <row r="222" spans="2:3" hidden="1" x14ac:dyDescent="0.2">
      <c r="B222" s="112">
        <f t="shared" si="1"/>
        <v>2099</v>
      </c>
      <c r="C222" s="113">
        <f>[16]С2.5!$CF$11</f>
        <v>0</v>
      </c>
    </row>
    <row r="223" spans="2:3" ht="13.5" hidden="1" thickBot="1" x14ac:dyDescent="0.25">
      <c r="B223" s="114">
        <f t="shared" si="1"/>
        <v>2100</v>
      </c>
      <c r="C223" s="115">
        <f>[16]С2.5!$CG$11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7409" r:id="rId3" name="Button 1">
              <controlPr defaultSize="0" print="0" autoFill="0" autoPict="0" macro="[16]!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[17]И1!D13</f>
        <v>Субъект Российской Федерации</v>
      </c>
      <c r="C4" s="10" t="str">
        <f>[17]И1!E13</f>
        <v>Новосибирская область</v>
      </c>
    </row>
    <row r="5" spans="1:3" ht="38.25" x14ac:dyDescent="0.2">
      <c r="A5" s="8"/>
      <c r="B5" s="9" t="str">
        <f>[17]И1!D14</f>
        <v>Тип муниципального образования (выберите из списка)</v>
      </c>
      <c r="C5" s="10" t="str">
        <f>[17]И1!E14</f>
        <v>поселок Садовый, Краснозерский муниципальный район</v>
      </c>
    </row>
    <row r="6" spans="1:3" x14ac:dyDescent="0.2">
      <c r="A6" s="8"/>
      <c r="B6" s="9" t="str">
        <f>IF([17]И1!E15="","",[17]И1!D15)</f>
        <v/>
      </c>
      <c r="C6" s="10" t="str">
        <f>IF([17]И1!E15="","",[17]И1!E15)</f>
        <v/>
      </c>
    </row>
    <row r="7" spans="1:3" x14ac:dyDescent="0.2">
      <c r="A7" s="8"/>
      <c r="B7" s="9" t="str">
        <f>[17]И1!D16</f>
        <v>Код ОКТМО</v>
      </c>
      <c r="C7" s="11" t="str">
        <f>[17]И1!E16</f>
        <v xml:space="preserve"> (50627443101)</v>
      </c>
    </row>
    <row r="8" spans="1:3" x14ac:dyDescent="0.2">
      <c r="A8" s="8"/>
      <c r="B8" s="12" t="str">
        <f>[17]И1!D17</f>
        <v>Система теплоснабжения</v>
      </c>
      <c r="C8" s="13">
        <f>[17]И1!E17</f>
        <v>0</v>
      </c>
    </row>
    <row r="9" spans="1:3" x14ac:dyDescent="0.2">
      <c r="A9" s="8"/>
      <c r="B9" s="9" t="str">
        <f>[17]И1!D8</f>
        <v>Период регулирования (i)-й</v>
      </c>
      <c r="C9" s="14">
        <f>[17]И1!E8</f>
        <v>2023</v>
      </c>
    </row>
    <row r="10" spans="1:3" x14ac:dyDescent="0.2">
      <c r="A10" s="8"/>
      <c r="B10" s="9" t="str">
        <f>[17]И1!D9</f>
        <v>Период регулирования (i-1)-й</v>
      </c>
      <c r="C10" s="14">
        <f>[17]И1!E9</f>
        <v>2022</v>
      </c>
    </row>
    <row r="11" spans="1:3" x14ac:dyDescent="0.2">
      <c r="A11" s="8"/>
      <c r="B11" s="9" t="str">
        <f>[17]И1!D10</f>
        <v>Период регулирования (i-2)-й</v>
      </c>
      <c r="C11" s="14">
        <f>[17]И1!E10</f>
        <v>2021</v>
      </c>
    </row>
    <row r="12" spans="1:3" x14ac:dyDescent="0.2">
      <c r="A12" s="8"/>
      <c r="B12" s="9" t="str">
        <f>[17]И1!D11</f>
        <v>Базовый год (б)</v>
      </c>
      <c r="C12" s="14">
        <f>[17]И1!E11</f>
        <v>2019</v>
      </c>
    </row>
    <row r="13" spans="1:3" ht="38.25" x14ac:dyDescent="0.2">
      <c r="A13" s="8"/>
      <c r="B13" s="9" t="str">
        <f>[17]И1!D18</f>
        <v>Вид топлива, использование которого преобладает в системе теплоснабжения</v>
      </c>
      <c r="C13" s="15" t="str">
        <f>[17]С1.1!E13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4002.890431642671</v>
      </c>
    </row>
    <row r="18" spans="1:3" ht="42.75" x14ac:dyDescent="0.2">
      <c r="A18" s="22" t="s">
        <v>8</v>
      </c>
      <c r="B18" s="25" t="s">
        <v>9</v>
      </c>
      <c r="C18" s="26">
        <f>[17]С1!F12</f>
        <v>922.33326199623832</v>
      </c>
    </row>
    <row r="19" spans="1:3" ht="42.75" x14ac:dyDescent="0.2">
      <c r="A19" s="22" t="s">
        <v>10</v>
      </c>
      <c r="B19" s="25" t="s">
        <v>11</v>
      </c>
      <c r="C19" s="26">
        <f>[17]С2!F12</f>
        <v>2106.0579468653982</v>
      </c>
    </row>
    <row r="20" spans="1:3" ht="30" x14ac:dyDescent="0.2">
      <c r="A20" s="22" t="s">
        <v>12</v>
      </c>
      <c r="B20" s="25" t="s">
        <v>13</v>
      </c>
      <c r="C20" s="26">
        <f>[17]С3!F12</f>
        <v>503.83473408478085</v>
      </c>
    </row>
    <row r="21" spans="1:3" ht="42.75" x14ac:dyDescent="0.2">
      <c r="A21" s="22" t="s">
        <v>14</v>
      </c>
      <c r="B21" s="25" t="s">
        <v>15</v>
      </c>
      <c r="C21" s="26">
        <f>[17]С4!F12</f>
        <v>392.17644101698551</v>
      </c>
    </row>
    <row r="22" spans="1:3" ht="30" x14ac:dyDescent="0.2">
      <c r="A22" s="22" t="s">
        <v>16</v>
      </c>
      <c r="B22" s="25" t="s">
        <v>17</v>
      </c>
      <c r="C22" s="26">
        <f>[17]С5!F12</f>
        <v>78.488047679268064</v>
      </c>
    </row>
    <row r="23" spans="1:3" ht="43.5" thickBot="1" x14ac:dyDescent="0.25">
      <c r="A23" s="27" t="s">
        <v>18</v>
      </c>
      <c r="B23" s="120" t="s">
        <v>19</v>
      </c>
      <c r="C23" s="29" t="str">
        <f>[17]С6!F12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[17]С1.1!E16</f>
        <v>5100</v>
      </c>
    </row>
    <row r="29" spans="1:3" ht="42.75" x14ac:dyDescent="0.2">
      <c r="A29" s="22" t="s">
        <v>10</v>
      </c>
      <c r="B29" s="34" t="s">
        <v>22</v>
      </c>
      <c r="C29" s="35">
        <f>[17]С1.1!E27</f>
        <v>2480</v>
      </c>
    </row>
    <row r="30" spans="1:3" ht="17.25" x14ac:dyDescent="0.2">
      <c r="A30" s="22" t="s">
        <v>12</v>
      </c>
      <c r="B30" s="34" t="s">
        <v>23</v>
      </c>
      <c r="C30" s="36">
        <f>[17]С1.1!E19</f>
        <v>0.59499999999999997</v>
      </c>
    </row>
    <row r="31" spans="1:3" ht="17.25" x14ac:dyDescent="0.2">
      <c r="A31" s="22" t="s">
        <v>14</v>
      </c>
      <c r="B31" s="34" t="s">
        <v>24</v>
      </c>
      <c r="C31" s="36">
        <f>[17]С1.1!E20</f>
        <v>-0.113</v>
      </c>
    </row>
    <row r="32" spans="1:3" ht="30" x14ac:dyDescent="0.2">
      <c r="A32" s="22" t="s">
        <v>16</v>
      </c>
      <c r="B32" s="37" t="s">
        <v>25</v>
      </c>
      <c r="C32" s="38">
        <f>[17]С1!F13</f>
        <v>176.4</v>
      </c>
    </row>
    <row r="33" spans="1:3" x14ac:dyDescent="0.2">
      <c r="A33" s="22" t="s">
        <v>18</v>
      </c>
      <c r="B33" s="37" t="s">
        <v>26</v>
      </c>
      <c r="C33" s="39">
        <f>[17]С1!F16</f>
        <v>7000</v>
      </c>
    </row>
    <row r="34" spans="1:3" ht="14.25" x14ac:dyDescent="0.2">
      <c r="A34" s="22" t="s">
        <v>27</v>
      </c>
      <c r="B34" s="40" t="s">
        <v>28</v>
      </c>
      <c r="C34" s="41">
        <f>[17]С1!F17</f>
        <v>0.72857142857142854</v>
      </c>
    </row>
    <row r="35" spans="1:3" ht="15.75" x14ac:dyDescent="0.2">
      <c r="A35" s="42" t="s">
        <v>29</v>
      </c>
      <c r="B35" s="43" t="s">
        <v>30</v>
      </c>
      <c r="C35" s="41">
        <f>[17]С1!F20</f>
        <v>21.588411179999994</v>
      </c>
    </row>
    <row r="36" spans="1:3" ht="15.75" x14ac:dyDescent="0.2">
      <c r="A36" s="42" t="s">
        <v>31</v>
      </c>
      <c r="B36" s="44" t="s">
        <v>32</v>
      </c>
      <c r="C36" s="41">
        <f>[17]С1!F21</f>
        <v>20.818139999999996</v>
      </c>
    </row>
    <row r="37" spans="1:3" ht="14.25" x14ac:dyDescent="0.2">
      <c r="A37" s="42" t="s">
        <v>33</v>
      </c>
      <c r="B37" s="45" t="s">
        <v>34</v>
      </c>
      <c r="C37" s="41">
        <f>[17]С1!F22</f>
        <v>1.0369999999999999</v>
      </c>
    </row>
    <row r="38" spans="1:3" ht="53.25" thickBot="1" x14ac:dyDescent="0.25">
      <c r="A38" s="27" t="s">
        <v>35</v>
      </c>
      <c r="B38" s="46" t="s">
        <v>36</v>
      </c>
      <c r="C38" s="47">
        <f>[17]С1!F23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[17]С2.1!E12</f>
        <v>V</v>
      </c>
    </row>
    <row r="42" spans="1:3" ht="25.5" x14ac:dyDescent="0.2">
      <c r="A42" s="22" t="s">
        <v>41</v>
      </c>
      <c r="B42" s="34" t="s">
        <v>42</v>
      </c>
      <c r="C42" s="52" t="str">
        <f>[17]С2.1!E13</f>
        <v>6 и менее баллов</v>
      </c>
    </row>
    <row r="43" spans="1:3" ht="25.5" x14ac:dyDescent="0.2">
      <c r="A43" s="22" t="s">
        <v>43</v>
      </c>
      <c r="B43" s="34" t="s">
        <v>44</v>
      </c>
      <c r="C43" s="52" t="str">
        <f>[17]С2.1!E14</f>
        <v>от 200 до 500</v>
      </c>
    </row>
    <row r="44" spans="1:3" ht="25.5" x14ac:dyDescent="0.2">
      <c r="A44" s="22" t="s">
        <v>45</v>
      </c>
      <c r="B44" s="34" t="s">
        <v>46</v>
      </c>
      <c r="C44" s="53" t="str">
        <f>[17]С2.1!E15</f>
        <v>нет</v>
      </c>
    </row>
    <row r="45" spans="1:3" ht="30" x14ac:dyDescent="0.2">
      <c r="A45" s="22" t="s">
        <v>47</v>
      </c>
      <c r="B45" s="34" t="s">
        <v>48</v>
      </c>
      <c r="C45" s="35">
        <f>[17]С2!F18</f>
        <v>32402.627334033532</v>
      </c>
    </row>
    <row r="46" spans="1:3" ht="30" x14ac:dyDescent="0.2">
      <c r="A46" s="22" t="s">
        <v>49</v>
      </c>
      <c r="B46" s="54" t="s">
        <v>50</v>
      </c>
      <c r="C46" s="35">
        <f>IF([17]С2!F19&gt;0,[17]С2!F19,[17]С2!F20)</f>
        <v>23441.524932855718</v>
      </c>
    </row>
    <row r="47" spans="1:3" ht="25.5" x14ac:dyDescent="0.2">
      <c r="A47" s="22" t="s">
        <v>51</v>
      </c>
      <c r="B47" s="55" t="s">
        <v>52</v>
      </c>
      <c r="C47" s="35">
        <f>[17]С2.1!E19</f>
        <v>-37</v>
      </c>
    </row>
    <row r="48" spans="1:3" ht="25.5" x14ac:dyDescent="0.2">
      <c r="A48" s="22" t="s">
        <v>53</v>
      </c>
      <c r="B48" s="55" t="s">
        <v>54</v>
      </c>
      <c r="C48" s="35" t="str">
        <f>[17]С2.1!E22</f>
        <v>нет</v>
      </c>
    </row>
    <row r="49" spans="1:3" ht="38.25" x14ac:dyDescent="0.2">
      <c r="A49" s="22" t="s">
        <v>55</v>
      </c>
      <c r="B49" s="56" t="s">
        <v>56</v>
      </c>
      <c r="C49" s="35">
        <f>[17]С2.2!E10</f>
        <v>1287</v>
      </c>
    </row>
    <row r="50" spans="1:3" ht="25.5" x14ac:dyDescent="0.2">
      <c r="A50" s="22" t="s">
        <v>57</v>
      </c>
      <c r="B50" s="57" t="s">
        <v>58</v>
      </c>
      <c r="C50" s="35">
        <f>[17]С2.2!E12</f>
        <v>5.97</v>
      </c>
    </row>
    <row r="51" spans="1:3" ht="52.5" x14ac:dyDescent="0.2">
      <c r="A51" s="22" t="s">
        <v>59</v>
      </c>
      <c r="B51" s="58" t="s">
        <v>60</v>
      </c>
      <c r="C51" s="35">
        <f>[17]С2.2!E13</f>
        <v>1</v>
      </c>
    </row>
    <row r="52" spans="1:3" ht="27.75" x14ac:dyDescent="0.2">
      <c r="A52" s="22" t="s">
        <v>61</v>
      </c>
      <c r="B52" s="57" t="s">
        <v>62</v>
      </c>
      <c r="C52" s="35">
        <f>[17]С2.2!E14</f>
        <v>12104</v>
      </c>
    </row>
    <row r="53" spans="1:3" ht="25.5" x14ac:dyDescent="0.2">
      <c r="A53" s="22" t="s">
        <v>63</v>
      </c>
      <c r="B53" s="58" t="s">
        <v>64</v>
      </c>
      <c r="C53" s="36">
        <f>[17]С2.2!E15</f>
        <v>4.8000000000000001E-2</v>
      </c>
    </row>
    <row r="54" spans="1:3" x14ac:dyDescent="0.2">
      <c r="A54" s="22" t="s">
        <v>65</v>
      </c>
      <c r="B54" s="58" t="s">
        <v>66</v>
      </c>
      <c r="C54" s="35">
        <f>[17]С2.2!E16</f>
        <v>1</v>
      </c>
    </row>
    <row r="55" spans="1:3" ht="15.75" x14ac:dyDescent="0.2">
      <c r="A55" s="22" t="s">
        <v>67</v>
      </c>
      <c r="B55" s="59" t="s">
        <v>68</v>
      </c>
      <c r="C55" s="35">
        <f>[17]С2!F21</f>
        <v>1</v>
      </c>
    </row>
    <row r="56" spans="1:3" ht="30" x14ac:dyDescent="0.2">
      <c r="A56" s="60" t="s">
        <v>69</v>
      </c>
      <c r="B56" s="34" t="s">
        <v>70</v>
      </c>
      <c r="C56" s="35">
        <f>[17]С2!F13</f>
        <v>169640.22915965237</v>
      </c>
    </row>
    <row r="57" spans="1:3" ht="30" x14ac:dyDescent="0.2">
      <c r="A57" s="60" t="s">
        <v>71</v>
      </c>
      <c r="B57" s="59" t="s">
        <v>72</v>
      </c>
      <c r="C57" s="35">
        <f>[17]С2!F14</f>
        <v>113455</v>
      </c>
    </row>
    <row r="58" spans="1:3" ht="15.75" x14ac:dyDescent="0.2">
      <c r="A58" s="60" t="s">
        <v>73</v>
      </c>
      <c r="B58" s="61" t="s">
        <v>74</v>
      </c>
      <c r="C58" s="41">
        <f>[17]С2!F15</f>
        <v>1.071</v>
      </c>
    </row>
    <row r="59" spans="1:3" ht="15.75" x14ac:dyDescent="0.2">
      <c r="A59" s="60" t="s">
        <v>75</v>
      </c>
      <c r="B59" s="61" t="s">
        <v>76</v>
      </c>
      <c r="C59" s="41">
        <f>[17]С2!F16</f>
        <v>1</v>
      </c>
    </row>
    <row r="60" spans="1:3" ht="17.25" x14ac:dyDescent="0.2">
      <c r="A60" s="60" t="s">
        <v>77</v>
      </c>
      <c r="B60" s="59" t="s">
        <v>78</v>
      </c>
      <c r="C60" s="35">
        <f>[17]С2!F17</f>
        <v>1.01</v>
      </c>
    </row>
    <row r="61" spans="1:3" s="64" customFormat="1" ht="14.25" x14ac:dyDescent="0.2">
      <c r="A61" s="60" t="s">
        <v>79</v>
      </c>
      <c r="B61" s="62" t="s">
        <v>80</v>
      </c>
      <c r="C61" s="63">
        <f>[17]С2!F33</f>
        <v>10</v>
      </c>
    </row>
    <row r="62" spans="1:3" ht="30" x14ac:dyDescent="0.2">
      <c r="A62" s="60" t="s">
        <v>81</v>
      </c>
      <c r="B62" s="65" t="s">
        <v>82</v>
      </c>
      <c r="C62" s="35">
        <f>[17]С2!F26</f>
        <v>1123.6482814273334</v>
      </c>
    </row>
    <row r="63" spans="1:3" ht="17.25" x14ac:dyDescent="0.2">
      <c r="A63" s="60" t="s">
        <v>83</v>
      </c>
      <c r="B63" s="54" t="s">
        <v>84</v>
      </c>
      <c r="C63" s="35">
        <f>[17]С2!F27</f>
        <v>0.19354712999999998</v>
      </c>
    </row>
    <row r="64" spans="1:3" ht="17.25" x14ac:dyDescent="0.2">
      <c r="A64" s="60" t="s">
        <v>85</v>
      </c>
      <c r="B64" s="59" t="s">
        <v>86</v>
      </c>
      <c r="C64" s="63">
        <f>[17]С2!F28</f>
        <v>4200</v>
      </c>
    </row>
    <row r="65" spans="1:3" ht="42.75" x14ac:dyDescent="0.2">
      <c r="A65" s="60" t="s">
        <v>87</v>
      </c>
      <c r="B65" s="34" t="s">
        <v>88</v>
      </c>
      <c r="C65" s="35">
        <f>[17]С2!F22</f>
        <v>35717.748653137714</v>
      </c>
    </row>
    <row r="66" spans="1:3" ht="30" x14ac:dyDescent="0.2">
      <c r="A66" s="60" t="s">
        <v>89</v>
      </c>
      <c r="B66" s="61" t="s">
        <v>90</v>
      </c>
      <c r="C66" s="35">
        <f>[17]С2!F23</f>
        <v>1990</v>
      </c>
    </row>
    <row r="67" spans="1:3" ht="30" x14ac:dyDescent="0.2">
      <c r="A67" s="60" t="s">
        <v>91</v>
      </c>
      <c r="B67" s="54" t="s">
        <v>92</v>
      </c>
      <c r="C67" s="35">
        <f>[17]С2.1!E27</f>
        <v>14307.876789999998</v>
      </c>
    </row>
    <row r="68" spans="1:3" ht="38.25" x14ac:dyDescent="0.2">
      <c r="A68" s="60" t="s">
        <v>93</v>
      </c>
      <c r="B68" s="66" t="s">
        <v>94</v>
      </c>
      <c r="C68" s="53">
        <f>[17]С2.3!E21</f>
        <v>0</v>
      </c>
    </row>
    <row r="69" spans="1:3" ht="25.5" x14ac:dyDescent="0.2">
      <c r="A69" s="60" t="s">
        <v>95</v>
      </c>
      <c r="B69" s="67" t="s">
        <v>96</v>
      </c>
      <c r="C69" s="68">
        <f>[17]С2.3!E11</f>
        <v>9.89</v>
      </c>
    </row>
    <row r="70" spans="1:3" ht="25.5" x14ac:dyDescent="0.2">
      <c r="A70" s="60" t="s">
        <v>97</v>
      </c>
      <c r="B70" s="67" t="s">
        <v>98</v>
      </c>
      <c r="C70" s="63">
        <f>[17]С2.3!E13</f>
        <v>300</v>
      </c>
    </row>
    <row r="71" spans="1:3" ht="25.5" x14ac:dyDescent="0.2">
      <c r="A71" s="60" t="s">
        <v>99</v>
      </c>
      <c r="B71" s="66" t="s">
        <v>100</v>
      </c>
      <c r="C71" s="69">
        <f>IF([17]С2.3!E22&gt;0,[17]С2.3!E22,[17]С2.3!E14)</f>
        <v>61211</v>
      </c>
    </row>
    <row r="72" spans="1:3" ht="38.25" x14ac:dyDescent="0.2">
      <c r="A72" s="60" t="s">
        <v>101</v>
      </c>
      <c r="B72" s="66" t="s">
        <v>102</v>
      </c>
      <c r="C72" s="69">
        <f>IF([17]С2.3!E23&gt;0,[17]С2.3!E23,[17]С2.3!E15)</f>
        <v>45675</v>
      </c>
    </row>
    <row r="73" spans="1:3" ht="30" x14ac:dyDescent="0.2">
      <c r="A73" s="60" t="s">
        <v>103</v>
      </c>
      <c r="B73" s="54" t="s">
        <v>104</v>
      </c>
      <c r="C73" s="35">
        <f>[17]С2.1!E28</f>
        <v>9541.9567200000001</v>
      </c>
    </row>
    <row r="74" spans="1:3" ht="38.25" x14ac:dyDescent="0.2">
      <c r="A74" s="60" t="s">
        <v>105</v>
      </c>
      <c r="B74" s="66" t="s">
        <v>106</v>
      </c>
      <c r="C74" s="53">
        <f>[17]С2.3!E25</f>
        <v>0</v>
      </c>
    </row>
    <row r="75" spans="1:3" ht="25.5" x14ac:dyDescent="0.2">
      <c r="A75" s="60" t="s">
        <v>107</v>
      </c>
      <c r="B75" s="67" t="s">
        <v>108</v>
      </c>
      <c r="C75" s="68">
        <f>[17]С2.3!E12</f>
        <v>0.56000000000000005</v>
      </c>
    </row>
    <row r="76" spans="1:3" ht="25.5" x14ac:dyDescent="0.2">
      <c r="A76" s="60" t="s">
        <v>109</v>
      </c>
      <c r="B76" s="67" t="s">
        <v>98</v>
      </c>
      <c r="C76" s="63">
        <f>[17]С2.3!E13</f>
        <v>300</v>
      </c>
    </row>
    <row r="77" spans="1:3" ht="25.5" x14ac:dyDescent="0.2">
      <c r="A77" s="60" t="s">
        <v>110</v>
      </c>
      <c r="B77" s="70" t="s">
        <v>111</v>
      </c>
      <c r="C77" s="69">
        <f>IF([17]С2.3!E26&gt;0,[17]С2.3!E26,[17]С2.3!E16)</f>
        <v>65637</v>
      </c>
    </row>
    <row r="78" spans="1:3" ht="38.25" x14ac:dyDescent="0.2">
      <c r="A78" s="60" t="s">
        <v>112</v>
      </c>
      <c r="B78" s="70" t="s">
        <v>113</v>
      </c>
      <c r="C78" s="69">
        <f>IF([17]С2.3!E27&gt;0,[17]С2.3!E27,[17]С2.3!E17)</f>
        <v>31684</v>
      </c>
    </row>
    <row r="79" spans="1:3" ht="17.25" x14ac:dyDescent="0.2">
      <c r="A79" s="60" t="s">
        <v>114</v>
      </c>
      <c r="B79" s="34" t="s">
        <v>115</v>
      </c>
      <c r="C79" s="36">
        <f>[17]С2!F29</f>
        <v>0.128978033685065</v>
      </c>
    </row>
    <row r="80" spans="1:3" ht="30" x14ac:dyDescent="0.2">
      <c r="A80" s="60" t="s">
        <v>116</v>
      </c>
      <c r="B80" s="54" t="s">
        <v>117</v>
      </c>
      <c r="C80" s="71">
        <f>[17]С2!F30</f>
        <v>0.11668498168498169</v>
      </c>
    </row>
    <row r="81" spans="1:3" ht="17.25" x14ac:dyDescent="0.2">
      <c r="A81" s="60" t="s">
        <v>118</v>
      </c>
      <c r="B81" s="72" t="s">
        <v>119</v>
      </c>
      <c r="C81" s="36">
        <f>[17]С2!F31</f>
        <v>0.13880000000000001</v>
      </c>
    </row>
    <row r="82" spans="1:3" s="64" customFormat="1" ht="18" thickBot="1" x14ac:dyDescent="0.25">
      <c r="A82" s="73" t="s">
        <v>120</v>
      </c>
      <c r="B82" s="74" t="s">
        <v>121</v>
      </c>
      <c r="C82" s="75">
        <f>[17]С2!F32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[17]С3!F14</f>
        <v>6998.3755440420418</v>
      </c>
    </row>
    <row r="86" spans="1:3" s="64" customFormat="1" ht="42.75" x14ac:dyDescent="0.2">
      <c r="A86" s="78" t="s">
        <v>126</v>
      </c>
      <c r="B86" s="54" t="s">
        <v>127</v>
      </c>
      <c r="C86" s="79">
        <f>[17]С3!F15</f>
        <v>0.2</v>
      </c>
    </row>
    <row r="87" spans="1:3" s="64" customFormat="1" ht="14.25" x14ac:dyDescent="0.2">
      <c r="A87" s="78" t="s">
        <v>128</v>
      </c>
      <c r="B87" s="80" t="s">
        <v>129</v>
      </c>
      <c r="C87" s="63">
        <f>[17]С3!F18</f>
        <v>15</v>
      </c>
    </row>
    <row r="88" spans="1:3" s="64" customFormat="1" ht="17.25" x14ac:dyDescent="0.2">
      <c r="A88" s="78" t="s">
        <v>130</v>
      </c>
      <c r="B88" s="34" t="s">
        <v>131</v>
      </c>
      <c r="C88" s="35">
        <f>[17]С3!F19</f>
        <v>3487.1555421534131</v>
      </c>
    </row>
    <row r="89" spans="1:3" s="64" customFormat="1" ht="55.5" x14ac:dyDescent="0.2">
      <c r="A89" s="78" t="s">
        <v>132</v>
      </c>
      <c r="B89" s="54" t="s">
        <v>133</v>
      </c>
      <c r="C89" s="81">
        <f>[17]С3!F20</f>
        <v>2.1999999999999999E-2</v>
      </c>
    </row>
    <row r="90" spans="1:3" s="64" customFormat="1" ht="14.25" x14ac:dyDescent="0.2">
      <c r="A90" s="78" t="s">
        <v>134</v>
      </c>
      <c r="B90" s="59" t="s">
        <v>80</v>
      </c>
      <c r="C90" s="63">
        <f>[17]С3!F21</f>
        <v>10</v>
      </c>
    </row>
    <row r="91" spans="1:3" s="64" customFormat="1" ht="17.25" x14ac:dyDescent="0.2">
      <c r="A91" s="78" t="s">
        <v>135</v>
      </c>
      <c r="B91" s="34" t="s">
        <v>136</v>
      </c>
      <c r="C91" s="35">
        <f>[17]С3!F22</f>
        <v>3.370944844282</v>
      </c>
    </row>
    <row r="92" spans="1:3" s="64" customFormat="1" ht="55.5" x14ac:dyDescent="0.2">
      <c r="A92" s="78" t="s">
        <v>137</v>
      </c>
      <c r="B92" s="54" t="s">
        <v>138</v>
      </c>
      <c r="C92" s="81">
        <f>[17]С3!F23</f>
        <v>3.0000000000000001E-3</v>
      </c>
    </row>
    <row r="93" spans="1:3" s="64" customFormat="1" ht="27.75" thickBot="1" x14ac:dyDescent="0.25">
      <c r="A93" s="82" t="s">
        <v>139</v>
      </c>
      <c r="B93" s="83" t="s">
        <v>140</v>
      </c>
      <c r="C93" s="84">
        <f>[17]С3!F24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[17]С4!F16</f>
        <v>1652.5</v>
      </c>
    </row>
    <row r="97" spans="1:3" ht="30" x14ac:dyDescent="0.2">
      <c r="A97" s="60" t="s">
        <v>145</v>
      </c>
      <c r="B97" s="59" t="s">
        <v>146</v>
      </c>
      <c r="C97" s="35">
        <f>[17]С4!F17</f>
        <v>73547</v>
      </c>
    </row>
    <row r="98" spans="1:3" ht="17.25" x14ac:dyDescent="0.2">
      <c r="A98" s="60" t="s">
        <v>147</v>
      </c>
      <c r="B98" s="59" t="s">
        <v>148</v>
      </c>
      <c r="C98" s="41">
        <f>[17]С4!F18</f>
        <v>0.02</v>
      </c>
    </row>
    <row r="99" spans="1:3" ht="30" x14ac:dyDescent="0.2">
      <c r="A99" s="60" t="s">
        <v>149</v>
      </c>
      <c r="B99" s="59" t="s">
        <v>150</v>
      </c>
      <c r="C99" s="35">
        <f>[17]С4!F19</f>
        <v>12104</v>
      </c>
    </row>
    <row r="100" spans="1:3" ht="31.5" x14ac:dyDescent="0.2">
      <c r="A100" s="60" t="s">
        <v>151</v>
      </c>
      <c r="B100" s="59" t="s">
        <v>152</v>
      </c>
      <c r="C100" s="41">
        <f>[17]С4!F20</f>
        <v>1.4999999999999999E-2</v>
      </c>
    </row>
    <row r="101" spans="1:3" ht="30" x14ac:dyDescent="0.2">
      <c r="A101" s="60" t="s">
        <v>153</v>
      </c>
      <c r="B101" s="34" t="s">
        <v>154</v>
      </c>
      <c r="C101" s="35">
        <f>[17]С4!F21</f>
        <v>1933.1949342509995</v>
      </c>
    </row>
    <row r="102" spans="1:3" ht="24" customHeight="1" x14ac:dyDescent="0.2">
      <c r="A102" s="60" t="s">
        <v>155</v>
      </c>
      <c r="B102" s="54" t="s">
        <v>156</v>
      </c>
      <c r="C102" s="86">
        <f>IF([17]С4.2!F8="да",[17]С4.2!D21,[17]С4.2!D15)</f>
        <v>0</v>
      </c>
    </row>
    <row r="103" spans="1:3" ht="68.25" x14ac:dyDescent="0.2">
      <c r="A103" s="60" t="s">
        <v>157</v>
      </c>
      <c r="B103" s="54" t="s">
        <v>158</v>
      </c>
      <c r="C103" s="35">
        <f>[17]С4!F22</f>
        <v>3.6112641666666665</v>
      </c>
    </row>
    <row r="104" spans="1:3" ht="30" x14ac:dyDescent="0.2">
      <c r="A104" s="60" t="s">
        <v>159</v>
      </c>
      <c r="B104" s="59" t="s">
        <v>160</v>
      </c>
      <c r="C104" s="35">
        <f>[17]С4!F23</f>
        <v>180</v>
      </c>
    </row>
    <row r="105" spans="1:3" ht="14.25" x14ac:dyDescent="0.2">
      <c r="A105" s="60" t="s">
        <v>161</v>
      </c>
      <c r="B105" s="54" t="s">
        <v>162</v>
      </c>
      <c r="C105" s="35">
        <f>[17]С4!F24</f>
        <v>8497.1999999999989</v>
      </c>
    </row>
    <row r="106" spans="1:3" ht="14.25" x14ac:dyDescent="0.2">
      <c r="A106" s="60" t="s">
        <v>163</v>
      </c>
      <c r="B106" s="59" t="s">
        <v>164</v>
      </c>
      <c r="C106" s="41">
        <f>[17]С4!F25</f>
        <v>0.35</v>
      </c>
    </row>
    <row r="107" spans="1:3" ht="17.25" x14ac:dyDescent="0.2">
      <c r="A107" s="60" t="s">
        <v>165</v>
      </c>
      <c r="B107" s="34" t="s">
        <v>166</v>
      </c>
      <c r="C107" s="35">
        <f>[17]С4!F26</f>
        <v>55.985610000000001</v>
      </c>
    </row>
    <row r="108" spans="1:3" ht="25.5" x14ac:dyDescent="0.2">
      <c r="A108" s="60" t="s">
        <v>167</v>
      </c>
      <c r="B108" s="54" t="s">
        <v>94</v>
      </c>
      <c r="C108" s="86">
        <f>[17]С4.3!E16</f>
        <v>0</v>
      </c>
    </row>
    <row r="109" spans="1:3" ht="25.5" x14ac:dyDescent="0.2">
      <c r="A109" s="60" t="s">
        <v>168</v>
      </c>
      <c r="B109" s="54" t="s">
        <v>169</v>
      </c>
      <c r="C109" s="35">
        <f>[17]С4.3!E17</f>
        <v>14.59</v>
      </c>
    </row>
    <row r="110" spans="1:3" ht="38.25" x14ac:dyDescent="0.2">
      <c r="A110" s="60" t="s">
        <v>170</v>
      </c>
      <c r="B110" s="54" t="s">
        <v>106</v>
      </c>
      <c r="C110" s="86">
        <f>[17]С4.3!E18</f>
        <v>0</v>
      </c>
    </row>
    <row r="111" spans="1:3" x14ac:dyDescent="0.2">
      <c r="A111" s="60" t="s">
        <v>171</v>
      </c>
      <c r="B111" s="54" t="s">
        <v>172</v>
      </c>
      <c r="C111" s="35">
        <f>[17]С4.3!E19</f>
        <v>23.62</v>
      </c>
    </row>
    <row r="112" spans="1:3" x14ac:dyDescent="0.2">
      <c r="A112" s="60" t="s">
        <v>173</v>
      </c>
      <c r="B112" s="59" t="s">
        <v>174</v>
      </c>
      <c r="C112" s="35">
        <f>[17]С4.3!E11</f>
        <v>1871</v>
      </c>
    </row>
    <row r="113" spans="1:3" x14ac:dyDescent="0.2">
      <c r="A113" s="60" t="s">
        <v>175</v>
      </c>
      <c r="B113" s="59" t="s">
        <v>176</v>
      </c>
      <c r="C113" s="53">
        <f>[17]С4.3!E12</f>
        <v>1636</v>
      </c>
    </row>
    <row r="114" spans="1:3" x14ac:dyDescent="0.2">
      <c r="A114" s="60" t="s">
        <v>177</v>
      </c>
      <c r="B114" s="59" t="s">
        <v>178</v>
      </c>
      <c r="C114" s="53">
        <f>[17]С4.3!E13</f>
        <v>204</v>
      </c>
    </row>
    <row r="115" spans="1:3" ht="30" x14ac:dyDescent="0.2">
      <c r="A115" s="60" t="s">
        <v>179</v>
      </c>
      <c r="B115" s="34" t="s">
        <v>180</v>
      </c>
      <c r="C115" s="35">
        <f>[17]С4!F27</f>
        <v>776.44759830395003</v>
      </c>
    </row>
    <row r="116" spans="1:3" ht="25.5" x14ac:dyDescent="0.2">
      <c r="A116" s="60" t="s">
        <v>181</v>
      </c>
      <c r="B116" s="54" t="s">
        <v>182</v>
      </c>
      <c r="C116" s="35">
        <f>[17]С4!F28</f>
        <v>596.34992189243474</v>
      </c>
    </row>
    <row r="117" spans="1:3" ht="42.75" x14ac:dyDescent="0.2">
      <c r="A117" s="60" t="s">
        <v>183</v>
      </c>
      <c r="B117" s="54" t="s">
        <v>184</v>
      </c>
      <c r="C117" s="35">
        <f>[17]С4!F29</f>
        <v>180.09767641151529</v>
      </c>
    </row>
    <row r="118" spans="1:3" ht="30" x14ac:dyDescent="0.2">
      <c r="A118" s="60" t="s">
        <v>185</v>
      </c>
      <c r="B118" s="40" t="s">
        <v>186</v>
      </c>
      <c r="C118" s="35">
        <f>[17]С4!F30</f>
        <v>2057.3172086427667</v>
      </c>
    </row>
    <row r="119" spans="1:3" ht="42.75" x14ac:dyDescent="0.2">
      <c r="A119" s="60" t="s">
        <v>187</v>
      </c>
      <c r="B119" s="87" t="s">
        <v>188</v>
      </c>
      <c r="C119" s="35">
        <f>[17]С4!F33</f>
        <v>1361.1290892426057</v>
      </c>
    </row>
    <row r="120" spans="1:3" ht="30" x14ac:dyDescent="0.2">
      <c r="A120" s="60" t="s">
        <v>189</v>
      </c>
      <c r="B120" s="88" t="s">
        <v>190</v>
      </c>
      <c r="C120" s="35">
        <f>[17]С4!F35</f>
        <v>17.040680999999999</v>
      </c>
    </row>
    <row r="121" spans="1:3" ht="14.25" x14ac:dyDescent="0.2">
      <c r="A121" s="60" t="s">
        <v>191</v>
      </c>
      <c r="B121" s="57" t="s">
        <v>192</v>
      </c>
      <c r="C121" s="35">
        <f>[17]С4!F36</f>
        <v>14319.9</v>
      </c>
    </row>
    <row r="122" spans="1:3" ht="28.5" thickBot="1" x14ac:dyDescent="0.25">
      <c r="A122" s="73" t="s">
        <v>193</v>
      </c>
      <c r="B122" s="89" t="s">
        <v>194</v>
      </c>
      <c r="C122" s="84">
        <f>[17]С4!F37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[17]С5!F17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[17]С2!F37</f>
        <v>20.818139999999996</v>
      </c>
    </row>
    <row r="136" spans="1:4" ht="14.25" x14ac:dyDescent="0.2">
      <c r="A136" s="60" t="s">
        <v>216</v>
      </c>
      <c r="B136" s="102" t="s">
        <v>217</v>
      </c>
      <c r="C136" s="35">
        <f>[17]С2!F38</f>
        <v>7</v>
      </c>
    </row>
    <row r="137" spans="1:4" ht="17.25" x14ac:dyDescent="0.2">
      <c r="A137" s="60" t="s">
        <v>218</v>
      </c>
      <c r="B137" s="102" t="s">
        <v>219</v>
      </c>
      <c r="C137" s="35">
        <f>[17]С2!F40</f>
        <v>0.97</v>
      </c>
    </row>
    <row r="138" spans="1:4" ht="15" thickBot="1" x14ac:dyDescent="0.25">
      <c r="A138" s="73" t="s">
        <v>220</v>
      </c>
      <c r="B138" s="103" t="s">
        <v>221</v>
      </c>
      <c r="C138" s="47">
        <f>[17]С2!F42</f>
        <v>0.35</v>
      </c>
    </row>
    <row r="139" spans="1:4" s="90" customFormat="1" ht="13.5" thickBot="1" x14ac:dyDescent="0.25">
      <c r="A139" s="48"/>
      <c r="B139" s="76"/>
      <c r="C139" s="15"/>
    </row>
    <row r="140" spans="1:4" ht="30" x14ac:dyDescent="0.2">
      <c r="A140" s="85" t="s">
        <v>222</v>
      </c>
      <c r="B140" s="104" t="s">
        <v>223</v>
      </c>
      <c r="C140" s="105">
        <f>[17]С2!F35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[17]С2.5!$E$11</f>
        <v>-2.9000000000000026E-2</v>
      </c>
      <c r="D143" s="90"/>
    </row>
    <row r="144" spans="1:4" x14ac:dyDescent="0.2">
      <c r="A144" s="107"/>
      <c r="B144" s="112">
        <f>B143+1</f>
        <v>2021</v>
      </c>
      <c r="C144" s="113">
        <f>[17]С2.5!$F$11</f>
        <v>0.245</v>
      </c>
      <c r="D144" s="90"/>
    </row>
    <row r="145" spans="1:4" x14ac:dyDescent="0.2">
      <c r="A145" s="107"/>
      <c r="B145" s="112">
        <f t="shared" ref="B145:B208" si="0">B144+1</f>
        <v>2022</v>
      </c>
      <c r="C145" s="113">
        <f>[17]С2.5!$G$11</f>
        <v>0.121</v>
      </c>
      <c r="D145" s="90"/>
    </row>
    <row r="146" spans="1:4" ht="13.5" thickBot="1" x14ac:dyDescent="0.25">
      <c r="A146" s="107"/>
      <c r="B146" s="114">
        <f t="shared" si="0"/>
        <v>2023</v>
      </c>
      <c r="C146" s="115">
        <f>[17]С2.5!$H$11</f>
        <v>0.02</v>
      </c>
      <c r="D146" s="90"/>
    </row>
    <row r="147" spans="1:4" hidden="1" x14ac:dyDescent="0.2">
      <c r="A147" s="107"/>
      <c r="B147" s="116">
        <f t="shared" si="0"/>
        <v>2024</v>
      </c>
      <c r="C147" s="117">
        <f>[17]С2.5!$I$11</f>
        <v>-2.93E-2</v>
      </c>
      <c r="D147" s="90"/>
    </row>
    <row r="148" spans="1:4" hidden="1" x14ac:dyDescent="0.2">
      <c r="A148" s="107"/>
      <c r="B148" s="112">
        <f t="shared" si="0"/>
        <v>2025</v>
      </c>
      <c r="C148" s="113">
        <f>[17]С2.5!$J$11</f>
        <v>0.21215960863291</v>
      </c>
      <c r="D148" s="90"/>
    </row>
    <row r="149" spans="1:4" hidden="1" x14ac:dyDescent="0.2">
      <c r="A149" s="107"/>
      <c r="B149" s="112">
        <f t="shared" si="0"/>
        <v>2026</v>
      </c>
      <c r="C149" s="113">
        <f>[17]С2.5!$K$11</f>
        <v>3.5813361771260002E-2</v>
      </c>
      <c r="D149" s="90"/>
    </row>
    <row r="150" spans="1:4" hidden="1" x14ac:dyDescent="0.2">
      <c r="A150" s="107"/>
      <c r="B150" s="112">
        <f t="shared" si="0"/>
        <v>2027</v>
      </c>
      <c r="C150" s="113">
        <f>[17]С2.5!$L$11</f>
        <v>3.2682303599220003E-2</v>
      </c>
      <c r="D150" s="90"/>
    </row>
    <row r="151" spans="1:4" hidden="1" x14ac:dyDescent="0.2">
      <c r="A151" s="107"/>
      <c r="B151" s="112">
        <f t="shared" si="0"/>
        <v>2028</v>
      </c>
      <c r="C151" s="113">
        <f>[17]С2.5!$M$11</f>
        <v>0</v>
      </c>
      <c r="D151" s="90"/>
    </row>
    <row r="152" spans="1:4" hidden="1" x14ac:dyDescent="0.2">
      <c r="A152" s="107"/>
      <c r="B152" s="112">
        <f t="shared" si="0"/>
        <v>2029</v>
      </c>
      <c r="C152" s="113">
        <f>[17]С2.5!$N$11</f>
        <v>0</v>
      </c>
      <c r="D152" s="90"/>
    </row>
    <row r="153" spans="1:4" hidden="1" x14ac:dyDescent="0.2">
      <c r="A153" s="107"/>
      <c r="B153" s="112">
        <f t="shared" si="0"/>
        <v>2030</v>
      </c>
      <c r="C153" s="113">
        <f>[17]С2.5!$O$11</f>
        <v>0</v>
      </c>
      <c r="D153" s="90"/>
    </row>
    <row r="154" spans="1:4" hidden="1" x14ac:dyDescent="0.2">
      <c r="A154" s="107"/>
      <c r="B154" s="112">
        <f t="shared" si="0"/>
        <v>2031</v>
      </c>
      <c r="C154" s="113">
        <f>[17]С2.5!$P$11</f>
        <v>0</v>
      </c>
      <c r="D154" s="90"/>
    </row>
    <row r="155" spans="1:4" hidden="1" x14ac:dyDescent="0.2">
      <c r="A155" s="90"/>
      <c r="B155" s="112">
        <f t="shared" si="0"/>
        <v>2032</v>
      </c>
      <c r="C155" s="113">
        <f>[17]С2.5!$Q$11</f>
        <v>0</v>
      </c>
      <c r="D155" s="90"/>
    </row>
    <row r="156" spans="1:4" hidden="1" x14ac:dyDescent="0.2">
      <c r="A156" s="90"/>
      <c r="B156" s="112">
        <f t="shared" si="0"/>
        <v>2033</v>
      </c>
      <c r="C156" s="113">
        <f>[17]С2.5!$R$11</f>
        <v>0</v>
      </c>
      <c r="D156" s="90"/>
    </row>
    <row r="157" spans="1:4" hidden="1" x14ac:dyDescent="0.2">
      <c r="B157" s="112">
        <f t="shared" si="0"/>
        <v>2034</v>
      </c>
      <c r="C157" s="113">
        <f>[17]С2.5!$S$11</f>
        <v>0</v>
      </c>
    </row>
    <row r="158" spans="1:4" hidden="1" x14ac:dyDescent="0.2">
      <c r="B158" s="112">
        <f t="shared" si="0"/>
        <v>2035</v>
      </c>
      <c r="C158" s="113">
        <f>[17]С2.5!$T$11</f>
        <v>0</v>
      </c>
    </row>
    <row r="159" spans="1:4" hidden="1" x14ac:dyDescent="0.2">
      <c r="B159" s="112">
        <f t="shared" si="0"/>
        <v>2036</v>
      </c>
      <c r="C159" s="113">
        <f>[17]С2.5!$U$11</f>
        <v>0</v>
      </c>
    </row>
    <row r="160" spans="1:4" hidden="1" x14ac:dyDescent="0.2">
      <c r="B160" s="112">
        <f t="shared" si="0"/>
        <v>2037</v>
      </c>
      <c r="C160" s="113">
        <f>[17]С2.5!$V$11</f>
        <v>0</v>
      </c>
    </row>
    <row r="161" spans="2:3" hidden="1" x14ac:dyDescent="0.2">
      <c r="B161" s="112">
        <f t="shared" si="0"/>
        <v>2038</v>
      </c>
      <c r="C161" s="113">
        <f>[17]С2.5!$W$11</f>
        <v>0</v>
      </c>
    </row>
    <row r="162" spans="2:3" hidden="1" x14ac:dyDescent="0.2">
      <c r="B162" s="112">
        <f t="shared" si="0"/>
        <v>2039</v>
      </c>
      <c r="C162" s="113">
        <f>[17]С2.5!$X$11</f>
        <v>0</v>
      </c>
    </row>
    <row r="163" spans="2:3" hidden="1" x14ac:dyDescent="0.2">
      <c r="B163" s="112">
        <f t="shared" si="0"/>
        <v>2040</v>
      </c>
      <c r="C163" s="113">
        <f>[17]С2.5!$Y$11</f>
        <v>0</v>
      </c>
    </row>
    <row r="164" spans="2:3" hidden="1" x14ac:dyDescent="0.2">
      <c r="B164" s="112">
        <f t="shared" si="0"/>
        <v>2041</v>
      </c>
      <c r="C164" s="113">
        <f>[17]С2.5!$Z$11</f>
        <v>0</v>
      </c>
    </row>
    <row r="165" spans="2:3" hidden="1" x14ac:dyDescent="0.2">
      <c r="B165" s="112">
        <f t="shared" si="0"/>
        <v>2042</v>
      </c>
      <c r="C165" s="113">
        <f>[17]С2.5!$AA$11</f>
        <v>0</v>
      </c>
    </row>
    <row r="166" spans="2:3" hidden="1" x14ac:dyDescent="0.2">
      <c r="B166" s="112">
        <f t="shared" si="0"/>
        <v>2043</v>
      </c>
      <c r="C166" s="113">
        <f>[17]С2.5!$AB$11</f>
        <v>0</v>
      </c>
    </row>
    <row r="167" spans="2:3" hidden="1" x14ac:dyDescent="0.2">
      <c r="B167" s="112">
        <f t="shared" si="0"/>
        <v>2044</v>
      </c>
      <c r="C167" s="113">
        <f>[17]С2.5!$AC$11</f>
        <v>0</v>
      </c>
    </row>
    <row r="168" spans="2:3" hidden="1" x14ac:dyDescent="0.2">
      <c r="B168" s="112">
        <f t="shared" si="0"/>
        <v>2045</v>
      </c>
      <c r="C168" s="113">
        <f>[17]С2.5!$AD$11</f>
        <v>0</v>
      </c>
    </row>
    <row r="169" spans="2:3" hidden="1" x14ac:dyDescent="0.2">
      <c r="B169" s="112">
        <f t="shared" si="0"/>
        <v>2046</v>
      </c>
      <c r="C169" s="113">
        <f>[17]С2.5!$AE$11</f>
        <v>0</v>
      </c>
    </row>
    <row r="170" spans="2:3" hidden="1" x14ac:dyDescent="0.2">
      <c r="B170" s="112">
        <f t="shared" si="0"/>
        <v>2047</v>
      </c>
      <c r="C170" s="113">
        <f>[17]С2.5!$AF$11</f>
        <v>0</v>
      </c>
    </row>
    <row r="171" spans="2:3" hidden="1" x14ac:dyDescent="0.2">
      <c r="B171" s="112">
        <f t="shared" si="0"/>
        <v>2048</v>
      </c>
      <c r="C171" s="113">
        <f>[17]С2.5!$AG$11</f>
        <v>0</v>
      </c>
    </row>
    <row r="172" spans="2:3" hidden="1" x14ac:dyDescent="0.2">
      <c r="B172" s="112">
        <f t="shared" si="0"/>
        <v>2049</v>
      </c>
      <c r="C172" s="113">
        <f>[17]С2.5!$AH$11</f>
        <v>0</v>
      </c>
    </row>
    <row r="173" spans="2:3" hidden="1" x14ac:dyDescent="0.2">
      <c r="B173" s="112">
        <f t="shared" si="0"/>
        <v>2050</v>
      </c>
      <c r="C173" s="113">
        <f>[17]С2.5!$AI$11</f>
        <v>0</v>
      </c>
    </row>
    <row r="174" spans="2:3" hidden="1" x14ac:dyDescent="0.2">
      <c r="B174" s="112">
        <f t="shared" si="0"/>
        <v>2051</v>
      </c>
      <c r="C174" s="113">
        <f>[17]С2.5!$AJ$11</f>
        <v>0</v>
      </c>
    </row>
    <row r="175" spans="2:3" hidden="1" x14ac:dyDescent="0.2">
      <c r="B175" s="112">
        <f t="shared" si="0"/>
        <v>2052</v>
      </c>
      <c r="C175" s="113">
        <f>[17]С2.5!$AK$11</f>
        <v>0</v>
      </c>
    </row>
    <row r="176" spans="2:3" hidden="1" x14ac:dyDescent="0.2">
      <c r="B176" s="112">
        <f t="shared" si="0"/>
        <v>2053</v>
      </c>
      <c r="C176" s="113">
        <f>[17]С2.5!$AL$11</f>
        <v>0</v>
      </c>
    </row>
    <row r="177" spans="2:3" hidden="1" x14ac:dyDescent="0.2">
      <c r="B177" s="112">
        <f t="shared" si="0"/>
        <v>2054</v>
      </c>
      <c r="C177" s="113">
        <f>[17]С2.5!$AM$11</f>
        <v>0</v>
      </c>
    </row>
    <row r="178" spans="2:3" hidden="1" x14ac:dyDescent="0.2">
      <c r="B178" s="112">
        <f t="shared" si="0"/>
        <v>2055</v>
      </c>
      <c r="C178" s="113">
        <f>[17]С2.5!$AN$11</f>
        <v>0</v>
      </c>
    </row>
    <row r="179" spans="2:3" hidden="1" x14ac:dyDescent="0.2">
      <c r="B179" s="112">
        <f t="shared" si="0"/>
        <v>2056</v>
      </c>
      <c r="C179" s="113">
        <f>[17]С2.5!$AO$11</f>
        <v>0</v>
      </c>
    </row>
    <row r="180" spans="2:3" hidden="1" x14ac:dyDescent="0.2">
      <c r="B180" s="112">
        <f t="shared" si="0"/>
        <v>2057</v>
      </c>
      <c r="C180" s="113">
        <f>[17]С2.5!$AP$11</f>
        <v>0</v>
      </c>
    </row>
    <row r="181" spans="2:3" hidden="1" x14ac:dyDescent="0.2">
      <c r="B181" s="112">
        <f t="shared" si="0"/>
        <v>2058</v>
      </c>
      <c r="C181" s="113">
        <f>[17]С2.5!$AQ$11</f>
        <v>0</v>
      </c>
    </row>
    <row r="182" spans="2:3" hidden="1" x14ac:dyDescent="0.2">
      <c r="B182" s="112">
        <f t="shared" si="0"/>
        <v>2059</v>
      </c>
      <c r="C182" s="113">
        <f>[17]С2.5!$AR$11</f>
        <v>0</v>
      </c>
    </row>
    <row r="183" spans="2:3" hidden="1" x14ac:dyDescent="0.2">
      <c r="B183" s="112">
        <f t="shared" si="0"/>
        <v>2060</v>
      </c>
      <c r="C183" s="113">
        <f>[17]С2.5!$AS$11</f>
        <v>0</v>
      </c>
    </row>
    <row r="184" spans="2:3" hidden="1" x14ac:dyDescent="0.2">
      <c r="B184" s="112">
        <f t="shared" si="0"/>
        <v>2061</v>
      </c>
      <c r="C184" s="113">
        <f>[17]С2.5!$AT$11</f>
        <v>0</v>
      </c>
    </row>
    <row r="185" spans="2:3" hidden="1" x14ac:dyDescent="0.2">
      <c r="B185" s="112">
        <f t="shared" si="0"/>
        <v>2062</v>
      </c>
      <c r="C185" s="113">
        <f>[17]С2.5!$AU$11</f>
        <v>0</v>
      </c>
    </row>
    <row r="186" spans="2:3" hidden="1" x14ac:dyDescent="0.2">
      <c r="B186" s="112">
        <f t="shared" si="0"/>
        <v>2063</v>
      </c>
      <c r="C186" s="113">
        <f>[17]С2.5!$AV$11</f>
        <v>0</v>
      </c>
    </row>
    <row r="187" spans="2:3" hidden="1" x14ac:dyDescent="0.2">
      <c r="B187" s="112">
        <f t="shared" si="0"/>
        <v>2064</v>
      </c>
      <c r="C187" s="113">
        <f>[17]С2.5!$AW$11</f>
        <v>0</v>
      </c>
    </row>
    <row r="188" spans="2:3" hidden="1" x14ac:dyDescent="0.2">
      <c r="B188" s="112">
        <f t="shared" si="0"/>
        <v>2065</v>
      </c>
      <c r="C188" s="113">
        <f>[17]С2.5!$AX$11</f>
        <v>0</v>
      </c>
    </row>
    <row r="189" spans="2:3" hidden="1" x14ac:dyDescent="0.2">
      <c r="B189" s="112">
        <f t="shared" si="0"/>
        <v>2066</v>
      </c>
      <c r="C189" s="113">
        <f>[17]С2.5!$AY$11</f>
        <v>0</v>
      </c>
    </row>
    <row r="190" spans="2:3" hidden="1" x14ac:dyDescent="0.2">
      <c r="B190" s="112">
        <f t="shared" si="0"/>
        <v>2067</v>
      </c>
      <c r="C190" s="113">
        <f>[17]С2.5!$AZ$11</f>
        <v>0</v>
      </c>
    </row>
    <row r="191" spans="2:3" hidden="1" x14ac:dyDescent="0.2">
      <c r="B191" s="112">
        <f t="shared" si="0"/>
        <v>2068</v>
      </c>
      <c r="C191" s="113">
        <f>[17]С2.5!$BA$11</f>
        <v>0</v>
      </c>
    </row>
    <row r="192" spans="2:3" hidden="1" x14ac:dyDescent="0.2">
      <c r="B192" s="112">
        <f t="shared" si="0"/>
        <v>2069</v>
      </c>
      <c r="C192" s="113">
        <f>[17]С2.5!$BB$11</f>
        <v>0</v>
      </c>
    </row>
    <row r="193" spans="2:3" hidden="1" x14ac:dyDescent="0.2">
      <c r="B193" s="112">
        <f t="shared" si="0"/>
        <v>2070</v>
      </c>
      <c r="C193" s="113">
        <f>[17]С2.5!$BC$11</f>
        <v>0</v>
      </c>
    </row>
    <row r="194" spans="2:3" hidden="1" x14ac:dyDescent="0.2">
      <c r="B194" s="112">
        <f t="shared" si="0"/>
        <v>2071</v>
      </c>
      <c r="C194" s="113">
        <f>[17]С2.5!$BD$11</f>
        <v>0</v>
      </c>
    </row>
    <row r="195" spans="2:3" hidden="1" x14ac:dyDescent="0.2">
      <c r="B195" s="112">
        <f t="shared" si="0"/>
        <v>2072</v>
      </c>
      <c r="C195" s="113">
        <f>[17]С2.5!$BE$11</f>
        <v>0</v>
      </c>
    </row>
    <row r="196" spans="2:3" hidden="1" x14ac:dyDescent="0.2">
      <c r="B196" s="112">
        <f t="shared" si="0"/>
        <v>2073</v>
      </c>
      <c r="C196" s="113">
        <f>[17]С2.5!$BF$11</f>
        <v>0</v>
      </c>
    </row>
    <row r="197" spans="2:3" hidden="1" x14ac:dyDescent="0.2">
      <c r="B197" s="112">
        <f t="shared" si="0"/>
        <v>2074</v>
      </c>
      <c r="C197" s="113">
        <f>[17]С2.5!$BG$11</f>
        <v>0</v>
      </c>
    </row>
    <row r="198" spans="2:3" hidden="1" x14ac:dyDescent="0.2">
      <c r="B198" s="112">
        <f t="shared" si="0"/>
        <v>2075</v>
      </c>
      <c r="C198" s="113">
        <f>[17]С2.5!$BH$11</f>
        <v>0</v>
      </c>
    </row>
    <row r="199" spans="2:3" hidden="1" x14ac:dyDescent="0.2">
      <c r="B199" s="112">
        <f t="shared" si="0"/>
        <v>2076</v>
      </c>
      <c r="C199" s="113">
        <f>[17]С2.5!$BI$11</f>
        <v>0</v>
      </c>
    </row>
    <row r="200" spans="2:3" hidden="1" x14ac:dyDescent="0.2">
      <c r="B200" s="112">
        <f t="shared" si="0"/>
        <v>2077</v>
      </c>
      <c r="C200" s="113">
        <f>[17]С2.5!$BJ$11</f>
        <v>0</v>
      </c>
    </row>
    <row r="201" spans="2:3" hidden="1" x14ac:dyDescent="0.2">
      <c r="B201" s="112">
        <f t="shared" si="0"/>
        <v>2078</v>
      </c>
      <c r="C201" s="113">
        <f>[17]С2.5!$BK$11</f>
        <v>0</v>
      </c>
    </row>
    <row r="202" spans="2:3" hidden="1" x14ac:dyDescent="0.2">
      <c r="B202" s="112">
        <f t="shared" si="0"/>
        <v>2079</v>
      </c>
      <c r="C202" s="113">
        <f>[17]С2.5!$BL$11</f>
        <v>0</v>
      </c>
    </row>
    <row r="203" spans="2:3" hidden="1" x14ac:dyDescent="0.2">
      <c r="B203" s="112">
        <f t="shared" si="0"/>
        <v>2080</v>
      </c>
      <c r="C203" s="113">
        <f>[17]С2.5!$BM$11</f>
        <v>0</v>
      </c>
    </row>
    <row r="204" spans="2:3" hidden="1" x14ac:dyDescent="0.2">
      <c r="B204" s="112">
        <f t="shared" si="0"/>
        <v>2081</v>
      </c>
      <c r="C204" s="113">
        <f>[17]С2.5!$BN$11</f>
        <v>0</v>
      </c>
    </row>
    <row r="205" spans="2:3" hidden="1" x14ac:dyDescent="0.2">
      <c r="B205" s="112">
        <f t="shared" si="0"/>
        <v>2082</v>
      </c>
      <c r="C205" s="113">
        <f>[17]С2.5!$BO$11</f>
        <v>0</v>
      </c>
    </row>
    <row r="206" spans="2:3" hidden="1" x14ac:dyDescent="0.2">
      <c r="B206" s="112">
        <f t="shared" si="0"/>
        <v>2083</v>
      </c>
      <c r="C206" s="113">
        <f>[17]С2.5!$BP$11</f>
        <v>0</v>
      </c>
    </row>
    <row r="207" spans="2:3" hidden="1" x14ac:dyDescent="0.2">
      <c r="B207" s="112">
        <f t="shared" si="0"/>
        <v>2084</v>
      </c>
      <c r="C207" s="113">
        <f>[17]С2.5!$BQ$11</f>
        <v>0</v>
      </c>
    </row>
    <row r="208" spans="2:3" hidden="1" x14ac:dyDescent="0.2">
      <c r="B208" s="112">
        <f t="shared" si="0"/>
        <v>2085</v>
      </c>
      <c r="C208" s="113">
        <f>[17]С2.5!$BR$11</f>
        <v>0</v>
      </c>
    </row>
    <row r="209" spans="2:3" hidden="1" x14ac:dyDescent="0.2">
      <c r="B209" s="112">
        <f t="shared" ref="B209:B223" si="1">B208+1</f>
        <v>2086</v>
      </c>
      <c r="C209" s="113">
        <f>[17]С2.5!$BS$11</f>
        <v>0</v>
      </c>
    </row>
    <row r="210" spans="2:3" hidden="1" x14ac:dyDescent="0.2">
      <c r="B210" s="112">
        <f t="shared" si="1"/>
        <v>2087</v>
      </c>
      <c r="C210" s="113">
        <f>[17]С2.5!$BT$11</f>
        <v>0</v>
      </c>
    </row>
    <row r="211" spans="2:3" hidden="1" x14ac:dyDescent="0.2">
      <c r="B211" s="112">
        <f t="shared" si="1"/>
        <v>2088</v>
      </c>
      <c r="C211" s="113">
        <f>[17]С2.5!$BU$11</f>
        <v>0</v>
      </c>
    </row>
    <row r="212" spans="2:3" hidden="1" x14ac:dyDescent="0.2">
      <c r="B212" s="112">
        <f t="shared" si="1"/>
        <v>2089</v>
      </c>
      <c r="C212" s="113">
        <f>[17]С2.5!$BV$11</f>
        <v>0</v>
      </c>
    </row>
    <row r="213" spans="2:3" hidden="1" x14ac:dyDescent="0.2">
      <c r="B213" s="112">
        <f t="shared" si="1"/>
        <v>2090</v>
      </c>
      <c r="C213" s="113">
        <f>[17]С2.5!$BW$11</f>
        <v>0</v>
      </c>
    </row>
    <row r="214" spans="2:3" hidden="1" x14ac:dyDescent="0.2">
      <c r="B214" s="112">
        <f t="shared" si="1"/>
        <v>2091</v>
      </c>
      <c r="C214" s="113">
        <f>[17]С2.5!$BX$11</f>
        <v>0</v>
      </c>
    </row>
    <row r="215" spans="2:3" hidden="1" x14ac:dyDescent="0.2">
      <c r="B215" s="112">
        <f t="shared" si="1"/>
        <v>2092</v>
      </c>
      <c r="C215" s="113">
        <f>[17]С2.5!$BY$11</f>
        <v>0</v>
      </c>
    </row>
    <row r="216" spans="2:3" hidden="1" x14ac:dyDescent="0.2">
      <c r="B216" s="112">
        <f t="shared" si="1"/>
        <v>2093</v>
      </c>
      <c r="C216" s="113">
        <f>[17]С2.5!$BZ$11</f>
        <v>0</v>
      </c>
    </row>
    <row r="217" spans="2:3" hidden="1" x14ac:dyDescent="0.2">
      <c r="B217" s="112">
        <f t="shared" si="1"/>
        <v>2094</v>
      </c>
      <c r="C217" s="113">
        <f>[17]С2.5!$CA$11</f>
        <v>0</v>
      </c>
    </row>
    <row r="218" spans="2:3" hidden="1" x14ac:dyDescent="0.2">
      <c r="B218" s="112">
        <f t="shared" si="1"/>
        <v>2095</v>
      </c>
      <c r="C218" s="113">
        <f>[17]С2.5!$CB$11</f>
        <v>0</v>
      </c>
    </row>
    <row r="219" spans="2:3" hidden="1" x14ac:dyDescent="0.2">
      <c r="B219" s="112">
        <f t="shared" si="1"/>
        <v>2096</v>
      </c>
      <c r="C219" s="113">
        <f>[17]С2.5!$CC$11</f>
        <v>0</v>
      </c>
    </row>
    <row r="220" spans="2:3" hidden="1" x14ac:dyDescent="0.2">
      <c r="B220" s="112">
        <f t="shared" si="1"/>
        <v>2097</v>
      </c>
      <c r="C220" s="113">
        <f>[17]С2.5!$CD$11</f>
        <v>0</v>
      </c>
    </row>
    <row r="221" spans="2:3" hidden="1" x14ac:dyDescent="0.2">
      <c r="B221" s="112">
        <f t="shared" si="1"/>
        <v>2098</v>
      </c>
      <c r="C221" s="113">
        <f>[17]С2.5!$CE$11</f>
        <v>0</v>
      </c>
    </row>
    <row r="222" spans="2:3" hidden="1" x14ac:dyDescent="0.2">
      <c r="B222" s="112">
        <f t="shared" si="1"/>
        <v>2099</v>
      </c>
      <c r="C222" s="113">
        <f>[17]С2.5!$CF$11</f>
        <v>0</v>
      </c>
    </row>
    <row r="223" spans="2:3" ht="13.5" hidden="1" thickBot="1" x14ac:dyDescent="0.25">
      <c r="B223" s="114">
        <f t="shared" si="1"/>
        <v>2100</v>
      </c>
      <c r="C223" s="115">
        <f>[17]С2.5!$CG$11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433" r:id="rId3" name="Button 1">
              <controlPr defaultSize="0" print="0" autoFill="0" autoPict="0" macro="[17]!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I21" sqref="I21"/>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[18]И1!D13</f>
        <v>Субъект Российской Федерации</v>
      </c>
      <c r="C4" s="10" t="str">
        <f>[18]И1!E13</f>
        <v>Новосибирская область</v>
      </c>
    </row>
    <row r="5" spans="1:3" ht="38.25" x14ac:dyDescent="0.2">
      <c r="A5" s="8"/>
      <c r="B5" s="9" t="str">
        <f>[18]И1!D14</f>
        <v>Тип муниципального образования (выберите из списка)</v>
      </c>
      <c r="C5" s="10" t="str">
        <f>[18]И1!E14</f>
        <v>село Светлое, Краснозерский муниципальный район</v>
      </c>
    </row>
    <row r="6" spans="1:3" x14ac:dyDescent="0.2">
      <c r="A6" s="8"/>
      <c r="B6" s="9" t="str">
        <f>IF([18]И1!E15="","",[18]И1!D15)</f>
        <v/>
      </c>
      <c r="C6" s="10" t="str">
        <f>IF([18]И1!E15="","",[18]И1!E15)</f>
        <v/>
      </c>
    </row>
    <row r="7" spans="1:3" x14ac:dyDescent="0.2">
      <c r="A7" s="8"/>
      <c r="B7" s="9" t="str">
        <f>[18]И1!D16</f>
        <v>Код ОКТМО</v>
      </c>
      <c r="C7" s="11" t="str">
        <f>[18]И1!E16</f>
        <v xml:space="preserve"> (50627446101)</v>
      </c>
    </row>
    <row r="8" spans="1:3" x14ac:dyDescent="0.2">
      <c r="A8" s="8"/>
      <c r="B8" s="12" t="str">
        <f>[18]И1!D17</f>
        <v>Система теплоснабжения</v>
      </c>
      <c r="C8" s="13">
        <f>[18]И1!E17</f>
        <v>0</v>
      </c>
    </row>
    <row r="9" spans="1:3" x14ac:dyDescent="0.2">
      <c r="A9" s="8"/>
      <c r="B9" s="9" t="str">
        <f>[18]И1!D8</f>
        <v>Период регулирования (i)-й</v>
      </c>
      <c r="C9" s="14">
        <f>[18]И1!E8</f>
        <v>2023</v>
      </c>
    </row>
    <row r="10" spans="1:3" x14ac:dyDescent="0.2">
      <c r="A10" s="8"/>
      <c r="B10" s="9" t="str">
        <f>[18]И1!D9</f>
        <v>Период регулирования (i-1)-й</v>
      </c>
      <c r="C10" s="14">
        <f>[18]И1!E9</f>
        <v>2022</v>
      </c>
    </row>
    <row r="11" spans="1:3" x14ac:dyDescent="0.2">
      <c r="A11" s="8"/>
      <c r="B11" s="9" t="str">
        <f>[18]И1!D10</f>
        <v>Период регулирования (i-2)-й</v>
      </c>
      <c r="C11" s="14">
        <f>[18]И1!E10</f>
        <v>2021</v>
      </c>
    </row>
    <row r="12" spans="1:3" x14ac:dyDescent="0.2">
      <c r="A12" s="8"/>
      <c r="B12" s="9" t="str">
        <f>[18]И1!D11</f>
        <v>Базовый год (б)</v>
      </c>
      <c r="C12" s="14">
        <f>[18]И1!E11</f>
        <v>2019</v>
      </c>
    </row>
    <row r="13" spans="1:3" ht="38.25" x14ac:dyDescent="0.2">
      <c r="A13" s="8"/>
      <c r="B13" s="9" t="str">
        <f>[18]И1!D18</f>
        <v>Вид топлива, использование которого преобладает в системе теплоснабжения</v>
      </c>
      <c r="C13" s="15" t="str">
        <f>[18]С1.1!E13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4149.0147977601591</v>
      </c>
    </row>
    <row r="18" spans="1:3" ht="42.75" x14ac:dyDescent="0.2">
      <c r="A18" s="22" t="s">
        <v>8</v>
      </c>
      <c r="B18" s="25" t="s">
        <v>9</v>
      </c>
      <c r="C18" s="26">
        <f>[18]С1!F12</f>
        <v>1056.2203484150468</v>
      </c>
    </row>
    <row r="19" spans="1:3" ht="42.75" x14ac:dyDescent="0.2">
      <c r="A19" s="22" t="s">
        <v>10</v>
      </c>
      <c r="B19" s="25" t="s">
        <v>11</v>
      </c>
      <c r="C19" s="26">
        <f>[18]С2!F12</f>
        <v>2106.0579468653982</v>
      </c>
    </row>
    <row r="20" spans="1:3" ht="30" x14ac:dyDescent="0.2">
      <c r="A20" s="22" t="s">
        <v>12</v>
      </c>
      <c r="B20" s="25" t="s">
        <v>13</v>
      </c>
      <c r="C20" s="26">
        <f>[18]С3!F12</f>
        <v>503.83473408478085</v>
      </c>
    </row>
    <row r="21" spans="1:3" ht="42.75" x14ac:dyDescent="0.2">
      <c r="A21" s="22" t="s">
        <v>14</v>
      </c>
      <c r="B21" s="25" t="s">
        <v>15</v>
      </c>
      <c r="C21" s="26">
        <f>[18]С4!F12</f>
        <v>401.54853706630212</v>
      </c>
    </row>
    <row r="22" spans="1:3" ht="30" x14ac:dyDescent="0.2">
      <c r="A22" s="22" t="s">
        <v>16</v>
      </c>
      <c r="B22" s="25" t="s">
        <v>17</v>
      </c>
      <c r="C22" s="26">
        <f>[18]С5!F12</f>
        <v>81.353231328630571</v>
      </c>
    </row>
    <row r="23" spans="1:3" ht="43.5" thickBot="1" x14ac:dyDescent="0.25">
      <c r="A23" s="27" t="s">
        <v>18</v>
      </c>
      <c r="B23" s="120" t="s">
        <v>19</v>
      </c>
      <c r="C23" s="29" t="str">
        <f>[18]С6!F12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[18]С1.1!E16</f>
        <v>5100</v>
      </c>
    </row>
    <row r="29" spans="1:3" ht="42.75" x14ac:dyDescent="0.2">
      <c r="A29" s="22" t="s">
        <v>10</v>
      </c>
      <c r="B29" s="34" t="s">
        <v>22</v>
      </c>
      <c r="C29" s="35">
        <f>[18]С1.1!E27</f>
        <v>2840</v>
      </c>
    </row>
    <row r="30" spans="1:3" ht="17.25" x14ac:dyDescent="0.2">
      <c r="A30" s="22" t="s">
        <v>12</v>
      </c>
      <c r="B30" s="34" t="s">
        <v>23</v>
      </c>
      <c r="C30" s="36">
        <f>[18]С1.1!E19</f>
        <v>0.59499999999999997</v>
      </c>
    </row>
    <row r="31" spans="1:3" ht="17.25" x14ac:dyDescent="0.2">
      <c r="A31" s="22" t="s">
        <v>14</v>
      </c>
      <c r="B31" s="34" t="s">
        <v>24</v>
      </c>
      <c r="C31" s="36">
        <f>[18]С1.1!E20</f>
        <v>-0.113</v>
      </c>
    </row>
    <row r="32" spans="1:3" ht="30" x14ac:dyDescent="0.2">
      <c r="A32" s="22" t="s">
        <v>16</v>
      </c>
      <c r="B32" s="37" t="s">
        <v>25</v>
      </c>
      <c r="C32" s="38">
        <f>[18]С1!F13</f>
        <v>176.4</v>
      </c>
    </row>
    <row r="33" spans="1:3" x14ac:dyDescent="0.2">
      <c r="A33" s="22" t="s">
        <v>18</v>
      </c>
      <c r="B33" s="37" t="s">
        <v>26</v>
      </c>
      <c r="C33" s="39">
        <f>[18]С1!F16</f>
        <v>7000</v>
      </c>
    </row>
    <row r="34" spans="1:3" ht="14.25" x14ac:dyDescent="0.2">
      <c r="A34" s="22" t="s">
        <v>27</v>
      </c>
      <c r="B34" s="40" t="s">
        <v>28</v>
      </c>
      <c r="C34" s="41">
        <f>[18]С1!F17</f>
        <v>0.72857142857142854</v>
      </c>
    </row>
    <row r="35" spans="1:3" ht="15.75" x14ac:dyDescent="0.2">
      <c r="A35" s="42" t="s">
        <v>29</v>
      </c>
      <c r="B35" s="43" t="s">
        <v>30</v>
      </c>
      <c r="C35" s="41">
        <f>[18]С1!F20</f>
        <v>21.588411179999994</v>
      </c>
    </row>
    <row r="36" spans="1:3" ht="15.75" x14ac:dyDescent="0.2">
      <c r="A36" s="42" t="s">
        <v>31</v>
      </c>
      <c r="B36" s="44" t="s">
        <v>32</v>
      </c>
      <c r="C36" s="41">
        <f>[18]С1!F21</f>
        <v>20.818139999999996</v>
      </c>
    </row>
    <row r="37" spans="1:3" ht="14.25" x14ac:dyDescent="0.2">
      <c r="A37" s="42" t="s">
        <v>33</v>
      </c>
      <c r="B37" s="45" t="s">
        <v>34</v>
      </c>
      <c r="C37" s="41">
        <f>[18]С1!F22</f>
        <v>1.0369999999999999</v>
      </c>
    </row>
    <row r="38" spans="1:3" ht="53.25" thickBot="1" x14ac:dyDescent="0.25">
      <c r="A38" s="27" t="s">
        <v>35</v>
      </c>
      <c r="B38" s="46" t="s">
        <v>36</v>
      </c>
      <c r="C38" s="47">
        <f>[18]С1!F23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[18]С2.1!E12</f>
        <v>V</v>
      </c>
    </row>
    <row r="42" spans="1:3" ht="25.5" x14ac:dyDescent="0.2">
      <c r="A42" s="22" t="s">
        <v>41</v>
      </c>
      <c r="B42" s="34" t="s">
        <v>42</v>
      </c>
      <c r="C42" s="52" t="str">
        <f>[18]С2.1!E13</f>
        <v>6 и менее баллов</v>
      </c>
    </row>
    <row r="43" spans="1:3" ht="25.5" x14ac:dyDescent="0.2">
      <c r="A43" s="22" t="s">
        <v>43</v>
      </c>
      <c r="B43" s="34" t="s">
        <v>44</v>
      </c>
      <c r="C43" s="52" t="str">
        <f>[18]С2.1!E14</f>
        <v>от 200 до 500</v>
      </c>
    </row>
    <row r="44" spans="1:3" ht="25.5" x14ac:dyDescent="0.2">
      <c r="A44" s="22" t="s">
        <v>45</v>
      </c>
      <c r="B44" s="34" t="s">
        <v>46</v>
      </c>
      <c r="C44" s="53" t="str">
        <f>[18]С2.1!E15</f>
        <v>нет</v>
      </c>
    </row>
    <row r="45" spans="1:3" ht="30" x14ac:dyDescent="0.2">
      <c r="A45" s="22" t="s">
        <v>47</v>
      </c>
      <c r="B45" s="34" t="s">
        <v>48</v>
      </c>
      <c r="C45" s="35">
        <f>[18]С2!F18</f>
        <v>32402.627334033532</v>
      </c>
    </row>
    <row r="46" spans="1:3" ht="30" x14ac:dyDescent="0.2">
      <c r="A46" s="22" t="s">
        <v>49</v>
      </c>
      <c r="B46" s="54" t="s">
        <v>50</v>
      </c>
      <c r="C46" s="35">
        <f>IF([18]С2!F19&gt;0,[18]С2!F19,[18]С2!F20)</f>
        <v>23441.524932855718</v>
      </c>
    </row>
    <row r="47" spans="1:3" ht="25.5" x14ac:dyDescent="0.2">
      <c r="A47" s="22" t="s">
        <v>51</v>
      </c>
      <c r="B47" s="55" t="s">
        <v>52</v>
      </c>
      <c r="C47" s="35">
        <f>[18]С2.1!E19</f>
        <v>-37</v>
      </c>
    </row>
    <row r="48" spans="1:3" ht="25.5" x14ac:dyDescent="0.2">
      <c r="A48" s="22" t="s">
        <v>53</v>
      </c>
      <c r="B48" s="55" t="s">
        <v>54</v>
      </c>
      <c r="C48" s="35" t="str">
        <f>[18]С2.1!E22</f>
        <v>нет</v>
      </c>
    </row>
    <row r="49" spans="1:3" ht="38.25" x14ac:dyDescent="0.2">
      <c r="A49" s="22" t="s">
        <v>55</v>
      </c>
      <c r="B49" s="56" t="s">
        <v>56</v>
      </c>
      <c r="C49" s="35">
        <f>[18]С2.2!E10</f>
        <v>1287</v>
      </c>
    </row>
    <row r="50" spans="1:3" ht="25.5" x14ac:dyDescent="0.2">
      <c r="A50" s="22" t="s">
        <v>57</v>
      </c>
      <c r="B50" s="57" t="s">
        <v>58</v>
      </c>
      <c r="C50" s="35">
        <f>[18]С2.2!E12</f>
        <v>5.97</v>
      </c>
    </row>
    <row r="51" spans="1:3" ht="52.5" x14ac:dyDescent="0.2">
      <c r="A51" s="22" t="s">
        <v>59</v>
      </c>
      <c r="B51" s="58" t="s">
        <v>60</v>
      </c>
      <c r="C51" s="35">
        <f>[18]С2.2!E13</f>
        <v>1</v>
      </c>
    </row>
    <row r="52" spans="1:3" ht="27.75" x14ac:dyDescent="0.2">
      <c r="A52" s="22" t="s">
        <v>61</v>
      </c>
      <c r="B52" s="57" t="s">
        <v>62</v>
      </c>
      <c r="C52" s="35">
        <f>[18]С2.2!E14</f>
        <v>12104</v>
      </c>
    </row>
    <row r="53" spans="1:3" ht="25.5" x14ac:dyDescent="0.2">
      <c r="A53" s="22" t="s">
        <v>63</v>
      </c>
      <c r="B53" s="58" t="s">
        <v>64</v>
      </c>
      <c r="C53" s="36">
        <f>[18]С2.2!E15</f>
        <v>4.8000000000000001E-2</v>
      </c>
    </row>
    <row r="54" spans="1:3" x14ac:dyDescent="0.2">
      <c r="A54" s="22" t="s">
        <v>65</v>
      </c>
      <c r="B54" s="58" t="s">
        <v>66</v>
      </c>
      <c r="C54" s="35">
        <f>[18]С2.2!E16</f>
        <v>1</v>
      </c>
    </row>
    <row r="55" spans="1:3" ht="15.75" x14ac:dyDescent="0.2">
      <c r="A55" s="22" t="s">
        <v>67</v>
      </c>
      <c r="B55" s="59" t="s">
        <v>68</v>
      </c>
      <c r="C55" s="35">
        <f>[18]С2!F21</f>
        <v>1</v>
      </c>
    </row>
    <row r="56" spans="1:3" ht="30" x14ac:dyDescent="0.2">
      <c r="A56" s="60" t="s">
        <v>69</v>
      </c>
      <c r="B56" s="34" t="s">
        <v>70</v>
      </c>
      <c r="C56" s="35">
        <f>[18]С2!F13</f>
        <v>169640.22915965237</v>
      </c>
    </row>
    <row r="57" spans="1:3" ht="30" x14ac:dyDescent="0.2">
      <c r="A57" s="60" t="s">
        <v>71</v>
      </c>
      <c r="B57" s="59" t="s">
        <v>72</v>
      </c>
      <c r="C57" s="35">
        <f>[18]С2!F14</f>
        <v>113455</v>
      </c>
    </row>
    <row r="58" spans="1:3" ht="15.75" x14ac:dyDescent="0.2">
      <c r="A58" s="60" t="s">
        <v>73</v>
      </c>
      <c r="B58" s="61" t="s">
        <v>74</v>
      </c>
      <c r="C58" s="41">
        <f>[18]С2!F15</f>
        <v>1.071</v>
      </c>
    </row>
    <row r="59" spans="1:3" ht="15.75" x14ac:dyDescent="0.2">
      <c r="A59" s="60" t="s">
        <v>75</v>
      </c>
      <c r="B59" s="61" t="s">
        <v>76</v>
      </c>
      <c r="C59" s="41">
        <f>[18]С2!F16</f>
        <v>1</v>
      </c>
    </row>
    <row r="60" spans="1:3" ht="17.25" x14ac:dyDescent="0.2">
      <c r="A60" s="60" t="s">
        <v>77</v>
      </c>
      <c r="B60" s="59" t="s">
        <v>78</v>
      </c>
      <c r="C60" s="35">
        <f>[18]С2!F17</f>
        <v>1.01</v>
      </c>
    </row>
    <row r="61" spans="1:3" s="64" customFormat="1" ht="14.25" x14ac:dyDescent="0.2">
      <c r="A61" s="60" t="s">
        <v>79</v>
      </c>
      <c r="B61" s="62" t="s">
        <v>80</v>
      </c>
      <c r="C61" s="63">
        <f>[18]С2!F33</f>
        <v>10</v>
      </c>
    </row>
    <row r="62" spans="1:3" ht="30" x14ac:dyDescent="0.2">
      <c r="A62" s="60" t="s">
        <v>81</v>
      </c>
      <c r="B62" s="65" t="s">
        <v>82</v>
      </c>
      <c r="C62" s="35">
        <f>[18]С2!F26</f>
        <v>1123.6482814273334</v>
      </c>
    </row>
    <row r="63" spans="1:3" ht="17.25" x14ac:dyDescent="0.2">
      <c r="A63" s="60" t="s">
        <v>83</v>
      </c>
      <c r="B63" s="54" t="s">
        <v>84</v>
      </c>
      <c r="C63" s="35">
        <f>[18]С2!F27</f>
        <v>0.19354712999999998</v>
      </c>
    </row>
    <row r="64" spans="1:3" ht="17.25" x14ac:dyDescent="0.2">
      <c r="A64" s="60" t="s">
        <v>85</v>
      </c>
      <c r="B64" s="59" t="s">
        <v>86</v>
      </c>
      <c r="C64" s="63">
        <f>[18]С2!F28</f>
        <v>4200</v>
      </c>
    </row>
    <row r="65" spans="1:3" ht="42.75" x14ac:dyDescent="0.2">
      <c r="A65" s="60" t="s">
        <v>87</v>
      </c>
      <c r="B65" s="34" t="s">
        <v>88</v>
      </c>
      <c r="C65" s="35">
        <f>[18]С2!F22</f>
        <v>35717.748653137714</v>
      </c>
    </row>
    <row r="66" spans="1:3" ht="30" x14ac:dyDescent="0.2">
      <c r="A66" s="60" t="s">
        <v>89</v>
      </c>
      <c r="B66" s="61" t="s">
        <v>90</v>
      </c>
      <c r="C66" s="35">
        <f>[18]С2!F23</f>
        <v>1990</v>
      </c>
    </row>
    <row r="67" spans="1:3" ht="30" x14ac:dyDescent="0.2">
      <c r="A67" s="60" t="s">
        <v>91</v>
      </c>
      <c r="B67" s="54" t="s">
        <v>92</v>
      </c>
      <c r="C67" s="35">
        <f>[18]С2.1!E27</f>
        <v>14307.876789999998</v>
      </c>
    </row>
    <row r="68" spans="1:3" ht="38.25" x14ac:dyDescent="0.2">
      <c r="A68" s="60" t="s">
        <v>93</v>
      </c>
      <c r="B68" s="66" t="s">
        <v>94</v>
      </c>
      <c r="C68" s="53">
        <f>[18]С2.3!E21</f>
        <v>0</v>
      </c>
    </row>
    <row r="69" spans="1:3" ht="25.5" x14ac:dyDescent="0.2">
      <c r="A69" s="60" t="s">
        <v>95</v>
      </c>
      <c r="B69" s="67" t="s">
        <v>96</v>
      </c>
      <c r="C69" s="68">
        <f>[18]С2.3!E11</f>
        <v>9.89</v>
      </c>
    </row>
    <row r="70" spans="1:3" ht="25.5" x14ac:dyDescent="0.2">
      <c r="A70" s="60" t="s">
        <v>97</v>
      </c>
      <c r="B70" s="67" t="s">
        <v>98</v>
      </c>
      <c r="C70" s="63">
        <f>[18]С2.3!E13</f>
        <v>300</v>
      </c>
    </row>
    <row r="71" spans="1:3" ht="25.5" x14ac:dyDescent="0.2">
      <c r="A71" s="60" t="s">
        <v>99</v>
      </c>
      <c r="B71" s="66" t="s">
        <v>100</v>
      </c>
      <c r="C71" s="69">
        <f>IF([18]С2.3!E22&gt;0,[18]С2.3!E22,[18]С2.3!E14)</f>
        <v>61211</v>
      </c>
    </row>
    <row r="72" spans="1:3" ht="38.25" x14ac:dyDescent="0.2">
      <c r="A72" s="60" t="s">
        <v>101</v>
      </c>
      <c r="B72" s="66" t="s">
        <v>102</v>
      </c>
      <c r="C72" s="69">
        <f>IF([18]С2.3!E23&gt;0,[18]С2.3!E23,[18]С2.3!E15)</f>
        <v>45675</v>
      </c>
    </row>
    <row r="73" spans="1:3" ht="30" x14ac:dyDescent="0.2">
      <c r="A73" s="60" t="s">
        <v>103</v>
      </c>
      <c r="B73" s="54" t="s">
        <v>104</v>
      </c>
      <c r="C73" s="35">
        <f>[18]С2.1!E28</f>
        <v>9541.9567200000001</v>
      </c>
    </row>
    <row r="74" spans="1:3" ht="38.25" x14ac:dyDescent="0.2">
      <c r="A74" s="60" t="s">
        <v>105</v>
      </c>
      <c r="B74" s="66" t="s">
        <v>106</v>
      </c>
      <c r="C74" s="53">
        <f>[18]С2.3!E25</f>
        <v>0</v>
      </c>
    </row>
    <row r="75" spans="1:3" ht="25.5" x14ac:dyDescent="0.2">
      <c r="A75" s="60" t="s">
        <v>107</v>
      </c>
      <c r="B75" s="67" t="s">
        <v>108</v>
      </c>
      <c r="C75" s="68">
        <f>[18]С2.3!E12</f>
        <v>0.56000000000000005</v>
      </c>
    </row>
    <row r="76" spans="1:3" ht="25.5" x14ac:dyDescent="0.2">
      <c r="A76" s="60" t="s">
        <v>109</v>
      </c>
      <c r="B76" s="67" t="s">
        <v>98</v>
      </c>
      <c r="C76" s="63">
        <f>[18]С2.3!E13</f>
        <v>300</v>
      </c>
    </row>
    <row r="77" spans="1:3" ht="25.5" x14ac:dyDescent="0.2">
      <c r="A77" s="60" t="s">
        <v>110</v>
      </c>
      <c r="B77" s="70" t="s">
        <v>111</v>
      </c>
      <c r="C77" s="69">
        <f>IF([18]С2.3!E26&gt;0,[18]С2.3!E26,[18]С2.3!E16)</f>
        <v>65637</v>
      </c>
    </row>
    <row r="78" spans="1:3" ht="38.25" x14ac:dyDescent="0.2">
      <c r="A78" s="60" t="s">
        <v>112</v>
      </c>
      <c r="B78" s="70" t="s">
        <v>113</v>
      </c>
      <c r="C78" s="69">
        <f>IF([18]С2.3!E27&gt;0,[18]С2.3!E27,[18]С2.3!E17)</f>
        <v>31684</v>
      </c>
    </row>
    <row r="79" spans="1:3" ht="17.25" x14ac:dyDescent="0.2">
      <c r="A79" s="60" t="s">
        <v>114</v>
      </c>
      <c r="B79" s="34" t="s">
        <v>115</v>
      </c>
      <c r="C79" s="36">
        <f>[18]С2!F29</f>
        <v>0.128978033685065</v>
      </c>
    </row>
    <row r="80" spans="1:3" ht="30" x14ac:dyDescent="0.2">
      <c r="A80" s="60" t="s">
        <v>116</v>
      </c>
      <c r="B80" s="54" t="s">
        <v>117</v>
      </c>
      <c r="C80" s="71">
        <f>[18]С2!F30</f>
        <v>0.11668498168498169</v>
      </c>
    </row>
    <row r="81" spans="1:3" ht="17.25" x14ac:dyDescent="0.2">
      <c r="A81" s="60" t="s">
        <v>118</v>
      </c>
      <c r="B81" s="72" t="s">
        <v>119</v>
      </c>
      <c r="C81" s="36">
        <f>[18]С2!F31</f>
        <v>0.13880000000000001</v>
      </c>
    </row>
    <row r="82" spans="1:3" s="64" customFormat="1" ht="18" thickBot="1" x14ac:dyDescent="0.25">
      <c r="A82" s="73" t="s">
        <v>120</v>
      </c>
      <c r="B82" s="74" t="s">
        <v>121</v>
      </c>
      <c r="C82" s="75">
        <f>[18]С2!F32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[18]С3!F14</f>
        <v>6998.3755440420418</v>
      </c>
    </row>
    <row r="86" spans="1:3" s="64" customFormat="1" ht="42.75" x14ac:dyDescent="0.2">
      <c r="A86" s="78" t="s">
        <v>126</v>
      </c>
      <c r="B86" s="54" t="s">
        <v>127</v>
      </c>
      <c r="C86" s="79">
        <f>[18]С3!F15</f>
        <v>0.2</v>
      </c>
    </row>
    <row r="87" spans="1:3" s="64" customFormat="1" ht="14.25" x14ac:dyDescent="0.2">
      <c r="A87" s="78" t="s">
        <v>128</v>
      </c>
      <c r="B87" s="80" t="s">
        <v>129</v>
      </c>
      <c r="C87" s="63">
        <f>[18]С3!F18</f>
        <v>15</v>
      </c>
    </row>
    <row r="88" spans="1:3" s="64" customFormat="1" ht="17.25" x14ac:dyDescent="0.2">
      <c r="A88" s="78" t="s">
        <v>130</v>
      </c>
      <c r="B88" s="34" t="s">
        <v>131</v>
      </c>
      <c r="C88" s="35">
        <f>[18]С3!F19</f>
        <v>3487.1555421534131</v>
      </c>
    </row>
    <row r="89" spans="1:3" s="64" customFormat="1" ht="55.5" x14ac:dyDescent="0.2">
      <c r="A89" s="78" t="s">
        <v>132</v>
      </c>
      <c r="B89" s="54" t="s">
        <v>133</v>
      </c>
      <c r="C89" s="81">
        <f>[18]С3!F20</f>
        <v>2.1999999999999999E-2</v>
      </c>
    </row>
    <row r="90" spans="1:3" s="64" customFormat="1" ht="14.25" x14ac:dyDescent="0.2">
      <c r="A90" s="78" t="s">
        <v>134</v>
      </c>
      <c r="B90" s="59" t="s">
        <v>80</v>
      </c>
      <c r="C90" s="63">
        <f>[18]С3!F21</f>
        <v>10</v>
      </c>
    </row>
    <row r="91" spans="1:3" s="64" customFormat="1" ht="17.25" x14ac:dyDescent="0.2">
      <c r="A91" s="78" t="s">
        <v>135</v>
      </c>
      <c r="B91" s="34" t="s">
        <v>136</v>
      </c>
      <c r="C91" s="35">
        <f>[18]С3!F22</f>
        <v>3.370944844282</v>
      </c>
    </row>
    <row r="92" spans="1:3" s="64" customFormat="1" ht="55.5" x14ac:dyDescent="0.2">
      <c r="A92" s="78" t="s">
        <v>137</v>
      </c>
      <c r="B92" s="54" t="s">
        <v>138</v>
      </c>
      <c r="C92" s="81">
        <f>[18]С3!F23</f>
        <v>3.0000000000000001E-3</v>
      </c>
    </row>
    <row r="93" spans="1:3" s="64" customFormat="1" ht="27.75" thickBot="1" x14ac:dyDescent="0.25">
      <c r="A93" s="82" t="s">
        <v>139</v>
      </c>
      <c r="B93" s="83" t="s">
        <v>140</v>
      </c>
      <c r="C93" s="84">
        <f>[18]С3!F24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[18]С4!F16</f>
        <v>1652.5</v>
      </c>
    </row>
    <row r="97" spans="1:3" ht="30" x14ac:dyDescent="0.2">
      <c r="A97" s="60" t="s">
        <v>145</v>
      </c>
      <c r="B97" s="59" t="s">
        <v>146</v>
      </c>
      <c r="C97" s="35">
        <f>[18]С4!F17</f>
        <v>73547</v>
      </c>
    </row>
    <row r="98" spans="1:3" ht="17.25" x14ac:dyDescent="0.2">
      <c r="A98" s="60" t="s">
        <v>147</v>
      </c>
      <c r="B98" s="59" t="s">
        <v>148</v>
      </c>
      <c r="C98" s="41">
        <f>[18]С4!F18</f>
        <v>0.02</v>
      </c>
    </row>
    <row r="99" spans="1:3" ht="30" x14ac:dyDescent="0.2">
      <c r="A99" s="60" t="s">
        <v>149</v>
      </c>
      <c r="B99" s="59" t="s">
        <v>150</v>
      </c>
      <c r="C99" s="35">
        <f>[18]С4!F19</f>
        <v>12104</v>
      </c>
    </row>
    <row r="100" spans="1:3" ht="31.5" x14ac:dyDescent="0.2">
      <c r="A100" s="60" t="s">
        <v>151</v>
      </c>
      <c r="B100" s="59" t="s">
        <v>152</v>
      </c>
      <c r="C100" s="41">
        <f>[18]С4!F20</f>
        <v>1.4999999999999999E-2</v>
      </c>
    </row>
    <row r="101" spans="1:3" ht="30" x14ac:dyDescent="0.2">
      <c r="A101" s="60" t="s">
        <v>153</v>
      </c>
      <c r="B101" s="34" t="s">
        <v>154</v>
      </c>
      <c r="C101" s="35">
        <f>[18]С4!F21</f>
        <v>1933.1949342509995</v>
      </c>
    </row>
    <row r="102" spans="1:3" ht="24" customHeight="1" x14ac:dyDescent="0.2">
      <c r="A102" s="60" t="s">
        <v>155</v>
      </c>
      <c r="B102" s="54" t="s">
        <v>156</v>
      </c>
      <c r="C102" s="86">
        <f>IF([18]С4.2!F8="да",[18]С4.2!D21,[18]С4.2!D15)</f>
        <v>0</v>
      </c>
    </row>
    <row r="103" spans="1:3" ht="68.25" x14ac:dyDescent="0.2">
      <c r="A103" s="60" t="s">
        <v>157</v>
      </c>
      <c r="B103" s="54" t="s">
        <v>158</v>
      </c>
      <c r="C103" s="35">
        <f>[18]С4!F22</f>
        <v>3.6112641666666665</v>
      </c>
    </row>
    <row r="104" spans="1:3" ht="30" x14ac:dyDescent="0.2">
      <c r="A104" s="60" t="s">
        <v>159</v>
      </c>
      <c r="B104" s="59" t="s">
        <v>160</v>
      </c>
      <c r="C104" s="35">
        <f>[18]С4!F23</f>
        <v>180</v>
      </c>
    </row>
    <row r="105" spans="1:3" ht="14.25" x14ac:dyDescent="0.2">
      <c r="A105" s="60" t="s">
        <v>161</v>
      </c>
      <c r="B105" s="54" t="s">
        <v>162</v>
      </c>
      <c r="C105" s="35">
        <f>[18]С4!F24</f>
        <v>8497.1999999999989</v>
      </c>
    </row>
    <row r="106" spans="1:3" ht="14.25" x14ac:dyDescent="0.2">
      <c r="A106" s="60" t="s">
        <v>163</v>
      </c>
      <c r="B106" s="59" t="s">
        <v>164</v>
      </c>
      <c r="C106" s="41">
        <f>[18]С4!F25</f>
        <v>0.35</v>
      </c>
    </row>
    <row r="107" spans="1:3" ht="17.25" x14ac:dyDescent="0.2">
      <c r="A107" s="60" t="s">
        <v>165</v>
      </c>
      <c r="B107" s="34" t="s">
        <v>166</v>
      </c>
      <c r="C107" s="35">
        <f>[18]С4!F26</f>
        <v>55.985610000000001</v>
      </c>
    </row>
    <row r="108" spans="1:3" ht="25.5" x14ac:dyDescent="0.2">
      <c r="A108" s="60" t="s">
        <v>167</v>
      </c>
      <c r="B108" s="54" t="s">
        <v>94</v>
      </c>
      <c r="C108" s="86">
        <f>[18]С4.3!E16</f>
        <v>0</v>
      </c>
    </row>
    <row r="109" spans="1:3" ht="25.5" x14ac:dyDescent="0.2">
      <c r="A109" s="60" t="s">
        <v>168</v>
      </c>
      <c r="B109" s="54" t="s">
        <v>169</v>
      </c>
      <c r="C109" s="35">
        <f>[18]С4.3!E17</f>
        <v>14.59</v>
      </c>
    </row>
    <row r="110" spans="1:3" ht="38.25" x14ac:dyDescent="0.2">
      <c r="A110" s="60" t="s">
        <v>170</v>
      </c>
      <c r="B110" s="54" t="s">
        <v>106</v>
      </c>
      <c r="C110" s="86">
        <f>[18]С4.3!E18</f>
        <v>0</v>
      </c>
    </row>
    <row r="111" spans="1:3" x14ac:dyDescent="0.2">
      <c r="A111" s="60" t="s">
        <v>171</v>
      </c>
      <c r="B111" s="54" t="s">
        <v>172</v>
      </c>
      <c r="C111" s="35">
        <f>[18]С4.3!E19</f>
        <v>23.62</v>
      </c>
    </row>
    <row r="112" spans="1:3" x14ac:dyDescent="0.2">
      <c r="A112" s="60" t="s">
        <v>173</v>
      </c>
      <c r="B112" s="59" t="s">
        <v>174</v>
      </c>
      <c r="C112" s="35">
        <f>[18]С4.3!E11</f>
        <v>1871</v>
      </c>
    </row>
    <row r="113" spans="1:3" x14ac:dyDescent="0.2">
      <c r="A113" s="60" t="s">
        <v>175</v>
      </c>
      <c r="B113" s="59" t="s">
        <v>176</v>
      </c>
      <c r="C113" s="53">
        <f>[18]С4.3!E12</f>
        <v>1636</v>
      </c>
    </row>
    <row r="114" spans="1:3" x14ac:dyDescent="0.2">
      <c r="A114" s="60" t="s">
        <v>177</v>
      </c>
      <c r="B114" s="59" t="s">
        <v>178</v>
      </c>
      <c r="C114" s="53">
        <f>[18]С4.3!E13</f>
        <v>204</v>
      </c>
    </row>
    <row r="115" spans="1:3" ht="30" x14ac:dyDescent="0.2">
      <c r="A115" s="60" t="s">
        <v>179</v>
      </c>
      <c r="B115" s="34" t="s">
        <v>180</v>
      </c>
      <c r="C115" s="35">
        <f>[18]С4!F27</f>
        <v>776.44759830395003</v>
      </c>
    </row>
    <row r="116" spans="1:3" ht="25.5" x14ac:dyDescent="0.2">
      <c r="A116" s="60" t="s">
        <v>181</v>
      </c>
      <c r="B116" s="54" t="s">
        <v>182</v>
      </c>
      <c r="C116" s="35">
        <f>[18]С4!F28</f>
        <v>596.34992189243474</v>
      </c>
    </row>
    <row r="117" spans="1:3" ht="42.75" x14ac:dyDescent="0.2">
      <c r="A117" s="60" t="s">
        <v>183</v>
      </c>
      <c r="B117" s="54" t="s">
        <v>184</v>
      </c>
      <c r="C117" s="35">
        <f>[18]С4!F29</f>
        <v>180.09767641151529</v>
      </c>
    </row>
    <row r="118" spans="1:3" ht="30" x14ac:dyDescent="0.2">
      <c r="A118" s="60" t="s">
        <v>185</v>
      </c>
      <c r="B118" s="40" t="s">
        <v>186</v>
      </c>
      <c r="C118" s="35">
        <f>[18]С4!F30</f>
        <v>2252.4268162908866</v>
      </c>
    </row>
    <row r="119" spans="1:3" ht="42.75" x14ac:dyDescent="0.2">
      <c r="A119" s="60" t="s">
        <v>187</v>
      </c>
      <c r="B119" s="87" t="s">
        <v>188</v>
      </c>
      <c r="C119" s="35">
        <f>[18]С4!F33</f>
        <v>1556.2386968907254</v>
      </c>
    </row>
    <row r="120" spans="1:3" ht="30" x14ac:dyDescent="0.2">
      <c r="A120" s="60" t="s">
        <v>189</v>
      </c>
      <c r="B120" s="88" t="s">
        <v>190</v>
      </c>
      <c r="C120" s="35">
        <f>[18]С4!F35</f>
        <v>17.040680999999999</v>
      </c>
    </row>
    <row r="121" spans="1:3" ht="14.25" x14ac:dyDescent="0.2">
      <c r="A121" s="60" t="s">
        <v>191</v>
      </c>
      <c r="B121" s="57" t="s">
        <v>192</v>
      </c>
      <c r="C121" s="35">
        <f>[18]С4!F36</f>
        <v>14319.9</v>
      </c>
    </row>
    <row r="122" spans="1:3" ht="28.5" thickBot="1" x14ac:dyDescent="0.25">
      <c r="A122" s="73" t="s">
        <v>193</v>
      </c>
      <c r="B122" s="89" t="s">
        <v>194</v>
      </c>
      <c r="C122" s="84">
        <f>[18]С4!F37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[18]С5!F17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[18]С2!F37</f>
        <v>20.818139999999996</v>
      </c>
    </row>
    <row r="136" spans="1:4" ht="14.25" x14ac:dyDescent="0.2">
      <c r="A136" s="60" t="s">
        <v>216</v>
      </c>
      <c r="B136" s="102" t="s">
        <v>217</v>
      </c>
      <c r="C136" s="35">
        <f>[18]С2!F38</f>
        <v>7</v>
      </c>
    </row>
    <row r="137" spans="1:4" ht="17.25" x14ac:dyDescent="0.2">
      <c r="A137" s="60" t="s">
        <v>218</v>
      </c>
      <c r="B137" s="102" t="s">
        <v>219</v>
      </c>
      <c r="C137" s="35">
        <f>[18]С2!F40</f>
        <v>0.97</v>
      </c>
    </row>
    <row r="138" spans="1:4" ht="15" thickBot="1" x14ac:dyDescent="0.25">
      <c r="A138" s="73" t="s">
        <v>220</v>
      </c>
      <c r="B138" s="103" t="s">
        <v>221</v>
      </c>
      <c r="C138" s="47">
        <f>[18]С2!F42</f>
        <v>0.35</v>
      </c>
    </row>
    <row r="139" spans="1:4" s="90" customFormat="1" ht="13.5" thickBot="1" x14ac:dyDescent="0.25">
      <c r="A139" s="48"/>
      <c r="B139" s="76"/>
      <c r="C139" s="15"/>
    </row>
    <row r="140" spans="1:4" ht="30" x14ac:dyDescent="0.2">
      <c r="A140" s="85" t="s">
        <v>222</v>
      </c>
      <c r="B140" s="104" t="s">
        <v>223</v>
      </c>
      <c r="C140" s="105">
        <f>[18]С2!F35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[18]С2.5!$E$11</f>
        <v>-2.9000000000000026E-2</v>
      </c>
      <c r="D143" s="90"/>
    </row>
    <row r="144" spans="1:4" x14ac:dyDescent="0.2">
      <c r="A144" s="107"/>
      <c r="B144" s="112">
        <f>B143+1</f>
        <v>2021</v>
      </c>
      <c r="C144" s="113">
        <f>[18]С2.5!$F$11</f>
        <v>0.245</v>
      </c>
      <c r="D144" s="90"/>
    </row>
    <row r="145" spans="1:4" x14ac:dyDescent="0.2">
      <c r="A145" s="107"/>
      <c r="B145" s="112">
        <f t="shared" ref="B145:B208" si="0">B144+1</f>
        <v>2022</v>
      </c>
      <c r="C145" s="113">
        <f>[18]С2.5!$G$11</f>
        <v>0.121</v>
      </c>
      <c r="D145" s="90"/>
    </row>
    <row r="146" spans="1:4" ht="13.5" thickBot="1" x14ac:dyDescent="0.25">
      <c r="A146" s="107"/>
      <c r="B146" s="114">
        <f t="shared" si="0"/>
        <v>2023</v>
      </c>
      <c r="C146" s="115">
        <f>[18]С2.5!$H$11</f>
        <v>0.02</v>
      </c>
      <c r="D146" s="90"/>
    </row>
    <row r="147" spans="1:4" hidden="1" x14ac:dyDescent="0.2">
      <c r="A147" s="107"/>
      <c r="B147" s="116">
        <f t="shared" si="0"/>
        <v>2024</v>
      </c>
      <c r="C147" s="117">
        <f>[18]С2.5!$I$11</f>
        <v>-2.93E-2</v>
      </c>
      <c r="D147" s="90"/>
    </row>
    <row r="148" spans="1:4" hidden="1" x14ac:dyDescent="0.2">
      <c r="A148" s="107"/>
      <c r="B148" s="112">
        <f t="shared" si="0"/>
        <v>2025</v>
      </c>
      <c r="C148" s="113">
        <f>[18]С2.5!$J$11</f>
        <v>0.21215960863291</v>
      </c>
      <c r="D148" s="90"/>
    </row>
    <row r="149" spans="1:4" hidden="1" x14ac:dyDescent="0.2">
      <c r="A149" s="107"/>
      <c r="B149" s="112">
        <f t="shared" si="0"/>
        <v>2026</v>
      </c>
      <c r="C149" s="113">
        <f>[18]С2.5!$K$11</f>
        <v>3.5813361771260002E-2</v>
      </c>
      <c r="D149" s="90"/>
    </row>
    <row r="150" spans="1:4" hidden="1" x14ac:dyDescent="0.2">
      <c r="A150" s="107"/>
      <c r="B150" s="112">
        <f t="shared" si="0"/>
        <v>2027</v>
      </c>
      <c r="C150" s="113">
        <f>[18]С2.5!$L$11</f>
        <v>3.2682303599220003E-2</v>
      </c>
      <c r="D150" s="90"/>
    </row>
    <row r="151" spans="1:4" hidden="1" x14ac:dyDescent="0.2">
      <c r="A151" s="107"/>
      <c r="B151" s="112">
        <f t="shared" si="0"/>
        <v>2028</v>
      </c>
      <c r="C151" s="113">
        <f>[18]С2.5!$M$11</f>
        <v>0</v>
      </c>
      <c r="D151" s="90"/>
    </row>
    <row r="152" spans="1:4" hidden="1" x14ac:dyDescent="0.2">
      <c r="A152" s="107"/>
      <c r="B152" s="112">
        <f t="shared" si="0"/>
        <v>2029</v>
      </c>
      <c r="C152" s="113">
        <f>[18]С2.5!$N$11</f>
        <v>0</v>
      </c>
      <c r="D152" s="90"/>
    </row>
    <row r="153" spans="1:4" hidden="1" x14ac:dyDescent="0.2">
      <c r="A153" s="107"/>
      <c r="B153" s="112">
        <f t="shared" si="0"/>
        <v>2030</v>
      </c>
      <c r="C153" s="113">
        <f>[18]С2.5!$O$11</f>
        <v>0</v>
      </c>
      <c r="D153" s="90"/>
    </row>
    <row r="154" spans="1:4" hidden="1" x14ac:dyDescent="0.2">
      <c r="A154" s="107"/>
      <c r="B154" s="112">
        <f t="shared" si="0"/>
        <v>2031</v>
      </c>
      <c r="C154" s="113">
        <f>[18]С2.5!$P$11</f>
        <v>0</v>
      </c>
      <c r="D154" s="90"/>
    </row>
    <row r="155" spans="1:4" hidden="1" x14ac:dyDescent="0.2">
      <c r="A155" s="90"/>
      <c r="B155" s="112">
        <f t="shared" si="0"/>
        <v>2032</v>
      </c>
      <c r="C155" s="113">
        <f>[18]С2.5!$Q$11</f>
        <v>0</v>
      </c>
      <c r="D155" s="90"/>
    </row>
    <row r="156" spans="1:4" hidden="1" x14ac:dyDescent="0.2">
      <c r="A156" s="90"/>
      <c r="B156" s="112">
        <f t="shared" si="0"/>
        <v>2033</v>
      </c>
      <c r="C156" s="113">
        <f>[18]С2.5!$R$11</f>
        <v>0</v>
      </c>
      <c r="D156" s="90"/>
    </row>
    <row r="157" spans="1:4" hidden="1" x14ac:dyDescent="0.2">
      <c r="B157" s="112">
        <f t="shared" si="0"/>
        <v>2034</v>
      </c>
      <c r="C157" s="113">
        <f>[18]С2.5!$S$11</f>
        <v>0</v>
      </c>
    </row>
    <row r="158" spans="1:4" hidden="1" x14ac:dyDescent="0.2">
      <c r="B158" s="112">
        <f t="shared" si="0"/>
        <v>2035</v>
      </c>
      <c r="C158" s="113">
        <f>[18]С2.5!$T$11</f>
        <v>0</v>
      </c>
    </row>
    <row r="159" spans="1:4" hidden="1" x14ac:dyDescent="0.2">
      <c r="B159" s="112">
        <f t="shared" si="0"/>
        <v>2036</v>
      </c>
      <c r="C159" s="113">
        <f>[18]С2.5!$U$11</f>
        <v>0</v>
      </c>
    </row>
    <row r="160" spans="1:4" hidden="1" x14ac:dyDescent="0.2">
      <c r="B160" s="112">
        <f t="shared" si="0"/>
        <v>2037</v>
      </c>
      <c r="C160" s="113">
        <f>[18]С2.5!$V$11</f>
        <v>0</v>
      </c>
    </row>
    <row r="161" spans="2:3" hidden="1" x14ac:dyDescent="0.2">
      <c r="B161" s="112">
        <f t="shared" si="0"/>
        <v>2038</v>
      </c>
      <c r="C161" s="113">
        <f>[18]С2.5!$W$11</f>
        <v>0</v>
      </c>
    </row>
    <row r="162" spans="2:3" hidden="1" x14ac:dyDescent="0.2">
      <c r="B162" s="112">
        <f t="shared" si="0"/>
        <v>2039</v>
      </c>
      <c r="C162" s="113">
        <f>[18]С2.5!$X$11</f>
        <v>0</v>
      </c>
    </row>
    <row r="163" spans="2:3" hidden="1" x14ac:dyDescent="0.2">
      <c r="B163" s="112">
        <f t="shared" si="0"/>
        <v>2040</v>
      </c>
      <c r="C163" s="113">
        <f>[18]С2.5!$Y$11</f>
        <v>0</v>
      </c>
    </row>
    <row r="164" spans="2:3" hidden="1" x14ac:dyDescent="0.2">
      <c r="B164" s="112">
        <f t="shared" si="0"/>
        <v>2041</v>
      </c>
      <c r="C164" s="113">
        <f>[18]С2.5!$Z$11</f>
        <v>0</v>
      </c>
    </row>
    <row r="165" spans="2:3" hidden="1" x14ac:dyDescent="0.2">
      <c r="B165" s="112">
        <f t="shared" si="0"/>
        <v>2042</v>
      </c>
      <c r="C165" s="113">
        <f>[18]С2.5!$AA$11</f>
        <v>0</v>
      </c>
    </row>
    <row r="166" spans="2:3" hidden="1" x14ac:dyDescent="0.2">
      <c r="B166" s="112">
        <f t="shared" si="0"/>
        <v>2043</v>
      </c>
      <c r="C166" s="113">
        <f>[18]С2.5!$AB$11</f>
        <v>0</v>
      </c>
    </row>
    <row r="167" spans="2:3" hidden="1" x14ac:dyDescent="0.2">
      <c r="B167" s="112">
        <f t="shared" si="0"/>
        <v>2044</v>
      </c>
      <c r="C167" s="113">
        <f>[18]С2.5!$AC$11</f>
        <v>0</v>
      </c>
    </row>
    <row r="168" spans="2:3" hidden="1" x14ac:dyDescent="0.2">
      <c r="B168" s="112">
        <f t="shared" si="0"/>
        <v>2045</v>
      </c>
      <c r="C168" s="113">
        <f>[18]С2.5!$AD$11</f>
        <v>0</v>
      </c>
    </row>
    <row r="169" spans="2:3" hidden="1" x14ac:dyDescent="0.2">
      <c r="B169" s="112">
        <f t="shared" si="0"/>
        <v>2046</v>
      </c>
      <c r="C169" s="113">
        <f>[18]С2.5!$AE$11</f>
        <v>0</v>
      </c>
    </row>
    <row r="170" spans="2:3" hidden="1" x14ac:dyDescent="0.2">
      <c r="B170" s="112">
        <f t="shared" si="0"/>
        <v>2047</v>
      </c>
      <c r="C170" s="113">
        <f>[18]С2.5!$AF$11</f>
        <v>0</v>
      </c>
    </row>
    <row r="171" spans="2:3" hidden="1" x14ac:dyDescent="0.2">
      <c r="B171" s="112">
        <f t="shared" si="0"/>
        <v>2048</v>
      </c>
      <c r="C171" s="113">
        <f>[18]С2.5!$AG$11</f>
        <v>0</v>
      </c>
    </row>
    <row r="172" spans="2:3" hidden="1" x14ac:dyDescent="0.2">
      <c r="B172" s="112">
        <f t="shared" si="0"/>
        <v>2049</v>
      </c>
      <c r="C172" s="113">
        <f>[18]С2.5!$AH$11</f>
        <v>0</v>
      </c>
    </row>
    <row r="173" spans="2:3" hidden="1" x14ac:dyDescent="0.2">
      <c r="B173" s="112">
        <f t="shared" si="0"/>
        <v>2050</v>
      </c>
      <c r="C173" s="113">
        <f>[18]С2.5!$AI$11</f>
        <v>0</v>
      </c>
    </row>
    <row r="174" spans="2:3" hidden="1" x14ac:dyDescent="0.2">
      <c r="B174" s="112">
        <f t="shared" si="0"/>
        <v>2051</v>
      </c>
      <c r="C174" s="113">
        <f>[18]С2.5!$AJ$11</f>
        <v>0</v>
      </c>
    </row>
    <row r="175" spans="2:3" hidden="1" x14ac:dyDescent="0.2">
      <c r="B175" s="112">
        <f t="shared" si="0"/>
        <v>2052</v>
      </c>
      <c r="C175" s="113">
        <f>[18]С2.5!$AK$11</f>
        <v>0</v>
      </c>
    </row>
    <row r="176" spans="2:3" hidden="1" x14ac:dyDescent="0.2">
      <c r="B176" s="112">
        <f t="shared" si="0"/>
        <v>2053</v>
      </c>
      <c r="C176" s="113">
        <f>[18]С2.5!$AL$11</f>
        <v>0</v>
      </c>
    </row>
    <row r="177" spans="2:3" hidden="1" x14ac:dyDescent="0.2">
      <c r="B177" s="112">
        <f t="shared" si="0"/>
        <v>2054</v>
      </c>
      <c r="C177" s="113">
        <f>[18]С2.5!$AM$11</f>
        <v>0</v>
      </c>
    </row>
    <row r="178" spans="2:3" hidden="1" x14ac:dyDescent="0.2">
      <c r="B178" s="112">
        <f t="shared" si="0"/>
        <v>2055</v>
      </c>
      <c r="C178" s="113">
        <f>[18]С2.5!$AN$11</f>
        <v>0</v>
      </c>
    </row>
    <row r="179" spans="2:3" hidden="1" x14ac:dyDescent="0.2">
      <c r="B179" s="112">
        <f t="shared" si="0"/>
        <v>2056</v>
      </c>
      <c r="C179" s="113">
        <f>[18]С2.5!$AO$11</f>
        <v>0</v>
      </c>
    </row>
    <row r="180" spans="2:3" hidden="1" x14ac:dyDescent="0.2">
      <c r="B180" s="112">
        <f t="shared" si="0"/>
        <v>2057</v>
      </c>
      <c r="C180" s="113">
        <f>[18]С2.5!$AP$11</f>
        <v>0</v>
      </c>
    </row>
    <row r="181" spans="2:3" hidden="1" x14ac:dyDescent="0.2">
      <c r="B181" s="112">
        <f t="shared" si="0"/>
        <v>2058</v>
      </c>
      <c r="C181" s="113">
        <f>[18]С2.5!$AQ$11</f>
        <v>0</v>
      </c>
    </row>
    <row r="182" spans="2:3" hidden="1" x14ac:dyDescent="0.2">
      <c r="B182" s="112">
        <f t="shared" si="0"/>
        <v>2059</v>
      </c>
      <c r="C182" s="113">
        <f>[18]С2.5!$AR$11</f>
        <v>0</v>
      </c>
    </row>
    <row r="183" spans="2:3" hidden="1" x14ac:dyDescent="0.2">
      <c r="B183" s="112">
        <f t="shared" si="0"/>
        <v>2060</v>
      </c>
      <c r="C183" s="113">
        <f>[18]С2.5!$AS$11</f>
        <v>0</v>
      </c>
    </row>
    <row r="184" spans="2:3" hidden="1" x14ac:dyDescent="0.2">
      <c r="B184" s="112">
        <f t="shared" si="0"/>
        <v>2061</v>
      </c>
      <c r="C184" s="113">
        <f>[18]С2.5!$AT$11</f>
        <v>0</v>
      </c>
    </row>
    <row r="185" spans="2:3" hidden="1" x14ac:dyDescent="0.2">
      <c r="B185" s="112">
        <f t="shared" si="0"/>
        <v>2062</v>
      </c>
      <c r="C185" s="113">
        <f>[18]С2.5!$AU$11</f>
        <v>0</v>
      </c>
    </row>
    <row r="186" spans="2:3" hidden="1" x14ac:dyDescent="0.2">
      <c r="B186" s="112">
        <f t="shared" si="0"/>
        <v>2063</v>
      </c>
      <c r="C186" s="113">
        <f>[18]С2.5!$AV$11</f>
        <v>0</v>
      </c>
    </row>
    <row r="187" spans="2:3" hidden="1" x14ac:dyDescent="0.2">
      <c r="B187" s="112">
        <f t="shared" si="0"/>
        <v>2064</v>
      </c>
      <c r="C187" s="113">
        <f>[18]С2.5!$AW$11</f>
        <v>0</v>
      </c>
    </row>
    <row r="188" spans="2:3" hidden="1" x14ac:dyDescent="0.2">
      <c r="B188" s="112">
        <f t="shared" si="0"/>
        <v>2065</v>
      </c>
      <c r="C188" s="113">
        <f>[18]С2.5!$AX$11</f>
        <v>0</v>
      </c>
    </row>
    <row r="189" spans="2:3" hidden="1" x14ac:dyDescent="0.2">
      <c r="B189" s="112">
        <f t="shared" si="0"/>
        <v>2066</v>
      </c>
      <c r="C189" s="113">
        <f>[18]С2.5!$AY$11</f>
        <v>0</v>
      </c>
    </row>
    <row r="190" spans="2:3" hidden="1" x14ac:dyDescent="0.2">
      <c r="B190" s="112">
        <f t="shared" si="0"/>
        <v>2067</v>
      </c>
      <c r="C190" s="113">
        <f>[18]С2.5!$AZ$11</f>
        <v>0</v>
      </c>
    </row>
    <row r="191" spans="2:3" hidden="1" x14ac:dyDescent="0.2">
      <c r="B191" s="112">
        <f t="shared" si="0"/>
        <v>2068</v>
      </c>
      <c r="C191" s="113">
        <f>[18]С2.5!$BA$11</f>
        <v>0</v>
      </c>
    </row>
    <row r="192" spans="2:3" hidden="1" x14ac:dyDescent="0.2">
      <c r="B192" s="112">
        <f t="shared" si="0"/>
        <v>2069</v>
      </c>
      <c r="C192" s="113">
        <f>[18]С2.5!$BB$11</f>
        <v>0</v>
      </c>
    </row>
    <row r="193" spans="2:3" hidden="1" x14ac:dyDescent="0.2">
      <c r="B193" s="112">
        <f t="shared" si="0"/>
        <v>2070</v>
      </c>
      <c r="C193" s="113">
        <f>[18]С2.5!$BC$11</f>
        <v>0</v>
      </c>
    </row>
    <row r="194" spans="2:3" hidden="1" x14ac:dyDescent="0.2">
      <c r="B194" s="112">
        <f t="shared" si="0"/>
        <v>2071</v>
      </c>
      <c r="C194" s="113">
        <f>[18]С2.5!$BD$11</f>
        <v>0</v>
      </c>
    </row>
    <row r="195" spans="2:3" hidden="1" x14ac:dyDescent="0.2">
      <c r="B195" s="112">
        <f t="shared" si="0"/>
        <v>2072</v>
      </c>
      <c r="C195" s="113">
        <f>[18]С2.5!$BE$11</f>
        <v>0</v>
      </c>
    </row>
    <row r="196" spans="2:3" hidden="1" x14ac:dyDescent="0.2">
      <c r="B196" s="112">
        <f t="shared" si="0"/>
        <v>2073</v>
      </c>
      <c r="C196" s="113">
        <f>[18]С2.5!$BF$11</f>
        <v>0</v>
      </c>
    </row>
    <row r="197" spans="2:3" hidden="1" x14ac:dyDescent="0.2">
      <c r="B197" s="112">
        <f t="shared" si="0"/>
        <v>2074</v>
      </c>
      <c r="C197" s="113">
        <f>[18]С2.5!$BG$11</f>
        <v>0</v>
      </c>
    </row>
    <row r="198" spans="2:3" hidden="1" x14ac:dyDescent="0.2">
      <c r="B198" s="112">
        <f t="shared" si="0"/>
        <v>2075</v>
      </c>
      <c r="C198" s="113">
        <f>[18]С2.5!$BH$11</f>
        <v>0</v>
      </c>
    </row>
    <row r="199" spans="2:3" hidden="1" x14ac:dyDescent="0.2">
      <c r="B199" s="112">
        <f t="shared" si="0"/>
        <v>2076</v>
      </c>
      <c r="C199" s="113">
        <f>[18]С2.5!$BI$11</f>
        <v>0</v>
      </c>
    </row>
    <row r="200" spans="2:3" hidden="1" x14ac:dyDescent="0.2">
      <c r="B200" s="112">
        <f t="shared" si="0"/>
        <v>2077</v>
      </c>
      <c r="C200" s="113">
        <f>[18]С2.5!$BJ$11</f>
        <v>0</v>
      </c>
    </row>
    <row r="201" spans="2:3" hidden="1" x14ac:dyDescent="0.2">
      <c r="B201" s="112">
        <f t="shared" si="0"/>
        <v>2078</v>
      </c>
      <c r="C201" s="113">
        <f>[18]С2.5!$BK$11</f>
        <v>0</v>
      </c>
    </row>
    <row r="202" spans="2:3" hidden="1" x14ac:dyDescent="0.2">
      <c r="B202" s="112">
        <f t="shared" si="0"/>
        <v>2079</v>
      </c>
      <c r="C202" s="113">
        <f>[18]С2.5!$BL$11</f>
        <v>0</v>
      </c>
    </row>
    <row r="203" spans="2:3" hidden="1" x14ac:dyDescent="0.2">
      <c r="B203" s="112">
        <f t="shared" si="0"/>
        <v>2080</v>
      </c>
      <c r="C203" s="113">
        <f>[18]С2.5!$BM$11</f>
        <v>0</v>
      </c>
    </row>
    <row r="204" spans="2:3" hidden="1" x14ac:dyDescent="0.2">
      <c r="B204" s="112">
        <f t="shared" si="0"/>
        <v>2081</v>
      </c>
      <c r="C204" s="113">
        <f>[18]С2.5!$BN$11</f>
        <v>0</v>
      </c>
    </row>
    <row r="205" spans="2:3" hidden="1" x14ac:dyDescent="0.2">
      <c r="B205" s="112">
        <f t="shared" si="0"/>
        <v>2082</v>
      </c>
      <c r="C205" s="113">
        <f>[18]С2.5!$BO$11</f>
        <v>0</v>
      </c>
    </row>
    <row r="206" spans="2:3" hidden="1" x14ac:dyDescent="0.2">
      <c r="B206" s="112">
        <f t="shared" si="0"/>
        <v>2083</v>
      </c>
      <c r="C206" s="113">
        <f>[18]С2.5!$BP$11</f>
        <v>0</v>
      </c>
    </row>
    <row r="207" spans="2:3" hidden="1" x14ac:dyDescent="0.2">
      <c r="B207" s="112">
        <f t="shared" si="0"/>
        <v>2084</v>
      </c>
      <c r="C207" s="113">
        <f>[18]С2.5!$BQ$11</f>
        <v>0</v>
      </c>
    </row>
    <row r="208" spans="2:3" hidden="1" x14ac:dyDescent="0.2">
      <c r="B208" s="112">
        <f t="shared" si="0"/>
        <v>2085</v>
      </c>
      <c r="C208" s="113">
        <f>[18]С2.5!$BR$11</f>
        <v>0</v>
      </c>
    </row>
    <row r="209" spans="2:3" hidden="1" x14ac:dyDescent="0.2">
      <c r="B209" s="112">
        <f t="shared" ref="B209:B223" si="1">B208+1</f>
        <v>2086</v>
      </c>
      <c r="C209" s="113">
        <f>[18]С2.5!$BS$11</f>
        <v>0</v>
      </c>
    </row>
    <row r="210" spans="2:3" hidden="1" x14ac:dyDescent="0.2">
      <c r="B210" s="112">
        <f t="shared" si="1"/>
        <v>2087</v>
      </c>
      <c r="C210" s="113">
        <f>[18]С2.5!$BT$11</f>
        <v>0</v>
      </c>
    </row>
    <row r="211" spans="2:3" hidden="1" x14ac:dyDescent="0.2">
      <c r="B211" s="112">
        <f t="shared" si="1"/>
        <v>2088</v>
      </c>
      <c r="C211" s="113">
        <f>[18]С2.5!$BU$11</f>
        <v>0</v>
      </c>
    </row>
    <row r="212" spans="2:3" hidden="1" x14ac:dyDescent="0.2">
      <c r="B212" s="112">
        <f t="shared" si="1"/>
        <v>2089</v>
      </c>
      <c r="C212" s="113">
        <f>[18]С2.5!$BV$11</f>
        <v>0</v>
      </c>
    </row>
    <row r="213" spans="2:3" hidden="1" x14ac:dyDescent="0.2">
      <c r="B213" s="112">
        <f t="shared" si="1"/>
        <v>2090</v>
      </c>
      <c r="C213" s="113">
        <f>[18]С2.5!$BW$11</f>
        <v>0</v>
      </c>
    </row>
    <row r="214" spans="2:3" hidden="1" x14ac:dyDescent="0.2">
      <c r="B214" s="112">
        <f t="shared" si="1"/>
        <v>2091</v>
      </c>
      <c r="C214" s="113">
        <f>[18]С2.5!$BX$11</f>
        <v>0</v>
      </c>
    </row>
    <row r="215" spans="2:3" hidden="1" x14ac:dyDescent="0.2">
      <c r="B215" s="112">
        <f t="shared" si="1"/>
        <v>2092</v>
      </c>
      <c r="C215" s="113">
        <f>[18]С2.5!$BY$11</f>
        <v>0</v>
      </c>
    </row>
    <row r="216" spans="2:3" hidden="1" x14ac:dyDescent="0.2">
      <c r="B216" s="112">
        <f t="shared" si="1"/>
        <v>2093</v>
      </c>
      <c r="C216" s="113">
        <f>[18]С2.5!$BZ$11</f>
        <v>0</v>
      </c>
    </row>
    <row r="217" spans="2:3" hidden="1" x14ac:dyDescent="0.2">
      <c r="B217" s="112">
        <f t="shared" si="1"/>
        <v>2094</v>
      </c>
      <c r="C217" s="113">
        <f>[18]С2.5!$CA$11</f>
        <v>0</v>
      </c>
    </row>
    <row r="218" spans="2:3" hidden="1" x14ac:dyDescent="0.2">
      <c r="B218" s="112">
        <f t="shared" si="1"/>
        <v>2095</v>
      </c>
      <c r="C218" s="113">
        <f>[18]С2.5!$CB$11</f>
        <v>0</v>
      </c>
    </row>
    <row r="219" spans="2:3" hidden="1" x14ac:dyDescent="0.2">
      <c r="B219" s="112">
        <f t="shared" si="1"/>
        <v>2096</v>
      </c>
      <c r="C219" s="113">
        <f>[18]С2.5!$CC$11</f>
        <v>0</v>
      </c>
    </row>
    <row r="220" spans="2:3" hidden="1" x14ac:dyDescent="0.2">
      <c r="B220" s="112">
        <f t="shared" si="1"/>
        <v>2097</v>
      </c>
      <c r="C220" s="113">
        <f>[18]С2.5!$CD$11</f>
        <v>0</v>
      </c>
    </row>
    <row r="221" spans="2:3" hidden="1" x14ac:dyDescent="0.2">
      <c r="B221" s="112">
        <f t="shared" si="1"/>
        <v>2098</v>
      </c>
      <c r="C221" s="113">
        <f>[18]С2.5!$CE$11</f>
        <v>0</v>
      </c>
    </row>
    <row r="222" spans="2:3" hidden="1" x14ac:dyDescent="0.2">
      <c r="B222" s="112">
        <f t="shared" si="1"/>
        <v>2099</v>
      </c>
      <c r="C222" s="113">
        <f>[18]С2.5!$CF$11</f>
        <v>0</v>
      </c>
    </row>
    <row r="223" spans="2:3" ht="13.5" hidden="1" thickBot="1" x14ac:dyDescent="0.25">
      <c r="B223" s="114">
        <f t="shared" si="1"/>
        <v>2100</v>
      </c>
      <c r="C223" s="115">
        <f>[18]С2.5!$CG$11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Button 1">
              <controlPr defaultSize="0" print="0" autoFill="0" autoPict="0" macro="[18]!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B26" sqref="B2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[2]И1!D13</f>
        <v>Субъект Российской Федерации</v>
      </c>
      <c r="C4" s="10" t="str">
        <f>[2]И1!E13</f>
        <v>Новосибирская область</v>
      </c>
    </row>
    <row r="5" spans="1:3" ht="38.25" x14ac:dyDescent="0.2">
      <c r="A5" s="8"/>
      <c r="B5" s="9" t="str">
        <f>[2]И1!D14</f>
        <v>Тип муниципального образования (выберите из списка)</v>
      </c>
      <c r="C5" s="10" t="str">
        <f>[2]И1!E14</f>
        <v>село Аксениха, Краснозерский муниципальный район</v>
      </c>
    </row>
    <row r="6" spans="1:3" x14ac:dyDescent="0.2">
      <c r="A6" s="8"/>
      <c r="B6" s="9" t="str">
        <f>IF([2]И1!E15="","",[2]И1!D15)</f>
        <v/>
      </c>
      <c r="C6" s="10" t="str">
        <f>IF([2]И1!E15="","",[2]И1!E15)</f>
        <v/>
      </c>
    </row>
    <row r="7" spans="1:3" x14ac:dyDescent="0.2">
      <c r="A7" s="8"/>
      <c r="B7" s="9" t="str">
        <f>[2]И1!D16</f>
        <v>Код ОКТМО</v>
      </c>
      <c r="C7" s="11" t="str">
        <f>[2]И1!E16</f>
        <v xml:space="preserve"> (50627402101)</v>
      </c>
    </row>
    <row r="8" spans="1:3" x14ac:dyDescent="0.2">
      <c r="A8" s="8"/>
      <c r="B8" s="12" t="str">
        <f>[2]И1!D17</f>
        <v>Система теплоснабжения</v>
      </c>
      <c r="C8" s="13">
        <f>[2]И1!E17</f>
        <v>0</v>
      </c>
    </row>
    <row r="9" spans="1:3" x14ac:dyDescent="0.2">
      <c r="A9" s="8"/>
      <c r="B9" s="9" t="str">
        <f>[2]И1!D8</f>
        <v>Период регулирования (i)-й</v>
      </c>
      <c r="C9" s="14">
        <f>[2]И1!E8</f>
        <v>2023</v>
      </c>
    </row>
    <row r="10" spans="1:3" x14ac:dyDescent="0.2">
      <c r="A10" s="8"/>
      <c r="B10" s="9" t="str">
        <f>[2]И1!D9</f>
        <v>Период регулирования (i-1)-й</v>
      </c>
      <c r="C10" s="14">
        <f>[2]И1!E9</f>
        <v>2022</v>
      </c>
    </row>
    <row r="11" spans="1:3" x14ac:dyDescent="0.2">
      <c r="A11" s="8"/>
      <c r="B11" s="9" t="str">
        <f>[2]И1!D10</f>
        <v>Период регулирования (i-2)-й</v>
      </c>
      <c r="C11" s="14">
        <f>[2]И1!E10</f>
        <v>2021</v>
      </c>
    </row>
    <row r="12" spans="1:3" x14ac:dyDescent="0.2">
      <c r="A12" s="8"/>
      <c r="B12" s="9" t="str">
        <f>[2]И1!D11</f>
        <v>Базовый год (б)</v>
      </c>
      <c r="C12" s="14">
        <f>[2]И1!E11</f>
        <v>2019</v>
      </c>
    </row>
    <row r="13" spans="1:3" ht="38.25" x14ac:dyDescent="0.2">
      <c r="A13" s="8"/>
      <c r="B13" s="9" t="str">
        <f>[2]И1!D18</f>
        <v>Вид топлива, использование которого преобладает в системе теплоснабжения</v>
      </c>
      <c r="C13" s="15" t="str">
        <f>[2]С1.1!E13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3967.339814508653</v>
      </c>
    </row>
    <row r="18" spans="1:3" ht="42.75" x14ac:dyDescent="0.2">
      <c r="A18" s="22" t="s">
        <v>8</v>
      </c>
      <c r="B18" s="25" t="s">
        <v>9</v>
      </c>
      <c r="C18" s="26">
        <f>[2]С1!F12</f>
        <v>889.79869999646769</v>
      </c>
    </row>
    <row r="19" spans="1:3" ht="42.75" x14ac:dyDescent="0.2">
      <c r="A19" s="22" t="s">
        <v>10</v>
      </c>
      <c r="B19" s="25" t="s">
        <v>11</v>
      </c>
      <c r="C19" s="26">
        <f>[2]С2!F12</f>
        <v>2106.0579468653982</v>
      </c>
    </row>
    <row r="20" spans="1:3" ht="30" x14ac:dyDescent="0.2">
      <c r="A20" s="22" t="s">
        <v>12</v>
      </c>
      <c r="B20" s="25" t="s">
        <v>13</v>
      </c>
      <c r="C20" s="26">
        <f>[2]С3!F12</f>
        <v>503.83473408478085</v>
      </c>
    </row>
    <row r="21" spans="1:3" ht="42.75" x14ac:dyDescent="0.2">
      <c r="A21" s="22" t="s">
        <v>14</v>
      </c>
      <c r="B21" s="25" t="s">
        <v>15</v>
      </c>
      <c r="C21" s="26">
        <f>[2]С4!F12</f>
        <v>389.85745680693412</v>
      </c>
    </row>
    <row r="22" spans="1:3" ht="30" x14ac:dyDescent="0.2">
      <c r="A22" s="22" t="s">
        <v>16</v>
      </c>
      <c r="B22" s="25" t="s">
        <v>17</v>
      </c>
      <c r="C22" s="26">
        <f>[2]С5!F12</f>
        <v>77.790976755071625</v>
      </c>
    </row>
    <row r="23" spans="1:3" ht="43.5" thickBot="1" x14ac:dyDescent="0.25">
      <c r="A23" s="27" t="s">
        <v>18</v>
      </c>
      <c r="B23" s="28" t="s">
        <v>19</v>
      </c>
      <c r="C23" s="29" t="str">
        <f>[2]С6!F12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[2]С1.1!E16</f>
        <v>5100</v>
      </c>
    </row>
    <row r="29" spans="1:3" ht="42.75" x14ac:dyDescent="0.2">
      <c r="A29" s="22" t="s">
        <v>10</v>
      </c>
      <c r="B29" s="34" t="s">
        <v>22</v>
      </c>
      <c r="C29" s="35">
        <f>[2]С1.1!E27</f>
        <v>2392.52</v>
      </c>
    </row>
    <row r="30" spans="1:3" ht="17.25" x14ac:dyDescent="0.2">
      <c r="A30" s="22" t="s">
        <v>12</v>
      </c>
      <c r="B30" s="34" t="s">
        <v>23</v>
      </c>
      <c r="C30" s="36">
        <f>[2]С1.1!E19</f>
        <v>0.59499999999999997</v>
      </c>
    </row>
    <row r="31" spans="1:3" ht="17.25" x14ac:dyDescent="0.2">
      <c r="A31" s="22" t="s">
        <v>14</v>
      </c>
      <c r="B31" s="34" t="s">
        <v>24</v>
      </c>
      <c r="C31" s="36">
        <f>[2]С1.1!E20</f>
        <v>-0.113</v>
      </c>
    </row>
    <row r="32" spans="1:3" ht="30" x14ac:dyDescent="0.2">
      <c r="A32" s="22" t="s">
        <v>16</v>
      </c>
      <c r="B32" s="37" t="s">
        <v>25</v>
      </c>
      <c r="C32" s="38">
        <f>[2]С1!F13</f>
        <v>176.4</v>
      </c>
    </row>
    <row r="33" spans="1:3" x14ac:dyDescent="0.2">
      <c r="A33" s="22" t="s">
        <v>18</v>
      </c>
      <c r="B33" s="37" t="s">
        <v>26</v>
      </c>
      <c r="C33" s="39">
        <f>[2]С1!F16</f>
        <v>7000</v>
      </c>
    </row>
    <row r="34" spans="1:3" ht="14.25" x14ac:dyDescent="0.2">
      <c r="A34" s="22" t="s">
        <v>27</v>
      </c>
      <c r="B34" s="40" t="s">
        <v>28</v>
      </c>
      <c r="C34" s="41">
        <f>[2]С1!F17</f>
        <v>0.72857142857142854</v>
      </c>
    </row>
    <row r="35" spans="1:3" ht="15.75" x14ac:dyDescent="0.2">
      <c r="A35" s="42" t="s">
        <v>29</v>
      </c>
      <c r="B35" s="43" t="s">
        <v>30</v>
      </c>
      <c r="C35" s="41">
        <f>[2]С1!F20</f>
        <v>21.588411179999994</v>
      </c>
    </row>
    <row r="36" spans="1:3" ht="15.75" x14ac:dyDescent="0.2">
      <c r="A36" s="42" t="s">
        <v>31</v>
      </c>
      <c r="B36" s="44" t="s">
        <v>32</v>
      </c>
      <c r="C36" s="41">
        <f>[2]С1!F21</f>
        <v>20.818139999999996</v>
      </c>
    </row>
    <row r="37" spans="1:3" ht="14.25" x14ac:dyDescent="0.2">
      <c r="A37" s="42" t="s">
        <v>33</v>
      </c>
      <c r="B37" s="45" t="s">
        <v>34</v>
      </c>
      <c r="C37" s="41">
        <f>[2]С1!F22</f>
        <v>1.0369999999999999</v>
      </c>
    </row>
    <row r="38" spans="1:3" ht="53.25" thickBot="1" x14ac:dyDescent="0.25">
      <c r="A38" s="27" t="s">
        <v>35</v>
      </c>
      <c r="B38" s="46" t="s">
        <v>36</v>
      </c>
      <c r="C38" s="47">
        <f>[2]С1!F23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[2]С2.1!E12</f>
        <v>V</v>
      </c>
    </row>
    <row r="42" spans="1:3" ht="25.5" x14ac:dyDescent="0.2">
      <c r="A42" s="22" t="s">
        <v>41</v>
      </c>
      <c r="B42" s="34" t="s">
        <v>42</v>
      </c>
      <c r="C42" s="52" t="str">
        <f>[2]С2.1!E13</f>
        <v>6 и менее баллов</v>
      </c>
    </row>
    <row r="43" spans="1:3" ht="25.5" x14ac:dyDescent="0.2">
      <c r="A43" s="22" t="s">
        <v>43</v>
      </c>
      <c r="B43" s="34" t="s">
        <v>44</v>
      </c>
      <c r="C43" s="52" t="str">
        <f>[2]С2.1!E14</f>
        <v>от 200 до 500</v>
      </c>
    </row>
    <row r="44" spans="1:3" ht="25.5" x14ac:dyDescent="0.2">
      <c r="A44" s="22" t="s">
        <v>45</v>
      </c>
      <c r="B44" s="34" t="s">
        <v>46</v>
      </c>
      <c r="C44" s="53" t="str">
        <f>[2]С2.1!E15</f>
        <v>нет</v>
      </c>
    </row>
    <row r="45" spans="1:3" ht="30" x14ac:dyDescent="0.2">
      <c r="A45" s="22" t="s">
        <v>47</v>
      </c>
      <c r="B45" s="34" t="s">
        <v>48</v>
      </c>
      <c r="C45" s="35">
        <f>[2]С2!F18</f>
        <v>32402.627334033532</v>
      </c>
    </row>
    <row r="46" spans="1:3" ht="30" x14ac:dyDescent="0.2">
      <c r="A46" s="22" t="s">
        <v>49</v>
      </c>
      <c r="B46" s="54" t="s">
        <v>50</v>
      </c>
      <c r="C46" s="35">
        <f>IF([2]С2!F19&gt;0,[2]С2!F19,[2]С2!F20)</f>
        <v>23441.524932855718</v>
      </c>
    </row>
    <row r="47" spans="1:3" ht="25.5" x14ac:dyDescent="0.2">
      <c r="A47" s="22" t="s">
        <v>51</v>
      </c>
      <c r="B47" s="55" t="s">
        <v>52</v>
      </c>
      <c r="C47" s="35">
        <f>[2]С2.1!E19</f>
        <v>-37</v>
      </c>
    </row>
    <row r="48" spans="1:3" ht="25.5" x14ac:dyDescent="0.2">
      <c r="A48" s="22" t="s">
        <v>53</v>
      </c>
      <c r="B48" s="55" t="s">
        <v>54</v>
      </c>
      <c r="C48" s="35" t="str">
        <f>[2]С2.1!E22</f>
        <v>нет</v>
      </c>
    </row>
    <row r="49" spans="1:3" ht="38.25" x14ac:dyDescent="0.2">
      <c r="A49" s="22" t="s">
        <v>55</v>
      </c>
      <c r="B49" s="56" t="s">
        <v>56</v>
      </c>
      <c r="C49" s="35">
        <f>[2]С2.2!E10</f>
        <v>1287</v>
      </c>
    </row>
    <row r="50" spans="1:3" ht="25.5" x14ac:dyDescent="0.2">
      <c r="A50" s="22" t="s">
        <v>57</v>
      </c>
      <c r="B50" s="57" t="s">
        <v>58</v>
      </c>
      <c r="C50" s="35">
        <f>[2]С2.2!E12</f>
        <v>5.97</v>
      </c>
    </row>
    <row r="51" spans="1:3" ht="52.5" x14ac:dyDescent="0.2">
      <c r="A51" s="22" t="s">
        <v>59</v>
      </c>
      <c r="B51" s="58" t="s">
        <v>60</v>
      </c>
      <c r="C51" s="35">
        <f>[2]С2.2!E13</f>
        <v>1</v>
      </c>
    </row>
    <row r="52" spans="1:3" ht="27.75" x14ac:dyDescent="0.2">
      <c r="A52" s="22" t="s">
        <v>61</v>
      </c>
      <c r="B52" s="57" t="s">
        <v>62</v>
      </c>
      <c r="C52" s="35">
        <f>[2]С2.2!E14</f>
        <v>12104</v>
      </c>
    </row>
    <row r="53" spans="1:3" ht="25.5" x14ac:dyDescent="0.2">
      <c r="A53" s="22" t="s">
        <v>63</v>
      </c>
      <c r="B53" s="58" t="s">
        <v>64</v>
      </c>
      <c r="C53" s="36">
        <f>[2]С2.2!E15</f>
        <v>4.8000000000000001E-2</v>
      </c>
    </row>
    <row r="54" spans="1:3" x14ac:dyDescent="0.2">
      <c r="A54" s="22" t="s">
        <v>65</v>
      </c>
      <c r="B54" s="58" t="s">
        <v>66</v>
      </c>
      <c r="C54" s="35">
        <f>[2]С2.2!E16</f>
        <v>1</v>
      </c>
    </row>
    <row r="55" spans="1:3" ht="15.75" x14ac:dyDescent="0.2">
      <c r="A55" s="22" t="s">
        <v>67</v>
      </c>
      <c r="B55" s="59" t="s">
        <v>68</v>
      </c>
      <c r="C55" s="35">
        <f>[2]С2!F21</f>
        <v>1</v>
      </c>
    </row>
    <row r="56" spans="1:3" ht="30" x14ac:dyDescent="0.2">
      <c r="A56" s="60" t="s">
        <v>69</v>
      </c>
      <c r="B56" s="34" t="s">
        <v>70</v>
      </c>
      <c r="C56" s="35">
        <f>[2]С2!F13</f>
        <v>169640.22915965237</v>
      </c>
    </row>
    <row r="57" spans="1:3" ht="30" x14ac:dyDescent="0.2">
      <c r="A57" s="60" t="s">
        <v>71</v>
      </c>
      <c r="B57" s="59" t="s">
        <v>72</v>
      </c>
      <c r="C57" s="35">
        <f>[2]С2!F14</f>
        <v>113455</v>
      </c>
    </row>
    <row r="58" spans="1:3" ht="15.75" x14ac:dyDescent="0.2">
      <c r="A58" s="60" t="s">
        <v>73</v>
      </c>
      <c r="B58" s="61" t="s">
        <v>74</v>
      </c>
      <c r="C58" s="41">
        <f>[2]С2!F15</f>
        <v>1.071</v>
      </c>
    </row>
    <row r="59" spans="1:3" ht="15.75" x14ac:dyDescent="0.2">
      <c r="A59" s="60" t="s">
        <v>75</v>
      </c>
      <c r="B59" s="61" t="s">
        <v>76</v>
      </c>
      <c r="C59" s="41">
        <f>[2]С2!F16</f>
        <v>1</v>
      </c>
    </row>
    <row r="60" spans="1:3" ht="17.25" x14ac:dyDescent="0.2">
      <c r="A60" s="60" t="s">
        <v>77</v>
      </c>
      <c r="B60" s="59" t="s">
        <v>78</v>
      </c>
      <c r="C60" s="35">
        <f>[2]С2!F17</f>
        <v>1.01</v>
      </c>
    </row>
    <row r="61" spans="1:3" s="64" customFormat="1" ht="14.25" x14ac:dyDescent="0.2">
      <c r="A61" s="60" t="s">
        <v>79</v>
      </c>
      <c r="B61" s="62" t="s">
        <v>80</v>
      </c>
      <c r="C61" s="63">
        <f>[2]С2!F33</f>
        <v>10</v>
      </c>
    </row>
    <row r="62" spans="1:3" ht="30" x14ac:dyDescent="0.2">
      <c r="A62" s="60" t="s">
        <v>81</v>
      </c>
      <c r="B62" s="65" t="s">
        <v>82</v>
      </c>
      <c r="C62" s="35">
        <f>[2]С2!F26</f>
        <v>1123.6482814273334</v>
      </c>
    </row>
    <row r="63" spans="1:3" ht="17.25" x14ac:dyDescent="0.2">
      <c r="A63" s="60" t="s">
        <v>83</v>
      </c>
      <c r="B63" s="54" t="s">
        <v>84</v>
      </c>
      <c r="C63" s="35">
        <f>[2]С2!F27</f>
        <v>0.19354712999999998</v>
      </c>
    </row>
    <row r="64" spans="1:3" ht="17.25" x14ac:dyDescent="0.2">
      <c r="A64" s="60" t="s">
        <v>85</v>
      </c>
      <c r="B64" s="59" t="s">
        <v>86</v>
      </c>
      <c r="C64" s="63">
        <f>[2]С2!F28</f>
        <v>4200</v>
      </c>
    </row>
    <row r="65" spans="1:3" ht="42.75" x14ac:dyDescent="0.2">
      <c r="A65" s="60" t="s">
        <v>87</v>
      </c>
      <c r="B65" s="34" t="s">
        <v>88</v>
      </c>
      <c r="C65" s="35">
        <f>[2]С2!F22</f>
        <v>35717.748653137714</v>
      </c>
    </row>
    <row r="66" spans="1:3" ht="30" x14ac:dyDescent="0.2">
      <c r="A66" s="60" t="s">
        <v>89</v>
      </c>
      <c r="B66" s="61" t="s">
        <v>90</v>
      </c>
      <c r="C66" s="35">
        <f>[2]С2!F23</f>
        <v>1990</v>
      </c>
    </row>
    <row r="67" spans="1:3" ht="30" x14ac:dyDescent="0.2">
      <c r="A67" s="60" t="s">
        <v>91</v>
      </c>
      <c r="B67" s="54" t="s">
        <v>92</v>
      </c>
      <c r="C67" s="35">
        <f>[2]С2.1!E27</f>
        <v>14307.876789999998</v>
      </c>
    </row>
    <row r="68" spans="1:3" ht="38.25" x14ac:dyDescent="0.2">
      <c r="A68" s="60" t="s">
        <v>93</v>
      </c>
      <c r="B68" s="66" t="s">
        <v>94</v>
      </c>
      <c r="C68" s="53">
        <f>[2]С2.3!E21</f>
        <v>0</v>
      </c>
    </row>
    <row r="69" spans="1:3" ht="25.5" x14ac:dyDescent="0.2">
      <c r="A69" s="60" t="s">
        <v>95</v>
      </c>
      <c r="B69" s="67" t="s">
        <v>96</v>
      </c>
      <c r="C69" s="68">
        <f>[2]С2.3!E11</f>
        <v>9.89</v>
      </c>
    </row>
    <row r="70" spans="1:3" ht="25.5" x14ac:dyDescent="0.2">
      <c r="A70" s="60" t="s">
        <v>97</v>
      </c>
      <c r="B70" s="67" t="s">
        <v>98</v>
      </c>
      <c r="C70" s="63">
        <f>[2]С2.3!E13</f>
        <v>300</v>
      </c>
    </row>
    <row r="71" spans="1:3" ht="25.5" x14ac:dyDescent="0.2">
      <c r="A71" s="60" t="s">
        <v>99</v>
      </c>
      <c r="B71" s="66" t="s">
        <v>100</v>
      </c>
      <c r="C71" s="69">
        <f>IF([2]С2.3!E22&gt;0,[2]С2.3!E22,[2]С2.3!E14)</f>
        <v>61211</v>
      </c>
    </row>
    <row r="72" spans="1:3" ht="38.25" x14ac:dyDescent="0.2">
      <c r="A72" s="60" t="s">
        <v>101</v>
      </c>
      <c r="B72" s="66" t="s">
        <v>102</v>
      </c>
      <c r="C72" s="69">
        <f>IF([2]С2.3!E23&gt;0,[2]С2.3!E23,[2]С2.3!E15)</f>
        <v>45675</v>
      </c>
    </row>
    <row r="73" spans="1:3" ht="30" x14ac:dyDescent="0.2">
      <c r="A73" s="60" t="s">
        <v>103</v>
      </c>
      <c r="B73" s="54" t="s">
        <v>104</v>
      </c>
      <c r="C73" s="35">
        <f>[2]С2.1!E28</f>
        <v>9541.9567200000001</v>
      </c>
    </row>
    <row r="74" spans="1:3" ht="38.25" x14ac:dyDescent="0.2">
      <c r="A74" s="60" t="s">
        <v>105</v>
      </c>
      <c r="B74" s="66" t="s">
        <v>106</v>
      </c>
      <c r="C74" s="53">
        <f>[2]С2.3!E25</f>
        <v>0</v>
      </c>
    </row>
    <row r="75" spans="1:3" ht="25.5" x14ac:dyDescent="0.2">
      <c r="A75" s="60" t="s">
        <v>107</v>
      </c>
      <c r="B75" s="67" t="s">
        <v>108</v>
      </c>
      <c r="C75" s="68">
        <f>[2]С2.3!E12</f>
        <v>0.56000000000000005</v>
      </c>
    </row>
    <row r="76" spans="1:3" ht="25.5" x14ac:dyDescent="0.2">
      <c r="A76" s="60" t="s">
        <v>109</v>
      </c>
      <c r="B76" s="67" t="s">
        <v>98</v>
      </c>
      <c r="C76" s="63">
        <f>[2]С2.3!E13</f>
        <v>300</v>
      </c>
    </row>
    <row r="77" spans="1:3" ht="25.5" x14ac:dyDescent="0.2">
      <c r="A77" s="60" t="s">
        <v>110</v>
      </c>
      <c r="B77" s="70" t="s">
        <v>111</v>
      </c>
      <c r="C77" s="69">
        <f>IF([2]С2.3!E26&gt;0,[2]С2.3!E26,[2]С2.3!E16)</f>
        <v>65637</v>
      </c>
    </row>
    <row r="78" spans="1:3" ht="38.25" x14ac:dyDescent="0.2">
      <c r="A78" s="60" t="s">
        <v>112</v>
      </c>
      <c r="B78" s="70" t="s">
        <v>113</v>
      </c>
      <c r="C78" s="69">
        <f>IF([2]С2.3!E27&gt;0,[2]С2.3!E27,[2]С2.3!E17)</f>
        <v>31684</v>
      </c>
    </row>
    <row r="79" spans="1:3" ht="17.25" x14ac:dyDescent="0.2">
      <c r="A79" s="60" t="s">
        <v>114</v>
      </c>
      <c r="B79" s="34" t="s">
        <v>115</v>
      </c>
      <c r="C79" s="36">
        <f>[2]С2!F29</f>
        <v>0.128978033685065</v>
      </c>
    </row>
    <row r="80" spans="1:3" ht="30" x14ac:dyDescent="0.2">
      <c r="A80" s="60" t="s">
        <v>116</v>
      </c>
      <c r="B80" s="54" t="s">
        <v>117</v>
      </c>
      <c r="C80" s="71">
        <f>[2]С2!F30</f>
        <v>0.11668498168498169</v>
      </c>
    </row>
    <row r="81" spans="1:3" ht="17.25" x14ac:dyDescent="0.2">
      <c r="A81" s="60" t="s">
        <v>118</v>
      </c>
      <c r="B81" s="72" t="s">
        <v>119</v>
      </c>
      <c r="C81" s="36">
        <f>[2]С2!F31</f>
        <v>0.13880000000000001</v>
      </c>
    </row>
    <row r="82" spans="1:3" s="64" customFormat="1" ht="18" thickBot="1" x14ac:dyDescent="0.25">
      <c r="A82" s="73" t="s">
        <v>120</v>
      </c>
      <c r="B82" s="74" t="s">
        <v>121</v>
      </c>
      <c r="C82" s="75">
        <f>[2]С2!F32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[2]С3!F14</f>
        <v>6998.3755440420418</v>
      </c>
    </row>
    <row r="86" spans="1:3" s="64" customFormat="1" ht="42.75" x14ac:dyDescent="0.2">
      <c r="A86" s="78" t="s">
        <v>126</v>
      </c>
      <c r="B86" s="54" t="s">
        <v>127</v>
      </c>
      <c r="C86" s="79">
        <f>[2]С3!F15</f>
        <v>0.2</v>
      </c>
    </row>
    <row r="87" spans="1:3" s="64" customFormat="1" ht="14.25" x14ac:dyDescent="0.2">
      <c r="A87" s="78" t="s">
        <v>128</v>
      </c>
      <c r="B87" s="80" t="s">
        <v>129</v>
      </c>
      <c r="C87" s="63">
        <f>[2]С3!F18</f>
        <v>15</v>
      </c>
    </row>
    <row r="88" spans="1:3" s="64" customFormat="1" ht="17.25" x14ac:dyDescent="0.2">
      <c r="A88" s="78" t="s">
        <v>130</v>
      </c>
      <c r="B88" s="34" t="s">
        <v>131</v>
      </c>
      <c r="C88" s="35">
        <f>[2]С3!F19</f>
        <v>3487.1555421534131</v>
      </c>
    </row>
    <row r="89" spans="1:3" s="64" customFormat="1" ht="55.5" x14ac:dyDescent="0.2">
      <c r="A89" s="78" t="s">
        <v>132</v>
      </c>
      <c r="B89" s="54" t="s">
        <v>133</v>
      </c>
      <c r="C89" s="81">
        <f>[2]С3!F20</f>
        <v>2.1999999999999999E-2</v>
      </c>
    </row>
    <row r="90" spans="1:3" s="64" customFormat="1" ht="14.25" x14ac:dyDescent="0.2">
      <c r="A90" s="78" t="s">
        <v>134</v>
      </c>
      <c r="B90" s="59" t="s">
        <v>80</v>
      </c>
      <c r="C90" s="63">
        <f>[2]С3!F21</f>
        <v>10</v>
      </c>
    </row>
    <row r="91" spans="1:3" s="64" customFormat="1" ht="17.25" x14ac:dyDescent="0.2">
      <c r="A91" s="78" t="s">
        <v>135</v>
      </c>
      <c r="B91" s="34" t="s">
        <v>136</v>
      </c>
      <c r="C91" s="35">
        <f>[2]С3!F22</f>
        <v>3.370944844282</v>
      </c>
    </row>
    <row r="92" spans="1:3" s="64" customFormat="1" ht="55.5" x14ac:dyDescent="0.2">
      <c r="A92" s="78" t="s">
        <v>137</v>
      </c>
      <c r="B92" s="54" t="s">
        <v>138</v>
      </c>
      <c r="C92" s="81">
        <f>[2]С3!F23</f>
        <v>3.0000000000000001E-3</v>
      </c>
    </row>
    <row r="93" spans="1:3" s="64" customFormat="1" ht="27.75" thickBot="1" x14ac:dyDescent="0.25">
      <c r="A93" s="82" t="s">
        <v>139</v>
      </c>
      <c r="B93" s="83" t="s">
        <v>140</v>
      </c>
      <c r="C93" s="84">
        <f>[2]С3!F24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[2]С4!F16</f>
        <v>1652.5</v>
      </c>
    </row>
    <row r="97" spans="1:3" ht="30" x14ac:dyDescent="0.2">
      <c r="A97" s="60" t="s">
        <v>145</v>
      </c>
      <c r="B97" s="59" t="s">
        <v>146</v>
      </c>
      <c r="C97" s="35">
        <f>[2]С4!F17</f>
        <v>73547</v>
      </c>
    </row>
    <row r="98" spans="1:3" ht="17.25" x14ac:dyDescent="0.2">
      <c r="A98" s="60" t="s">
        <v>147</v>
      </c>
      <c r="B98" s="59" t="s">
        <v>148</v>
      </c>
      <c r="C98" s="41">
        <f>[2]С4!F18</f>
        <v>0.02</v>
      </c>
    </row>
    <row r="99" spans="1:3" ht="30" x14ac:dyDescent="0.2">
      <c r="A99" s="60" t="s">
        <v>149</v>
      </c>
      <c r="B99" s="59" t="s">
        <v>150</v>
      </c>
      <c r="C99" s="35">
        <f>[2]С4!F19</f>
        <v>12104</v>
      </c>
    </row>
    <row r="100" spans="1:3" ht="31.5" x14ac:dyDescent="0.2">
      <c r="A100" s="60" t="s">
        <v>151</v>
      </c>
      <c r="B100" s="59" t="s">
        <v>152</v>
      </c>
      <c r="C100" s="41">
        <f>[2]С4!F20</f>
        <v>1.4999999999999999E-2</v>
      </c>
    </row>
    <row r="101" spans="1:3" ht="30" x14ac:dyDescent="0.2">
      <c r="A101" s="60" t="s">
        <v>153</v>
      </c>
      <c r="B101" s="34" t="s">
        <v>154</v>
      </c>
      <c r="C101" s="35">
        <f>[2]С4!F21</f>
        <v>1933.1949342509995</v>
      </c>
    </row>
    <row r="102" spans="1:3" ht="24" customHeight="1" x14ac:dyDescent="0.2">
      <c r="A102" s="60" t="s">
        <v>155</v>
      </c>
      <c r="B102" s="54" t="s">
        <v>156</v>
      </c>
      <c r="C102" s="86">
        <f>IF([2]С4.2!F8="да",[2]С4.2!D21,[2]С4.2!D15)</f>
        <v>0</v>
      </c>
    </row>
    <row r="103" spans="1:3" ht="68.25" x14ac:dyDescent="0.2">
      <c r="A103" s="60" t="s">
        <v>157</v>
      </c>
      <c r="B103" s="54" t="s">
        <v>158</v>
      </c>
      <c r="C103" s="35">
        <f>[2]С4!F22</f>
        <v>3.6112641666666665</v>
      </c>
    </row>
    <row r="104" spans="1:3" ht="30" x14ac:dyDescent="0.2">
      <c r="A104" s="60" t="s">
        <v>159</v>
      </c>
      <c r="B104" s="59" t="s">
        <v>160</v>
      </c>
      <c r="C104" s="35">
        <f>[2]С4!F23</f>
        <v>180</v>
      </c>
    </row>
    <row r="105" spans="1:3" ht="14.25" x14ac:dyDescent="0.2">
      <c r="A105" s="60" t="s">
        <v>161</v>
      </c>
      <c r="B105" s="54" t="s">
        <v>162</v>
      </c>
      <c r="C105" s="35">
        <f>[2]С4!F24</f>
        <v>8497.1999999999989</v>
      </c>
    </row>
    <row r="106" spans="1:3" ht="14.25" x14ac:dyDescent="0.2">
      <c r="A106" s="60" t="s">
        <v>163</v>
      </c>
      <c r="B106" s="59" t="s">
        <v>164</v>
      </c>
      <c r="C106" s="41">
        <f>[2]С4!F25</f>
        <v>0.35</v>
      </c>
    </row>
    <row r="107" spans="1:3" ht="17.25" x14ac:dyDescent="0.2">
      <c r="A107" s="60" t="s">
        <v>165</v>
      </c>
      <c r="B107" s="34" t="s">
        <v>166</v>
      </c>
      <c r="C107" s="35">
        <f>[2]С4!F26</f>
        <v>55.389420000000008</v>
      </c>
    </row>
    <row r="108" spans="1:3" ht="25.5" x14ac:dyDescent="0.2">
      <c r="A108" s="60" t="s">
        <v>167</v>
      </c>
      <c r="B108" s="54" t="s">
        <v>94</v>
      </c>
      <c r="C108" s="86">
        <f>[2]С4.3!E16</f>
        <v>0</v>
      </c>
    </row>
    <row r="109" spans="1:3" ht="25.5" x14ac:dyDescent="0.2">
      <c r="A109" s="60" t="s">
        <v>168</v>
      </c>
      <c r="B109" s="54" t="s">
        <v>169</v>
      </c>
      <c r="C109" s="35">
        <f>[2]С4.3!E17</f>
        <v>14.42</v>
      </c>
    </row>
    <row r="110" spans="1:3" ht="38.25" x14ac:dyDescent="0.2">
      <c r="A110" s="60" t="s">
        <v>170</v>
      </c>
      <c r="B110" s="54" t="s">
        <v>106</v>
      </c>
      <c r="C110" s="86">
        <f>[2]С4.3!E18</f>
        <v>0</v>
      </c>
    </row>
    <row r="111" spans="1:3" x14ac:dyDescent="0.2">
      <c r="A111" s="60" t="s">
        <v>171</v>
      </c>
      <c r="B111" s="54" t="s">
        <v>172</v>
      </c>
      <c r="C111" s="35">
        <f>[2]С4.3!E19</f>
        <v>23.62</v>
      </c>
    </row>
    <row r="112" spans="1:3" x14ac:dyDescent="0.2">
      <c r="A112" s="60" t="s">
        <v>173</v>
      </c>
      <c r="B112" s="59" t="s">
        <v>174</v>
      </c>
      <c r="C112" s="35">
        <f>[2]С4.3!E11</f>
        <v>1871</v>
      </c>
    </row>
    <row r="113" spans="1:3" x14ac:dyDescent="0.2">
      <c r="A113" s="60" t="s">
        <v>175</v>
      </c>
      <c r="B113" s="59" t="s">
        <v>176</v>
      </c>
      <c r="C113" s="53">
        <f>[2]С4.3!E12</f>
        <v>1636</v>
      </c>
    </row>
    <row r="114" spans="1:3" x14ac:dyDescent="0.2">
      <c r="A114" s="60" t="s">
        <v>177</v>
      </c>
      <c r="B114" s="59" t="s">
        <v>178</v>
      </c>
      <c r="C114" s="53">
        <f>[2]С4.3!E13</f>
        <v>204</v>
      </c>
    </row>
    <row r="115" spans="1:3" ht="30" x14ac:dyDescent="0.2">
      <c r="A115" s="60" t="s">
        <v>179</v>
      </c>
      <c r="B115" s="34" t="s">
        <v>180</v>
      </c>
      <c r="C115" s="35">
        <f>[2]С4!F27</f>
        <v>776.44759830395003</v>
      </c>
    </row>
    <row r="116" spans="1:3" ht="25.5" x14ac:dyDescent="0.2">
      <c r="A116" s="60" t="s">
        <v>181</v>
      </c>
      <c r="B116" s="54" t="s">
        <v>182</v>
      </c>
      <c r="C116" s="35">
        <f>[2]С4!F28</f>
        <v>596.34992189243474</v>
      </c>
    </row>
    <row r="117" spans="1:3" ht="42.75" x14ac:dyDescent="0.2">
      <c r="A117" s="60" t="s">
        <v>183</v>
      </c>
      <c r="B117" s="54" t="s">
        <v>184</v>
      </c>
      <c r="C117" s="35">
        <f>[2]С4!F29</f>
        <v>180.09767641151529</v>
      </c>
    </row>
    <row r="118" spans="1:3" ht="30" x14ac:dyDescent="0.2">
      <c r="A118" s="60" t="s">
        <v>185</v>
      </c>
      <c r="B118" s="40" t="s">
        <v>186</v>
      </c>
      <c r="C118" s="35">
        <f>[2]С4!F30</f>
        <v>2009.8643690659806</v>
      </c>
    </row>
    <row r="119" spans="1:3" ht="42.75" x14ac:dyDescent="0.2">
      <c r="A119" s="60" t="s">
        <v>187</v>
      </c>
      <c r="B119" s="87" t="s">
        <v>188</v>
      </c>
      <c r="C119" s="35">
        <f>[2]С4!F33</f>
        <v>1313.7174545841121</v>
      </c>
    </row>
    <row r="120" spans="1:3" ht="30" x14ac:dyDescent="0.2">
      <c r="A120" s="60" t="s">
        <v>189</v>
      </c>
      <c r="B120" s="88" t="s">
        <v>190</v>
      </c>
      <c r="C120" s="35">
        <f>[2]С4!F35</f>
        <v>17.040680999999999</v>
      </c>
    </row>
    <row r="121" spans="1:3" ht="14.25" x14ac:dyDescent="0.2">
      <c r="A121" s="60" t="s">
        <v>191</v>
      </c>
      <c r="B121" s="57" t="s">
        <v>192</v>
      </c>
      <c r="C121" s="35">
        <f>[2]С4!F36</f>
        <v>14319.9</v>
      </c>
    </row>
    <row r="122" spans="1:3" ht="28.5" thickBot="1" x14ac:dyDescent="0.25">
      <c r="A122" s="73" t="s">
        <v>193</v>
      </c>
      <c r="B122" s="89" t="s">
        <v>194</v>
      </c>
      <c r="C122" s="84">
        <f>[2]С4!F37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[2]С5!F17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[2]С2!F37</f>
        <v>20.818139999999996</v>
      </c>
    </row>
    <row r="136" spans="1:4" ht="14.25" x14ac:dyDescent="0.2">
      <c r="A136" s="60" t="s">
        <v>216</v>
      </c>
      <c r="B136" s="102" t="s">
        <v>217</v>
      </c>
      <c r="C136" s="35">
        <f>[2]С2!F38</f>
        <v>7</v>
      </c>
    </row>
    <row r="137" spans="1:4" ht="17.25" x14ac:dyDescent="0.2">
      <c r="A137" s="60" t="s">
        <v>218</v>
      </c>
      <c r="B137" s="102" t="s">
        <v>219</v>
      </c>
      <c r="C137" s="35">
        <f>[2]С2!F40</f>
        <v>0.97</v>
      </c>
    </row>
    <row r="138" spans="1:4" ht="15" thickBot="1" x14ac:dyDescent="0.25">
      <c r="A138" s="73" t="s">
        <v>220</v>
      </c>
      <c r="B138" s="103" t="s">
        <v>221</v>
      </c>
      <c r="C138" s="47">
        <f>[2]С2!F42</f>
        <v>0.35</v>
      </c>
    </row>
    <row r="139" spans="1:4" s="90" customFormat="1" ht="13.5" thickBot="1" x14ac:dyDescent="0.25">
      <c r="A139" s="48"/>
      <c r="B139" s="76"/>
      <c r="C139" s="15"/>
    </row>
    <row r="140" spans="1:4" ht="30" x14ac:dyDescent="0.2">
      <c r="A140" s="85" t="s">
        <v>222</v>
      </c>
      <c r="B140" s="104" t="s">
        <v>223</v>
      </c>
      <c r="C140" s="105">
        <f>[2]С2!F35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[2]С2.5!$E$11</f>
        <v>-2.9000000000000026E-2</v>
      </c>
      <c r="D143" s="90"/>
    </row>
    <row r="144" spans="1:4" x14ac:dyDescent="0.2">
      <c r="A144" s="107"/>
      <c r="B144" s="112">
        <f>B143+1</f>
        <v>2021</v>
      </c>
      <c r="C144" s="113">
        <f>[2]С2.5!$F$11</f>
        <v>0.245</v>
      </c>
      <c r="D144" s="90"/>
    </row>
    <row r="145" spans="1:4" x14ac:dyDescent="0.2">
      <c r="A145" s="107"/>
      <c r="B145" s="112">
        <f t="shared" ref="B145:B208" si="0">B144+1</f>
        <v>2022</v>
      </c>
      <c r="C145" s="113">
        <f>[2]С2.5!$G$11</f>
        <v>0.121</v>
      </c>
      <c r="D145" s="90"/>
    </row>
    <row r="146" spans="1:4" ht="13.5" thickBot="1" x14ac:dyDescent="0.25">
      <c r="A146" s="107"/>
      <c r="B146" s="114">
        <f t="shared" si="0"/>
        <v>2023</v>
      </c>
      <c r="C146" s="115">
        <f>[2]С2.5!$H$11</f>
        <v>0.02</v>
      </c>
      <c r="D146" s="90"/>
    </row>
    <row r="147" spans="1:4" hidden="1" x14ac:dyDescent="0.2">
      <c r="A147" s="107"/>
      <c r="B147" s="116">
        <f t="shared" si="0"/>
        <v>2024</v>
      </c>
      <c r="C147" s="117">
        <f>[2]С2.5!$I$11</f>
        <v>-2.93E-2</v>
      </c>
      <c r="D147" s="90"/>
    </row>
    <row r="148" spans="1:4" hidden="1" x14ac:dyDescent="0.2">
      <c r="A148" s="107"/>
      <c r="B148" s="112">
        <f t="shared" si="0"/>
        <v>2025</v>
      </c>
      <c r="C148" s="113">
        <f>[2]С2.5!$J$11</f>
        <v>0.21215960863291</v>
      </c>
      <c r="D148" s="90"/>
    </row>
    <row r="149" spans="1:4" hidden="1" x14ac:dyDescent="0.2">
      <c r="A149" s="107"/>
      <c r="B149" s="112">
        <f t="shared" si="0"/>
        <v>2026</v>
      </c>
      <c r="C149" s="113">
        <f>[2]С2.5!$K$11</f>
        <v>3.5813361771260002E-2</v>
      </c>
      <c r="D149" s="90"/>
    </row>
    <row r="150" spans="1:4" hidden="1" x14ac:dyDescent="0.2">
      <c r="A150" s="107"/>
      <c r="B150" s="112">
        <f t="shared" si="0"/>
        <v>2027</v>
      </c>
      <c r="C150" s="113">
        <f>[2]С2.5!$L$11</f>
        <v>3.2682303599220003E-2</v>
      </c>
      <c r="D150" s="90"/>
    </row>
    <row r="151" spans="1:4" hidden="1" x14ac:dyDescent="0.2">
      <c r="A151" s="107"/>
      <c r="B151" s="112">
        <f t="shared" si="0"/>
        <v>2028</v>
      </c>
      <c r="C151" s="113">
        <f>[2]С2.5!$M$11</f>
        <v>0</v>
      </c>
      <c r="D151" s="90"/>
    </row>
    <row r="152" spans="1:4" hidden="1" x14ac:dyDescent="0.2">
      <c r="A152" s="107"/>
      <c r="B152" s="112">
        <f t="shared" si="0"/>
        <v>2029</v>
      </c>
      <c r="C152" s="113">
        <f>[2]С2.5!$N$11</f>
        <v>0</v>
      </c>
      <c r="D152" s="90"/>
    </row>
    <row r="153" spans="1:4" hidden="1" x14ac:dyDescent="0.2">
      <c r="A153" s="107"/>
      <c r="B153" s="112">
        <f t="shared" si="0"/>
        <v>2030</v>
      </c>
      <c r="C153" s="113">
        <f>[2]С2.5!$O$11</f>
        <v>0</v>
      </c>
      <c r="D153" s="90"/>
    </row>
    <row r="154" spans="1:4" hidden="1" x14ac:dyDescent="0.2">
      <c r="A154" s="107"/>
      <c r="B154" s="112">
        <f t="shared" si="0"/>
        <v>2031</v>
      </c>
      <c r="C154" s="113">
        <f>[2]С2.5!$P$11</f>
        <v>0</v>
      </c>
      <c r="D154" s="90"/>
    </row>
    <row r="155" spans="1:4" hidden="1" x14ac:dyDescent="0.2">
      <c r="A155" s="90"/>
      <c r="B155" s="112">
        <f t="shared" si="0"/>
        <v>2032</v>
      </c>
      <c r="C155" s="113">
        <f>[2]С2.5!$Q$11</f>
        <v>0</v>
      </c>
      <c r="D155" s="90"/>
    </row>
    <row r="156" spans="1:4" hidden="1" x14ac:dyDescent="0.2">
      <c r="A156" s="90"/>
      <c r="B156" s="112">
        <f t="shared" si="0"/>
        <v>2033</v>
      </c>
      <c r="C156" s="113">
        <f>[2]С2.5!$R$11</f>
        <v>0</v>
      </c>
      <c r="D156" s="90"/>
    </row>
    <row r="157" spans="1:4" hidden="1" x14ac:dyDescent="0.2">
      <c r="B157" s="112">
        <f t="shared" si="0"/>
        <v>2034</v>
      </c>
      <c r="C157" s="113">
        <f>[2]С2.5!$S$11</f>
        <v>0</v>
      </c>
    </row>
    <row r="158" spans="1:4" hidden="1" x14ac:dyDescent="0.2">
      <c r="B158" s="112">
        <f t="shared" si="0"/>
        <v>2035</v>
      </c>
      <c r="C158" s="113">
        <f>[2]С2.5!$T$11</f>
        <v>0</v>
      </c>
    </row>
    <row r="159" spans="1:4" hidden="1" x14ac:dyDescent="0.2">
      <c r="B159" s="112">
        <f t="shared" si="0"/>
        <v>2036</v>
      </c>
      <c r="C159" s="113">
        <f>[2]С2.5!$U$11</f>
        <v>0</v>
      </c>
    </row>
    <row r="160" spans="1:4" hidden="1" x14ac:dyDescent="0.2">
      <c r="B160" s="112">
        <f t="shared" si="0"/>
        <v>2037</v>
      </c>
      <c r="C160" s="113">
        <f>[2]С2.5!$V$11</f>
        <v>0</v>
      </c>
    </row>
    <row r="161" spans="2:3" hidden="1" x14ac:dyDescent="0.2">
      <c r="B161" s="112">
        <f t="shared" si="0"/>
        <v>2038</v>
      </c>
      <c r="C161" s="113">
        <f>[2]С2.5!$W$11</f>
        <v>0</v>
      </c>
    </row>
    <row r="162" spans="2:3" hidden="1" x14ac:dyDescent="0.2">
      <c r="B162" s="112">
        <f t="shared" si="0"/>
        <v>2039</v>
      </c>
      <c r="C162" s="113">
        <f>[2]С2.5!$X$11</f>
        <v>0</v>
      </c>
    </row>
    <row r="163" spans="2:3" hidden="1" x14ac:dyDescent="0.2">
      <c r="B163" s="112">
        <f t="shared" si="0"/>
        <v>2040</v>
      </c>
      <c r="C163" s="113">
        <f>[2]С2.5!$Y$11</f>
        <v>0</v>
      </c>
    </row>
    <row r="164" spans="2:3" hidden="1" x14ac:dyDescent="0.2">
      <c r="B164" s="112">
        <f t="shared" si="0"/>
        <v>2041</v>
      </c>
      <c r="C164" s="113">
        <f>[2]С2.5!$Z$11</f>
        <v>0</v>
      </c>
    </row>
    <row r="165" spans="2:3" hidden="1" x14ac:dyDescent="0.2">
      <c r="B165" s="112">
        <f t="shared" si="0"/>
        <v>2042</v>
      </c>
      <c r="C165" s="113">
        <f>[2]С2.5!$AA$11</f>
        <v>0</v>
      </c>
    </row>
    <row r="166" spans="2:3" hidden="1" x14ac:dyDescent="0.2">
      <c r="B166" s="112">
        <f t="shared" si="0"/>
        <v>2043</v>
      </c>
      <c r="C166" s="113">
        <f>[2]С2.5!$AB$11</f>
        <v>0</v>
      </c>
    </row>
    <row r="167" spans="2:3" hidden="1" x14ac:dyDescent="0.2">
      <c r="B167" s="112">
        <f t="shared" si="0"/>
        <v>2044</v>
      </c>
      <c r="C167" s="113">
        <f>[2]С2.5!$AC$11</f>
        <v>0</v>
      </c>
    </row>
    <row r="168" spans="2:3" hidden="1" x14ac:dyDescent="0.2">
      <c r="B168" s="112">
        <f t="shared" si="0"/>
        <v>2045</v>
      </c>
      <c r="C168" s="113">
        <f>[2]С2.5!$AD$11</f>
        <v>0</v>
      </c>
    </row>
    <row r="169" spans="2:3" hidden="1" x14ac:dyDescent="0.2">
      <c r="B169" s="112">
        <f t="shared" si="0"/>
        <v>2046</v>
      </c>
      <c r="C169" s="113">
        <f>[2]С2.5!$AE$11</f>
        <v>0</v>
      </c>
    </row>
    <row r="170" spans="2:3" hidden="1" x14ac:dyDescent="0.2">
      <c r="B170" s="112">
        <f t="shared" si="0"/>
        <v>2047</v>
      </c>
      <c r="C170" s="113">
        <f>[2]С2.5!$AF$11</f>
        <v>0</v>
      </c>
    </row>
    <row r="171" spans="2:3" hidden="1" x14ac:dyDescent="0.2">
      <c r="B171" s="112">
        <f t="shared" si="0"/>
        <v>2048</v>
      </c>
      <c r="C171" s="113">
        <f>[2]С2.5!$AG$11</f>
        <v>0</v>
      </c>
    </row>
    <row r="172" spans="2:3" hidden="1" x14ac:dyDescent="0.2">
      <c r="B172" s="112">
        <f t="shared" si="0"/>
        <v>2049</v>
      </c>
      <c r="C172" s="113">
        <f>[2]С2.5!$AH$11</f>
        <v>0</v>
      </c>
    </row>
    <row r="173" spans="2:3" hidden="1" x14ac:dyDescent="0.2">
      <c r="B173" s="112">
        <f t="shared" si="0"/>
        <v>2050</v>
      </c>
      <c r="C173" s="113">
        <f>[2]С2.5!$AI$11</f>
        <v>0</v>
      </c>
    </row>
    <row r="174" spans="2:3" hidden="1" x14ac:dyDescent="0.2">
      <c r="B174" s="112">
        <f t="shared" si="0"/>
        <v>2051</v>
      </c>
      <c r="C174" s="113">
        <f>[2]С2.5!$AJ$11</f>
        <v>0</v>
      </c>
    </row>
    <row r="175" spans="2:3" hidden="1" x14ac:dyDescent="0.2">
      <c r="B175" s="112">
        <f t="shared" si="0"/>
        <v>2052</v>
      </c>
      <c r="C175" s="113">
        <f>[2]С2.5!$AK$11</f>
        <v>0</v>
      </c>
    </row>
    <row r="176" spans="2:3" hidden="1" x14ac:dyDescent="0.2">
      <c r="B176" s="112">
        <f t="shared" si="0"/>
        <v>2053</v>
      </c>
      <c r="C176" s="113">
        <f>[2]С2.5!$AL$11</f>
        <v>0</v>
      </c>
    </row>
    <row r="177" spans="2:3" hidden="1" x14ac:dyDescent="0.2">
      <c r="B177" s="112">
        <f t="shared" si="0"/>
        <v>2054</v>
      </c>
      <c r="C177" s="113">
        <f>[2]С2.5!$AM$11</f>
        <v>0</v>
      </c>
    </row>
    <row r="178" spans="2:3" hidden="1" x14ac:dyDescent="0.2">
      <c r="B178" s="112">
        <f t="shared" si="0"/>
        <v>2055</v>
      </c>
      <c r="C178" s="113">
        <f>[2]С2.5!$AN$11</f>
        <v>0</v>
      </c>
    </row>
    <row r="179" spans="2:3" hidden="1" x14ac:dyDescent="0.2">
      <c r="B179" s="112">
        <f t="shared" si="0"/>
        <v>2056</v>
      </c>
      <c r="C179" s="113">
        <f>[2]С2.5!$AO$11</f>
        <v>0</v>
      </c>
    </row>
    <row r="180" spans="2:3" hidden="1" x14ac:dyDescent="0.2">
      <c r="B180" s="112">
        <f t="shared" si="0"/>
        <v>2057</v>
      </c>
      <c r="C180" s="113">
        <f>[2]С2.5!$AP$11</f>
        <v>0</v>
      </c>
    </row>
    <row r="181" spans="2:3" hidden="1" x14ac:dyDescent="0.2">
      <c r="B181" s="112">
        <f t="shared" si="0"/>
        <v>2058</v>
      </c>
      <c r="C181" s="113">
        <f>[2]С2.5!$AQ$11</f>
        <v>0</v>
      </c>
    </row>
    <row r="182" spans="2:3" hidden="1" x14ac:dyDescent="0.2">
      <c r="B182" s="112">
        <f t="shared" si="0"/>
        <v>2059</v>
      </c>
      <c r="C182" s="113">
        <f>[2]С2.5!$AR$11</f>
        <v>0</v>
      </c>
    </row>
    <row r="183" spans="2:3" hidden="1" x14ac:dyDescent="0.2">
      <c r="B183" s="112">
        <f t="shared" si="0"/>
        <v>2060</v>
      </c>
      <c r="C183" s="113">
        <f>[2]С2.5!$AS$11</f>
        <v>0</v>
      </c>
    </row>
    <row r="184" spans="2:3" hidden="1" x14ac:dyDescent="0.2">
      <c r="B184" s="112">
        <f t="shared" si="0"/>
        <v>2061</v>
      </c>
      <c r="C184" s="113">
        <f>[2]С2.5!$AT$11</f>
        <v>0</v>
      </c>
    </row>
    <row r="185" spans="2:3" hidden="1" x14ac:dyDescent="0.2">
      <c r="B185" s="112">
        <f t="shared" si="0"/>
        <v>2062</v>
      </c>
      <c r="C185" s="113">
        <f>[2]С2.5!$AU$11</f>
        <v>0</v>
      </c>
    </row>
    <row r="186" spans="2:3" hidden="1" x14ac:dyDescent="0.2">
      <c r="B186" s="112">
        <f t="shared" si="0"/>
        <v>2063</v>
      </c>
      <c r="C186" s="113">
        <f>[2]С2.5!$AV$11</f>
        <v>0</v>
      </c>
    </row>
    <row r="187" spans="2:3" hidden="1" x14ac:dyDescent="0.2">
      <c r="B187" s="112">
        <f t="shared" si="0"/>
        <v>2064</v>
      </c>
      <c r="C187" s="113">
        <f>[2]С2.5!$AW$11</f>
        <v>0</v>
      </c>
    </row>
    <row r="188" spans="2:3" hidden="1" x14ac:dyDescent="0.2">
      <c r="B188" s="112">
        <f t="shared" si="0"/>
        <v>2065</v>
      </c>
      <c r="C188" s="113">
        <f>[2]С2.5!$AX$11</f>
        <v>0</v>
      </c>
    </row>
    <row r="189" spans="2:3" hidden="1" x14ac:dyDescent="0.2">
      <c r="B189" s="112">
        <f t="shared" si="0"/>
        <v>2066</v>
      </c>
      <c r="C189" s="113">
        <f>[2]С2.5!$AY$11</f>
        <v>0</v>
      </c>
    </row>
    <row r="190" spans="2:3" hidden="1" x14ac:dyDescent="0.2">
      <c r="B190" s="112">
        <f t="shared" si="0"/>
        <v>2067</v>
      </c>
      <c r="C190" s="113">
        <f>[2]С2.5!$AZ$11</f>
        <v>0</v>
      </c>
    </row>
    <row r="191" spans="2:3" hidden="1" x14ac:dyDescent="0.2">
      <c r="B191" s="112">
        <f t="shared" si="0"/>
        <v>2068</v>
      </c>
      <c r="C191" s="113">
        <f>[2]С2.5!$BA$11</f>
        <v>0</v>
      </c>
    </row>
    <row r="192" spans="2:3" hidden="1" x14ac:dyDescent="0.2">
      <c r="B192" s="112">
        <f t="shared" si="0"/>
        <v>2069</v>
      </c>
      <c r="C192" s="113">
        <f>[2]С2.5!$BB$11</f>
        <v>0</v>
      </c>
    </row>
    <row r="193" spans="2:3" hidden="1" x14ac:dyDescent="0.2">
      <c r="B193" s="112">
        <f t="shared" si="0"/>
        <v>2070</v>
      </c>
      <c r="C193" s="113">
        <f>[2]С2.5!$BC$11</f>
        <v>0</v>
      </c>
    </row>
    <row r="194" spans="2:3" hidden="1" x14ac:dyDescent="0.2">
      <c r="B194" s="112">
        <f t="shared" si="0"/>
        <v>2071</v>
      </c>
      <c r="C194" s="113">
        <f>[2]С2.5!$BD$11</f>
        <v>0</v>
      </c>
    </row>
    <row r="195" spans="2:3" hidden="1" x14ac:dyDescent="0.2">
      <c r="B195" s="112">
        <f t="shared" si="0"/>
        <v>2072</v>
      </c>
      <c r="C195" s="113">
        <f>[2]С2.5!$BE$11</f>
        <v>0</v>
      </c>
    </row>
    <row r="196" spans="2:3" hidden="1" x14ac:dyDescent="0.2">
      <c r="B196" s="112">
        <f t="shared" si="0"/>
        <v>2073</v>
      </c>
      <c r="C196" s="113">
        <f>[2]С2.5!$BF$11</f>
        <v>0</v>
      </c>
    </row>
    <row r="197" spans="2:3" hidden="1" x14ac:dyDescent="0.2">
      <c r="B197" s="112">
        <f t="shared" si="0"/>
        <v>2074</v>
      </c>
      <c r="C197" s="113">
        <f>[2]С2.5!$BG$11</f>
        <v>0</v>
      </c>
    </row>
    <row r="198" spans="2:3" hidden="1" x14ac:dyDescent="0.2">
      <c r="B198" s="112">
        <f t="shared" si="0"/>
        <v>2075</v>
      </c>
      <c r="C198" s="113">
        <f>[2]С2.5!$BH$11</f>
        <v>0</v>
      </c>
    </row>
    <row r="199" spans="2:3" hidden="1" x14ac:dyDescent="0.2">
      <c r="B199" s="112">
        <f t="shared" si="0"/>
        <v>2076</v>
      </c>
      <c r="C199" s="113">
        <f>[2]С2.5!$BI$11</f>
        <v>0</v>
      </c>
    </row>
    <row r="200" spans="2:3" hidden="1" x14ac:dyDescent="0.2">
      <c r="B200" s="112">
        <f t="shared" si="0"/>
        <v>2077</v>
      </c>
      <c r="C200" s="113">
        <f>[2]С2.5!$BJ$11</f>
        <v>0</v>
      </c>
    </row>
    <row r="201" spans="2:3" hidden="1" x14ac:dyDescent="0.2">
      <c r="B201" s="112">
        <f t="shared" si="0"/>
        <v>2078</v>
      </c>
      <c r="C201" s="113">
        <f>[2]С2.5!$BK$11</f>
        <v>0</v>
      </c>
    </row>
    <row r="202" spans="2:3" hidden="1" x14ac:dyDescent="0.2">
      <c r="B202" s="112">
        <f t="shared" si="0"/>
        <v>2079</v>
      </c>
      <c r="C202" s="113">
        <f>[2]С2.5!$BL$11</f>
        <v>0</v>
      </c>
    </row>
    <row r="203" spans="2:3" hidden="1" x14ac:dyDescent="0.2">
      <c r="B203" s="112">
        <f t="shared" si="0"/>
        <v>2080</v>
      </c>
      <c r="C203" s="113">
        <f>[2]С2.5!$BM$11</f>
        <v>0</v>
      </c>
    </row>
    <row r="204" spans="2:3" hidden="1" x14ac:dyDescent="0.2">
      <c r="B204" s="112">
        <f t="shared" si="0"/>
        <v>2081</v>
      </c>
      <c r="C204" s="113">
        <f>[2]С2.5!$BN$11</f>
        <v>0</v>
      </c>
    </row>
    <row r="205" spans="2:3" hidden="1" x14ac:dyDescent="0.2">
      <c r="B205" s="112">
        <f t="shared" si="0"/>
        <v>2082</v>
      </c>
      <c r="C205" s="113">
        <f>[2]С2.5!$BO$11</f>
        <v>0</v>
      </c>
    </row>
    <row r="206" spans="2:3" hidden="1" x14ac:dyDescent="0.2">
      <c r="B206" s="112">
        <f t="shared" si="0"/>
        <v>2083</v>
      </c>
      <c r="C206" s="113">
        <f>[2]С2.5!$BP$11</f>
        <v>0</v>
      </c>
    </row>
    <row r="207" spans="2:3" hidden="1" x14ac:dyDescent="0.2">
      <c r="B207" s="112">
        <f t="shared" si="0"/>
        <v>2084</v>
      </c>
      <c r="C207" s="113">
        <f>[2]С2.5!$BQ$11</f>
        <v>0</v>
      </c>
    </row>
    <row r="208" spans="2:3" hidden="1" x14ac:dyDescent="0.2">
      <c r="B208" s="112">
        <f t="shared" si="0"/>
        <v>2085</v>
      </c>
      <c r="C208" s="113">
        <f>[2]С2.5!$BR$11</f>
        <v>0</v>
      </c>
    </row>
    <row r="209" spans="2:3" hidden="1" x14ac:dyDescent="0.2">
      <c r="B209" s="112">
        <f t="shared" ref="B209:B223" si="1">B208+1</f>
        <v>2086</v>
      </c>
      <c r="C209" s="113">
        <f>[2]С2.5!$BS$11</f>
        <v>0</v>
      </c>
    </row>
    <row r="210" spans="2:3" hidden="1" x14ac:dyDescent="0.2">
      <c r="B210" s="112">
        <f t="shared" si="1"/>
        <v>2087</v>
      </c>
      <c r="C210" s="113">
        <f>[2]С2.5!$BT$11</f>
        <v>0</v>
      </c>
    </row>
    <row r="211" spans="2:3" hidden="1" x14ac:dyDescent="0.2">
      <c r="B211" s="112">
        <f t="shared" si="1"/>
        <v>2088</v>
      </c>
      <c r="C211" s="113">
        <f>[2]С2.5!$BU$11</f>
        <v>0</v>
      </c>
    </row>
    <row r="212" spans="2:3" hidden="1" x14ac:dyDescent="0.2">
      <c r="B212" s="112">
        <f t="shared" si="1"/>
        <v>2089</v>
      </c>
      <c r="C212" s="113">
        <f>[2]С2.5!$BV$11</f>
        <v>0</v>
      </c>
    </row>
    <row r="213" spans="2:3" hidden="1" x14ac:dyDescent="0.2">
      <c r="B213" s="112">
        <f t="shared" si="1"/>
        <v>2090</v>
      </c>
      <c r="C213" s="113">
        <f>[2]С2.5!$BW$11</f>
        <v>0</v>
      </c>
    </row>
    <row r="214" spans="2:3" hidden="1" x14ac:dyDescent="0.2">
      <c r="B214" s="112">
        <f t="shared" si="1"/>
        <v>2091</v>
      </c>
      <c r="C214" s="113">
        <f>[2]С2.5!$BX$11</f>
        <v>0</v>
      </c>
    </row>
    <row r="215" spans="2:3" hidden="1" x14ac:dyDescent="0.2">
      <c r="B215" s="112">
        <f t="shared" si="1"/>
        <v>2092</v>
      </c>
      <c r="C215" s="113">
        <f>[2]С2.5!$BY$11</f>
        <v>0</v>
      </c>
    </row>
    <row r="216" spans="2:3" hidden="1" x14ac:dyDescent="0.2">
      <c r="B216" s="112">
        <f t="shared" si="1"/>
        <v>2093</v>
      </c>
      <c r="C216" s="113">
        <f>[2]С2.5!$BZ$11</f>
        <v>0</v>
      </c>
    </row>
    <row r="217" spans="2:3" hidden="1" x14ac:dyDescent="0.2">
      <c r="B217" s="112">
        <f t="shared" si="1"/>
        <v>2094</v>
      </c>
      <c r="C217" s="113">
        <f>[2]С2.5!$CA$11</f>
        <v>0</v>
      </c>
    </row>
    <row r="218" spans="2:3" hidden="1" x14ac:dyDescent="0.2">
      <c r="B218" s="112">
        <f t="shared" si="1"/>
        <v>2095</v>
      </c>
      <c r="C218" s="113">
        <f>[2]С2.5!$CB$11</f>
        <v>0</v>
      </c>
    </row>
    <row r="219" spans="2:3" hidden="1" x14ac:dyDescent="0.2">
      <c r="B219" s="112">
        <f t="shared" si="1"/>
        <v>2096</v>
      </c>
      <c r="C219" s="113">
        <f>[2]С2.5!$CC$11</f>
        <v>0</v>
      </c>
    </row>
    <row r="220" spans="2:3" hidden="1" x14ac:dyDescent="0.2">
      <c r="B220" s="112">
        <f t="shared" si="1"/>
        <v>2097</v>
      </c>
      <c r="C220" s="113">
        <f>[2]С2.5!$CD$11</f>
        <v>0</v>
      </c>
    </row>
    <row r="221" spans="2:3" hidden="1" x14ac:dyDescent="0.2">
      <c r="B221" s="112">
        <f t="shared" si="1"/>
        <v>2098</v>
      </c>
      <c r="C221" s="113">
        <f>[2]С2.5!$CE$11</f>
        <v>0</v>
      </c>
    </row>
    <row r="222" spans="2:3" hidden="1" x14ac:dyDescent="0.2">
      <c r="B222" s="112">
        <f t="shared" si="1"/>
        <v>2099</v>
      </c>
      <c r="C222" s="113">
        <f>[2]С2.5!$CF$11</f>
        <v>0</v>
      </c>
    </row>
    <row r="223" spans="2:3" ht="13.5" hidden="1" thickBot="1" x14ac:dyDescent="0.25">
      <c r="B223" s="114">
        <f t="shared" si="1"/>
        <v>2100</v>
      </c>
      <c r="C223" s="115">
        <f>[2]С2.5!$CG$11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Button 1">
              <controlPr defaultSize="0" print="0" autoFill="0" autoPict="0" macro="[2]!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[3]И1!D13</f>
        <v>Субъект Российской Федерации</v>
      </c>
      <c r="C4" s="10" t="str">
        <f>[3]И1!E13</f>
        <v>Новосибирская область</v>
      </c>
    </row>
    <row r="5" spans="1:3" ht="38.25" x14ac:dyDescent="0.2">
      <c r="A5" s="8"/>
      <c r="B5" s="9" t="str">
        <f>[3]И1!D14</f>
        <v>Тип муниципального образования (выберите из списка)</v>
      </c>
      <c r="C5" s="10" t="str">
        <f>[3]И1!E14</f>
        <v xml:space="preserve">село Веселовское, Краснозерский муниципальный район </v>
      </c>
    </row>
    <row r="6" spans="1:3" x14ac:dyDescent="0.2">
      <c r="A6" s="8"/>
      <c r="B6" s="9" t="str">
        <f>IF([3]И1!E15="","",[3]И1!D15)</f>
        <v/>
      </c>
      <c r="C6" s="10" t="str">
        <f>IF([3]И1!E15="","",[3]И1!E15)</f>
        <v/>
      </c>
    </row>
    <row r="7" spans="1:3" x14ac:dyDescent="0.2">
      <c r="A7" s="8"/>
      <c r="B7" s="9" t="str">
        <f>[3]И1!D16</f>
        <v>Код ОКТМО</v>
      </c>
      <c r="C7" s="11" t="str">
        <f>[3]И1!E16</f>
        <v>(50627404101)</v>
      </c>
    </row>
    <row r="8" spans="1:3" x14ac:dyDescent="0.2">
      <c r="A8" s="8"/>
      <c r="B8" s="12" t="str">
        <f>[3]И1!D17</f>
        <v>Система теплоснабжения</v>
      </c>
      <c r="C8" s="13">
        <f>[3]И1!E17</f>
        <v>0</v>
      </c>
    </row>
    <row r="9" spans="1:3" x14ac:dyDescent="0.2">
      <c r="A9" s="8"/>
      <c r="B9" s="9" t="str">
        <f>[3]И1!D8</f>
        <v>Период регулирования (i)-й</v>
      </c>
      <c r="C9" s="14">
        <f>[3]И1!E8</f>
        <v>2023</v>
      </c>
    </row>
    <row r="10" spans="1:3" x14ac:dyDescent="0.2">
      <c r="A10" s="8"/>
      <c r="B10" s="9" t="str">
        <f>[3]И1!D9</f>
        <v>Период регулирования (i-1)-й</v>
      </c>
      <c r="C10" s="14">
        <f>[3]И1!E9</f>
        <v>2022</v>
      </c>
    </row>
    <row r="11" spans="1:3" x14ac:dyDescent="0.2">
      <c r="A11" s="8"/>
      <c r="B11" s="9" t="str">
        <f>[3]И1!D10</f>
        <v>Период регулирования (i-2)-й</v>
      </c>
      <c r="C11" s="14">
        <f>[3]И1!E10</f>
        <v>2021</v>
      </c>
    </row>
    <row r="12" spans="1:3" x14ac:dyDescent="0.2">
      <c r="A12" s="8"/>
      <c r="B12" s="9" t="str">
        <f>[3]И1!D11</f>
        <v>Базовый год (б)</v>
      </c>
      <c r="C12" s="14">
        <f>[3]И1!E11</f>
        <v>2019</v>
      </c>
    </row>
    <row r="13" spans="1:3" ht="38.25" x14ac:dyDescent="0.2">
      <c r="A13" s="8"/>
      <c r="B13" s="9" t="str">
        <f>[3]И1!D18</f>
        <v>Вид топлива, использование которого преобладает в системе теплоснабжения</v>
      </c>
      <c r="C13" s="15" t="str">
        <f>[3]С1.1!E13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3904.749881859359</v>
      </c>
    </row>
    <row r="18" spans="1:3" ht="42.75" x14ac:dyDescent="0.2">
      <c r="A18" s="22" t="s">
        <v>8</v>
      </c>
      <c r="B18" s="25" t="s">
        <v>9</v>
      </c>
      <c r="C18" s="26">
        <f>[3]С1!F12</f>
        <v>831.37186311759319</v>
      </c>
    </row>
    <row r="19" spans="1:3" ht="42.75" x14ac:dyDescent="0.2">
      <c r="A19" s="22" t="s">
        <v>10</v>
      </c>
      <c r="B19" s="25" t="s">
        <v>11</v>
      </c>
      <c r="C19" s="26">
        <f>[3]С2!F12</f>
        <v>2106.0579468653982</v>
      </c>
    </row>
    <row r="20" spans="1:3" ht="30" x14ac:dyDescent="0.2">
      <c r="A20" s="22" t="s">
        <v>12</v>
      </c>
      <c r="B20" s="25" t="s">
        <v>13</v>
      </c>
      <c r="C20" s="26">
        <f>[3]С3!F12</f>
        <v>503.83473408478085</v>
      </c>
    </row>
    <row r="21" spans="1:3" ht="42.75" x14ac:dyDescent="0.2">
      <c r="A21" s="22" t="s">
        <v>14</v>
      </c>
      <c r="B21" s="25" t="s">
        <v>15</v>
      </c>
      <c r="C21" s="26">
        <f>[3]С4!F12</f>
        <v>386.92161461787401</v>
      </c>
    </row>
    <row r="22" spans="1:3" ht="30" x14ac:dyDescent="0.2">
      <c r="A22" s="22" t="s">
        <v>16</v>
      </c>
      <c r="B22" s="25" t="s">
        <v>17</v>
      </c>
      <c r="C22" s="26">
        <f>[3]С5!F12</f>
        <v>76.56372317371293</v>
      </c>
    </row>
    <row r="23" spans="1:3" ht="43.5" thickBot="1" x14ac:dyDescent="0.25">
      <c r="A23" s="27" t="s">
        <v>18</v>
      </c>
      <c r="B23" s="106" t="s">
        <v>19</v>
      </c>
      <c r="C23" s="29" t="str">
        <f>[3]С6!F12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[3]С1.1!E16</f>
        <v>5100</v>
      </c>
    </row>
    <row r="29" spans="1:3" ht="42.75" x14ac:dyDescent="0.2">
      <c r="A29" s="22" t="s">
        <v>10</v>
      </c>
      <c r="B29" s="34" t="s">
        <v>22</v>
      </c>
      <c r="C29" s="35">
        <f>[3]С1.1!E27</f>
        <v>2235.42</v>
      </c>
    </row>
    <row r="30" spans="1:3" ht="17.25" x14ac:dyDescent="0.2">
      <c r="A30" s="22" t="s">
        <v>12</v>
      </c>
      <c r="B30" s="34" t="s">
        <v>23</v>
      </c>
      <c r="C30" s="36">
        <f>[3]С1.1!E19</f>
        <v>0.59499999999999997</v>
      </c>
    </row>
    <row r="31" spans="1:3" ht="17.25" x14ac:dyDescent="0.2">
      <c r="A31" s="22" t="s">
        <v>14</v>
      </c>
      <c r="B31" s="34" t="s">
        <v>24</v>
      </c>
      <c r="C31" s="36">
        <f>[3]С1.1!E20</f>
        <v>-0.113</v>
      </c>
    </row>
    <row r="32" spans="1:3" ht="30" x14ac:dyDescent="0.2">
      <c r="A32" s="22" t="s">
        <v>16</v>
      </c>
      <c r="B32" s="37" t="s">
        <v>25</v>
      </c>
      <c r="C32" s="38">
        <f>[3]С1!F13</f>
        <v>176.4</v>
      </c>
    </row>
    <row r="33" spans="1:3" x14ac:dyDescent="0.2">
      <c r="A33" s="22" t="s">
        <v>18</v>
      </c>
      <c r="B33" s="37" t="s">
        <v>26</v>
      </c>
      <c r="C33" s="39">
        <f>[3]С1!F16</f>
        <v>7000</v>
      </c>
    </row>
    <row r="34" spans="1:3" ht="14.25" x14ac:dyDescent="0.2">
      <c r="A34" s="22" t="s">
        <v>27</v>
      </c>
      <c r="B34" s="40" t="s">
        <v>28</v>
      </c>
      <c r="C34" s="41">
        <f>[3]С1!F17</f>
        <v>0.72857142857142854</v>
      </c>
    </row>
    <row r="35" spans="1:3" ht="15.75" x14ac:dyDescent="0.2">
      <c r="A35" s="42" t="s">
        <v>29</v>
      </c>
      <c r="B35" s="43" t="s">
        <v>30</v>
      </c>
      <c r="C35" s="41">
        <f>[3]С1!F20</f>
        <v>21.588411179999994</v>
      </c>
    </row>
    <row r="36" spans="1:3" ht="15.75" x14ac:dyDescent="0.2">
      <c r="A36" s="42" t="s">
        <v>31</v>
      </c>
      <c r="B36" s="44" t="s">
        <v>32</v>
      </c>
      <c r="C36" s="41">
        <f>[3]С1!F21</f>
        <v>20.818139999999996</v>
      </c>
    </row>
    <row r="37" spans="1:3" ht="14.25" x14ac:dyDescent="0.2">
      <c r="A37" s="42" t="s">
        <v>33</v>
      </c>
      <c r="B37" s="45" t="s">
        <v>34</v>
      </c>
      <c r="C37" s="41">
        <f>[3]С1!F22</f>
        <v>1.0369999999999999</v>
      </c>
    </row>
    <row r="38" spans="1:3" ht="53.25" thickBot="1" x14ac:dyDescent="0.25">
      <c r="A38" s="27" t="s">
        <v>35</v>
      </c>
      <c r="B38" s="46" t="s">
        <v>36</v>
      </c>
      <c r="C38" s="47">
        <f>[3]С1!F23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[3]С2.1!E12</f>
        <v>V</v>
      </c>
    </row>
    <row r="42" spans="1:3" ht="25.5" x14ac:dyDescent="0.2">
      <c r="A42" s="22" t="s">
        <v>41</v>
      </c>
      <c r="B42" s="34" t="s">
        <v>42</v>
      </c>
      <c r="C42" s="52" t="str">
        <f>[3]С2.1!E13</f>
        <v>6 и менее баллов</v>
      </c>
    </row>
    <row r="43" spans="1:3" ht="25.5" x14ac:dyDescent="0.2">
      <c r="A43" s="22" t="s">
        <v>43</v>
      </c>
      <c r="B43" s="34" t="s">
        <v>44</v>
      </c>
      <c r="C43" s="52" t="str">
        <f>[3]С2.1!E14</f>
        <v>от 200 до 500</v>
      </c>
    </row>
    <row r="44" spans="1:3" ht="25.5" x14ac:dyDescent="0.2">
      <c r="A44" s="22" t="s">
        <v>45</v>
      </c>
      <c r="B44" s="34" t="s">
        <v>46</v>
      </c>
      <c r="C44" s="53" t="str">
        <f>[3]С2.1!E15</f>
        <v>нет</v>
      </c>
    </row>
    <row r="45" spans="1:3" ht="30" x14ac:dyDescent="0.2">
      <c r="A45" s="22" t="s">
        <v>47</v>
      </c>
      <c r="B45" s="34" t="s">
        <v>48</v>
      </c>
      <c r="C45" s="35">
        <f>[3]С2!F18</f>
        <v>32402.627334033532</v>
      </c>
    </row>
    <row r="46" spans="1:3" ht="30" x14ac:dyDescent="0.2">
      <c r="A46" s="22" t="s">
        <v>49</v>
      </c>
      <c r="B46" s="54" t="s">
        <v>50</v>
      </c>
      <c r="C46" s="35">
        <f>IF([3]С2!F19&gt;0,[3]С2!F19,[3]С2!F20)</f>
        <v>23441.524932855718</v>
      </c>
    </row>
    <row r="47" spans="1:3" ht="25.5" x14ac:dyDescent="0.2">
      <c r="A47" s="22" t="s">
        <v>51</v>
      </c>
      <c r="B47" s="55" t="s">
        <v>52</v>
      </c>
      <c r="C47" s="35">
        <f>[3]С2.1!E19</f>
        <v>-37</v>
      </c>
    </row>
    <row r="48" spans="1:3" ht="25.5" x14ac:dyDescent="0.2">
      <c r="A48" s="22" t="s">
        <v>53</v>
      </c>
      <c r="B48" s="55" t="s">
        <v>54</v>
      </c>
      <c r="C48" s="35" t="str">
        <f>[3]С2.1!E22</f>
        <v>нет</v>
      </c>
    </row>
    <row r="49" spans="1:3" ht="38.25" x14ac:dyDescent="0.2">
      <c r="A49" s="22" t="s">
        <v>55</v>
      </c>
      <c r="B49" s="56" t="s">
        <v>56</v>
      </c>
      <c r="C49" s="35">
        <f>[3]С2.2!E10</f>
        <v>1287</v>
      </c>
    </row>
    <row r="50" spans="1:3" ht="25.5" x14ac:dyDescent="0.2">
      <c r="A50" s="22" t="s">
        <v>57</v>
      </c>
      <c r="B50" s="57" t="s">
        <v>58</v>
      </c>
      <c r="C50" s="35">
        <f>[3]С2.2!E12</f>
        <v>5.97</v>
      </c>
    </row>
    <row r="51" spans="1:3" ht="52.5" x14ac:dyDescent="0.2">
      <c r="A51" s="22" t="s">
        <v>59</v>
      </c>
      <c r="B51" s="58" t="s">
        <v>60</v>
      </c>
      <c r="C51" s="35">
        <f>[3]С2.2!E13</f>
        <v>1</v>
      </c>
    </row>
    <row r="52" spans="1:3" ht="27.75" x14ac:dyDescent="0.2">
      <c r="A52" s="22" t="s">
        <v>61</v>
      </c>
      <c r="B52" s="57" t="s">
        <v>62</v>
      </c>
      <c r="C52" s="35">
        <f>[3]С2.2!E14</f>
        <v>12104</v>
      </c>
    </row>
    <row r="53" spans="1:3" ht="25.5" x14ac:dyDescent="0.2">
      <c r="A53" s="22" t="s">
        <v>63</v>
      </c>
      <c r="B53" s="58" t="s">
        <v>64</v>
      </c>
      <c r="C53" s="36">
        <f>[3]С2.2!E15</f>
        <v>4.8000000000000001E-2</v>
      </c>
    </row>
    <row r="54" spans="1:3" x14ac:dyDescent="0.2">
      <c r="A54" s="22" t="s">
        <v>65</v>
      </c>
      <c r="B54" s="58" t="s">
        <v>66</v>
      </c>
      <c r="C54" s="35">
        <f>[3]С2.2!E16</f>
        <v>1</v>
      </c>
    </row>
    <row r="55" spans="1:3" ht="15.75" x14ac:dyDescent="0.2">
      <c r="A55" s="22" t="s">
        <v>67</v>
      </c>
      <c r="B55" s="59" t="s">
        <v>68</v>
      </c>
      <c r="C55" s="35">
        <f>[3]С2!F21</f>
        <v>1</v>
      </c>
    </row>
    <row r="56" spans="1:3" ht="30" x14ac:dyDescent="0.2">
      <c r="A56" s="60" t="s">
        <v>69</v>
      </c>
      <c r="B56" s="34" t="s">
        <v>70</v>
      </c>
      <c r="C56" s="35">
        <f>[3]С2!F13</f>
        <v>169640.22915965237</v>
      </c>
    </row>
    <row r="57" spans="1:3" ht="30" x14ac:dyDescent="0.2">
      <c r="A57" s="60" t="s">
        <v>71</v>
      </c>
      <c r="B57" s="59" t="s">
        <v>72</v>
      </c>
      <c r="C57" s="35">
        <f>[3]С2!F14</f>
        <v>113455</v>
      </c>
    </row>
    <row r="58" spans="1:3" ht="15.75" x14ac:dyDescent="0.2">
      <c r="A58" s="60" t="s">
        <v>73</v>
      </c>
      <c r="B58" s="61" t="s">
        <v>74</v>
      </c>
      <c r="C58" s="41">
        <f>[3]С2!F15</f>
        <v>1.071</v>
      </c>
    </row>
    <row r="59" spans="1:3" ht="15.75" x14ac:dyDescent="0.2">
      <c r="A59" s="60" t="s">
        <v>75</v>
      </c>
      <c r="B59" s="61" t="s">
        <v>76</v>
      </c>
      <c r="C59" s="41">
        <f>[3]С2!F16</f>
        <v>1</v>
      </c>
    </row>
    <row r="60" spans="1:3" ht="17.25" x14ac:dyDescent="0.2">
      <c r="A60" s="60" t="s">
        <v>77</v>
      </c>
      <c r="B60" s="59" t="s">
        <v>78</v>
      </c>
      <c r="C60" s="35">
        <f>[3]С2!F17</f>
        <v>1.01</v>
      </c>
    </row>
    <row r="61" spans="1:3" s="64" customFormat="1" ht="14.25" x14ac:dyDescent="0.2">
      <c r="A61" s="60" t="s">
        <v>79</v>
      </c>
      <c r="B61" s="62" t="s">
        <v>80</v>
      </c>
      <c r="C61" s="63">
        <f>[3]С2!F33</f>
        <v>10</v>
      </c>
    </row>
    <row r="62" spans="1:3" ht="30" x14ac:dyDescent="0.2">
      <c r="A62" s="60" t="s">
        <v>81</v>
      </c>
      <c r="B62" s="65" t="s">
        <v>82</v>
      </c>
      <c r="C62" s="35">
        <f>[3]С2!F26</f>
        <v>1123.6482814273334</v>
      </c>
    </row>
    <row r="63" spans="1:3" ht="17.25" x14ac:dyDescent="0.2">
      <c r="A63" s="60" t="s">
        <v>83</v>
      </c>
      <c r="B63" s="54" t="s">
        <v>84</v>
      </c>
      <c r="C63" s="35">
        <f>[3]С2!F27</f>
        <v>0.19354712999999998</v>
      </c>
    </row>
    <row r="64" spans="1:3" ht="17.25" x14ac:dyDescent="0.2">
      <c r="A64" s="60" t="s">
        <v>85</v>
      </c>
      <c r="B64" s="59" t="s">
        <v>86</v>
      </c>
      <c r="C64" s="63">
        <f>[3]С2!F28</f>
        <v>4200</v>
      </c>
    </row>
    <row r="65" spans="1:3" ht="42.75" x14ac:dyDescent="0.2">
      <c r="A65" s="60" t="s">
        <v>87</v>
      </c>
      <c r="B65" s="34" t="s">
        <v>88</v>
      </c>
      <c r="C65" s="35">
        <f>[3]С2!F22</f>
        <v>35717.748653137714</v>
      </c>
    </row>
    <row r="66" spans="1:3" ht="30" x14ac:dyDescent="0.2">
      <c r="A66" s="60" t="s">
        <v>89</v>
      </c>
      <c r="B66" s="61" t="s">
        <v>90</v>
      </c>
      <c r="C66" s="35">
        <f>[3]С2!F23</f>
        <v>1990</v>
      </c>
    </row>
    <row r="67" spans="1:3" ht="30" x14ac:dyDescent="0.2">
      <c r="A67" s="60" t="s">
        <v>91</v>
      </c>
      <c r="B67" s="54" t="s">
        <v>92</v>
      </c>
      <c r="C67" s="35">
        <f>[3]С2.1!E27</f>
        <v>14307.876789999998</v>
      </c>
    </row>
    <row r="68" spans="1:3" ht="38.25" x14ac:dyDescent="0.2">
      <c r="A68" s="60" t="s">
        <v>93</v>
      </c>
      <c r="B68" s="66" t="s">
        <v>94</v>
      </c>
      <c r="C68" s="53">
        <f>[3]С2.3!E21</f>
        <v>0</v>
      </c>
    </row>
    <row r="69" spans="1:3" ht="25.5" x14ac:dyDescent="0.2">
      <c r="A69" s="60" t="s">
        <v>95</v>
      </c>
      <c r="B69" s="67" t="s">
        <v>96</v>
      </c>
      <c r="C69" s="68">
        <f>[3]С2.3!E11</f>
        <v>9.89</v>
      </c>
    </row>
    <row r="70" spans="1:3" ht="25.5" x14ac:dyDescent="0.2">
      <c r="A70" s="60" t="s">
        <v>97</v>
      </c>
      <c r="B70" s="67" t="s">
        <v>98</v>
      </c>
      <c r="C70" s="63">
        <f>[3]С2.3!E13</f>
        <v>300</v>
      </c>
    </row>
    <row r="71" spans="1:3" ht="25.5" x14ac:dyDescent="0.2">
      <c r="A71" s="60" t="s">
        <v>99</v>
      </c>
      <c r="B71" s="66" t="s">
        <v>100</v>
      </c>
      <c r="C71" s="69">
        <f>IF([3]С2.3!E22&gt;0,[3]С2.3!E22,[3]С2.3!E14)</f>
        <v>61211</v>
      </c>
    </row>
    <row r="72" spans="1:3" ht="38.25" x14ac:dyDescent="0.2">
      <c r="A72" s="60" t="s">
        <v>101</v>
      </c>
      <c r="B72" s="66" t="s">
        <v>102</v>
      </c>
      <c r="C72" s="69">
        <f>IF([3]С2.3!E23&gt;0,[3]С2.3!E23,[3]С2.3!E15)</f>
        <v>45675</v>
      </c>
    </row>
    <row r="73" spans="1:3" ht="30" x14ac:dyDescent="0.2">
      <c r="A73" s="60" t="s">
        <v>103</v>
      </c>
      <c r="B73" s="54" t="s">
        <v>104</v>
      </c>
      <c r="C73" s="35">
        <f>[3]С2.1!E28</f>
        <v>9541.9567200000001</v>
      </c>
    </row>
    <row r="74" spans="1:3" ht="38.25" x14ac:dyDescent="0.2">
      <c r="A74" s="60" t="s">
        <v>105</v>
      </c>
      <c r="B74" s="66" t="s">
        <v>106</v>
      </c>
      <c r="C74" s="53">
        <f>[3]С2.3!E25</f>
        <v>0</v>
      </c>
    </row>
    <row r="75" spans="1:3" ht="25.5" x14ac:dyDescent="0.2">
      <c r="A75" s="60" t="s">
        <v>107</v>
      </c>
      <c r="B75" s="67" t="s">
        <v>108</v>
      </c>
      <c r="C75" s="68">
        <f>[3]С2.3!E12</f>
        <v>0.56000000000000005</v>
      </c>
    </row>
    <row r="76" spans="1:3" ht="25.5" x14ac:dyDescent="0.2">
      <c r="A76" s="60" t="s">
        <v>109</v>
      </c>
      <c r="B76" s="67" t="s">
        <v>98</v>
      </c>
      <c r="C76" s="63">
        <f>[3]С2.3!E13</f>
        <v>300</v>
      </c>
    </row>
    <row r="77" spans="1:3" ht="25.5" x14ac:dyDescent="0.2">
      <c r="A77" s="60" t="s">
        <v>110</v>
      </c>
      <c r="B77" s="70" t="s">
        <v>111</v>
      </c>
      <c r="C77" s="69">
        <f>IF([3]С2.3!E26&gt;0,[3]С2.3!E26,[3]С2.3!E16)</f>
        <v>65637</v>
      </c>
    </row>
    <row r="78" spans="1:3" ht="38.25" x14ac:dyDescent="0.2">
      <c r="A78" s="60" t="s">
        <v>112</v>
      </c>
      <c r="B78" s="70" t="s">
        <v>113</v>
      </c>
      <c r="C78" s="69">
        <f>IF([3]С2.3!E27&gt;0,[3]С2.3!E27,[3]С2.3!E17)</f>
        <v>31684</v>
      </c>
    </row>
    <row r="79" spans="1:3" ht="17.25" x14ac:dyDescent="0.2">
      <c r="A79" s="60" t="s">
        <v>114</v>
      </c>
      <c r="B79" s="34" t="s">
        <v>115</v>
      </c>
      <c r="C79" s="36">
        <f>[3]С2!F29</f>
        <v>0.128978033685065</v>
      </c>
    </row>
    <row r="80" spans="1:3" ht="30" x14ac:dyDescent="0.2">
      <c r="A80" s="60" t="s">
        <v>116</v>
      </c>
      <c r="B80" s="54" t="s">
        <v>117</v>
      </c>
      <c r="C80" s="71">
        <f>[3]С2!F30</f>
        <v>0.11668498168498169</v>
      </c>
    </row>
    <row r="81" spans="1:3" ht="17.25" x14ac:dyDescent="0.2">
      <c r="A81" s="60" t="s">
        <v>118</v>
      </c>
      <c r="B81" s="72" t="s">
        <v>119</v>
      </c>
      <c r="C81" s="36">
        <f>[3]С2!F31</f>
        <v>0.13880000000000001</v>
      </c>
    </row>
    <row r="82" spans="1:3" s="64" customFormat="1" ht="18" thickBot="1" x14ac:dyDescent="0.25">
      <c r="A82" s="73" t="s">
        <v>120</v>
      </c>
      <c r="B82" s="74" t="s">
        <v>121</v>
      </c>
      <c r="C82" s="75">
        <f>[3]С2!F32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[3]С3!F14</f>
        <v>6998.3755440420418</v>
      </c>
    </row>
    <row r="86" spans="1:3" s="64" customFormat="1" ht="42.75" x14ac:dyDescent="0.2">
      <c r="A86" s="78" t="s">
        <v>126</v>
      </c>
      <c r="B86" s="54" t="s">
        <v>127</v>
      </c>
      <c r="C86" s="79">
        <f>[3]С3!F15</f>
        <v>0.2</v>
      </c>
    </row>
    <row r="87" spans="1:3" s="64" customFormat="1" ht="14.25" x14ac:dyDescent="0.2">
      <c r="A87" s="78" t="s">
        <v>128</v>
      </c>
      <c r="B87" s="80" t="s">
        <v>129</v>
      </c>
      <c r="C87" s="63">
        <f>[3]С3!F18</f>
        <v>15</v>
      </c>
    </row>
    <row r="88" spans="1:3" s="64" customFormat="1" ht="17.25" x14ac:dyDescent="0.2">
      <c r="A88" s="78" t="s">
        <v>130</v>
      </c>
      <c r="B88" s="34" t="s">
        <v>131</v>
      </c>
      <c r="C88" s="35">
        <f>[3]С3!F19</f>
        <v>3487.1555421534131</v>
      </c>
    </row>
    <row r="89" spans="1:3" s="64" customFormat="1" ht="55.5" x14ac:dyDescent="0.2">
      <c r="A89" s="78" t="s">
        <v>132</v>
      </c>
      <c r="B89" s="54" t="s">
        <v>133</v>
      </c>
      <c r="C89" s="81">
        <f>[3]С3!F20</f>
        <v>2.1999999999999999E-2</v>
      </c>
    </row>
    <row r="90" spans="1:3" s="64" customFormat="1" ht="14.25" x14ac:dyDescent="0.2">
      <c r="A90" s="78" t="s">
        <v>134</v>
      </c>
      <c r="B90" s="59" t="s">
        <v>80</v>
      </c>
      <c r="C90" s="63">
        <f>[3]С3!F21</f>
        <v>10</v>
      </c>
    </row>
    <row r="91" spans="1:3" s="64" customFormat="1" ht="17.25" x14ac:dyDescent="0.2">
      <c r="A91" s="78" t="s">
        <v>135</v>
      </c>
      <c r="B91" s="34" t="s">
        <v>136</v>
      </c>
      <c r="C91" s="35">
        <f>[3]С3!F22</f>
        <v>3.370944844282</v>
      </c>
    </row>
    <row r="92" spans="1:3" s="64" customFormat="1" ht="55.5" x14ac:dyDescent="0.2">
      <c r="A92" s="78" t="s">
        <v>137</v>
      </c>
      <c r="B92" s="54" t="s">
        <v>138</v>
      </c>
      <c r="C92" s="81">
        <f>[3]С3!F23</f>
        <v>3.0000000000000001E-3</v>
      </c>
    </row>
    <row r="93" spans="1:3" s="64" customFormat="1" ht="27.75" thickBot="1" x14ac:dyDescent="0.25">
      <c r="A93" s="82" t="s">
        <v>139</v>
      </c>
      <c r="B93" s="83" t="s">
        <v>140</v>
      </c>
      <c r="C93" s="84">
        <f>[3]С3!F24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[3]С4!F16</f>
        <v>1652.5</v>
      </c>
    </row>
    <row r="97" spans="1:3" ht="30" x14ac:dyDescent="0.2">
      <c r="A97" s="60" t="s">
        <v>145</v>
      </c>
      <c r="B97" s="59" t="s">
        <v>146</v>
      </c>
      <c r="C97" s="35">
        <f>[3]С4!F17</f>
        <v>73547</v>
      </c>
    </row>
    <row r="98" spans="1:3" ht="17.25" x14ac:dyDescent="0.2">
      <c r="A98" s="60" t="s">
        <v>147</v>
      </c>
      <c r="B98" s="59" t="s">
        <v>148</v>
      </c>
      <c r="C98" s="41">
        <f>[3]С4!F18</f>
        <v>0.02</v>
      </c>
    </row>
    <row r="99" spans="1:3" ht="30" x14ac:dyDescent="0.2">
      <c r="A99" s="60" t="s">
        <v>149</v>
      </c>
      <c r="B99" s="59" t="s">
        <v>150</v>
      </c>
      <c r="C99" s="35">
        <f>[3]С4!F19</f>
        <v>12104</v>
      </c>
    </row>
    <row r="100" spans="1:3" ht="31.5" x14ac:dyDescent="0.2">
      <c r="A100" s="60" t="s">
        <v>151</v>
      </c>
      <c r="B100" s="59" t="s">
        <v>152</v>
      </c>
      <c r="C100" s="41">
        <f>[3]С4!F20</f>
        <v>1.4999999999999999E-2</v>
      </c>
    </row>
    <row r="101" spans="1:3" ht="30" x14ac:dyDescent="0.2">
      <c r="A101" s="60" t="s">
        <v>153</v>
      </c>
      <c r="B101" s="34" t="s">
        <v>154</v>
      </c>
      <c r="C101" s="35">
        <f>[3]С4!F21</f>
        <v>1933.1949342509995</v>
      </c>
    </row>
    <row r="102" spans="1:3" ht="24" customHeight="1" x14ac:dyDescent="0.2">
      <c r="A102" s="60" t="s">
        <v>155</v>
      </c>
      <c r="B102" s="54" t="s">
        <v>156</v>
      </c>
      <c r="C102" s="86">
        <f>IF([3]С4.2!F8="да",[3]С4.2!D21,[3]С4.2!D15)</f>
        <v>0</v>
      </c>
    </row>
    <row r="103" spans="1:3" ht="68.25" x14ac:dyDescent="0.2">
      <c r="A103" s="60" t="s">
        <v>157</v>
      </c>
      <c r="B103" s="54" t="s">
        <v>158</v>
      </c>
      <c r="C103" s="35">
        <f>[3]С4!F22</f>
        <v>3.6112641666666665</v>
      </c>
    </row>
    <row r="104" spans="1:3" ht="30" x14ac:dyDescent="0.2">
      <c r="A104" s="60" t="s">
        <v>159</v>
      </c>
      <c r="B104" s="59" t="s">
        <v>160</v>
      </c>
      <c r="C104" s="35">
        <f>[3]С4!F23</f>
        <v>180</v>
      </c>
    </row>
    <row r="105" spans="1:3" ht="14.25" x14ac:dyDescent="0.2">
      <c r="A105" s="60" t="s">
        <v>161</v>
      </c>
      <c r="B105" s="54" t="s">
        <v>162</v>
      </c>
      <c r="C105" s="35">
        <f>[3]С4!F24</f>
        <v>8497.1999999999989</v>
      </c>
    </row>
    <row r="106" spans="1:3" ht="14.25" x14ac:dyDescent="0.2">
      <c r="A106" s="60" t="s">
        <v>163</v>
      </c>
      <c r="B106" s="59" t="s">
        <v>164</v>
      </c>
      <c r="C106" s="41">
        <f>[3]С4!F25</f>
        <v>0.35</v>
      </c>
    </row>
    <row r="107" spans="1:3" ht="17.25" x14ac:dyDescent="0.2">
      <c r="A107" s="60" t="s">
        <v>165</v>
      </c>
      <c r="B107" s="34" t="s">
        <v>166</v>
      </c>
      <c r="C107" s="35">
        <f>[3]С4!F26</f>
        <v>71.942459999999997</v>
      </c>
    </row>
    <row r="108" spans="1:3" ht="25.5" x14ac:dyDescent="0.2">
      <c r="A108" s="60" t="s">
        <v>167</v>
      </c>
      <c r="B108" s="54" t="s">
        <v>94</v>
      </c>
      <c r="C108" s="86">
        <f>[3]С4.3!E16</f>
        <v>0</v>
      </c>
    </row>
    <row r="109" spans="1:3" ht="25.5" x14ac:dyDescent="0.2">
      <c r="A109" s="60" t="s">
        <v>168</v>
      </c>
      <c r="B109" s="54" t="s">
        <v>169</v>
      </c>
      <c r="C109" s="35">
        <f>[3]С4.3!E17</f>
        <v>19.14</v>
      </c>
    </row>
    <row r="110" spans="1:3" ht="38.25" x14ac:dyDescent="0.2">
      <c r="A110" s="60" t="s">
        <v>170</v>
      </c>
      <c r="B110" s="54" t="s">
        <v>106</v>
      </c>
      <c r="C110" s="86">
        <f>[3]С4.3!E18</f>
        <v>0</v>
      </c>
    </row>
    <row r="111" spans="1:3" x14ac:dyDescent="0.2">
      <c r="A111" s="60" t="s">
        <v>171</v>
      </c>
      <c r="B111" s="54" t="s">
        <v>172</v>
      </c>
      <c r="C111" s="35">
        <f>[3]С4.3!E19</f>
        <v>23.62</v>
      </c>
    </row>
    <row r="112" spans="1:3" x14ac:dyDescent="0.2">
      <c r="A112" s="60" t="s">
        <v>173</v>
      </c>
      <c r="B112" s="59" t="s">
        <v>174</v>
      </c>
      <c r="C112" s="35">
        <f>[3]С4.3!E11</f>
        <v>1871</v>
      </c>
    </row>
    <row r="113" spans="1:3" x14ac:dyDescent="0.2">
      <c r="A113" s="60" t="s">
        <v>175</v>
      </c>
      <c r="B113" s="59" t="s">
        <v>176</v>
      </c>
      <c r="C113" s="53">
        <f>[3]С4.3!E12</f>
        <v>1636</v>
      </c>
    </row>
    <row r="114" spans="1:3" x14ac:dyDescent="0.2">
      <c r="A114" s="60" t="s">
        <v>177</v>
      </c>
      <c r="B114" s="59" t="s">
        <v>178</v>
      </c>
      <c r="C114" s="53">
        <f>[3]С4.3!E13</f>
        <v>204</v>
      </c>
    </row>
    <row r="115" spans="1:3" ht="30" x14ac:dyDescent="0.2">
      <c r="A115" s="60" t="s">
        <v>179</v>
      </c>
      <c r="B115" s="34" t="s">
        <v>180</v>
      </c>
      <c r="C115" s="35">
        <f>[3]С4!F27</f>
        <v>776.44759830395003</v>
      </c>
    </row>
    <row r="116" spans="1:3" ht="25.5" x14ac:dyDescent="0.2">
      <c r="A116" s="60" t="s">
        <v>181</v>
      </c>
      <c r="B116" s="54" t="s">
        <v>182</v>
      </c>
      <c r="C116" s="35">
        <f>[3]С4!F28</f>
        <v>596.34992189243474</v>
      </c>
    </row>
    <row r="117" spans="1:3" ht="42.75" x14ac:dyDescent="0.2">
      <c r="A117" s="60" t="s">
        <v>183</v>
      </c>
      <c r="B117" s="54" t="s">
        <v>184</v>
      </c>
      <c r="C117" s="35">
        <f>[3]С4!F29</f>
        <v>180.09767641151529</v>
      </c>
    </row>
    <row r="118" spans="1:3" ht="30" x14ac:dyDescent="0.2">
      <c r="A118" s="60" t="s">
        <v>185</v>
      </c>
      <c r="B118" s="40" t="s">
        <v>186</v>
      </c>
      <c r="C118" s="35">
        <f>[3]С4!F30</f>
        <v>1925.8647466101729</v>
      </c>
    </row>
    <row r="119" spans="1:3" ht="42.75" x14ac:dyDescent="0.2">
      <c r="A119" s="60" t="s">
        <v>187</v>
      </c>
      <c r="B119" s="87" t="s">
        <v>188</v>
      </c>
      <c r="C119" s="35">
        <f>[3]С4!F33</f>
        <v>1228.5737896910023</v>
      </c>
    </row>
    <row r="120" spans="1:3" ht="30" x14ac:dyDescent="0.2">
      <c r="A120" s="60" t="s">
        <v>189</v>
      </c>
      <c r="B120" s="88" t="s">
        <v>190</v>
      </c>
      <c r="C120" s="35">
        <f>[3]С4!F35</f>
        <v>17.040680999999999</v>
      </c>
    </row>
    <row r="121" spans="1:3" ht="14.25" x14ac:dyDescent="0.2">
      <c r="A121" s="60" t="s">
        <v>191</v>
      </c>
      <c r="B121" s="57" t="s">
        <v>192</v>
      </c>
      <c r="C121" s="35">
        <f>[3]С4!F36</f>
        <v>14319.9</v>
      </c>
    </row>
    <row r="122" spans="1:3" ht="28.5" thickBot="1" x14ac:dyDescent="0.25">
      <c r="A122" s="73" t="s">
        <v>193</v>
      </c>
      <c r="B122" s="89" t="s">
        <v>194</v>
      </c>
      <c r="C122" s="84">
        <f>[3]С4!F37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[3]С5!F17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[3]С2!F37</f>
        <v>20.818139999999996</v>
      </c>
    </row>
    <row r="136" spans="1:4" ht="14.25" x14ac:dyDescent="0.2">
      <c r="A136" s="60" t="s">
        <v>216</v>
      </c>
      <c r="B136" s="102" t="s">
        <v>217</v>
      </c>
      <c r="C136" s="35">
        <f>[3]С2!F38</f>
        <v>7</v>
      </c>
    </row>
    <row r="137" spans="1:4" ht="17.25" x14ac:dyDescent="0.2">
      <c r="A137" s="60" t="s">
        <v>218</v>
      </c>
      <c r="B137" s="102" t="s">
        <v>219</v>
      </c>
      <c r="C137" s="35">
        <f>[3]С2!F40</f>
        <v>0.97</v>
      </c>
    </row>
    <row r="138" spans="1:4" ht="15" thickBot="1" x14ac:dyDescent="0.25">
      <c r="A138" s="73" t="s">
        <v>220</v>
      </c>
      <c r="B138" s="103" t="s">
        <v>221</v>
      </c>
      <c r="C138" s="47">
        <f>[3]С2!F42</f>
        <v>0.35</v>
      </c>
    </row>
    <row r="139" spans="1:4" s="90" customFormat="1" ht="13.5" thickBot="1" x14ac:dyDescent="0.25">
      <c r="A139" s="48"/>
      <c r="B139" s="76"/>
      <c r="C139" s="15"/>
    </row>
    <row r="140" spans="1:4" ht="30" x14ac:dyDescent="0.2">
      <c r="A140" s="85" t="s">
        <v>222</v>
      </c>
      <c r="B140" s="104" t="s">
        <v>223</v>
      </c>
      <c r="C140" s="105">
        <f>[3]С2!F35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[3]С2.5!$E$11</f>
        <v>-2.9000000000000026E-2</v>
      </c>
      <c r="D143" s="90"/>
    </row>
    <row r="144" spans="1:4" x14ac:dyDescent="0.2">
      <c r="A144" s="107"/>
      <c r="B144" s="112">
        <f>B143+1</f>
        <v>2021</v>
      </c>
      <c r="C144" s="113">
        <f>[3]С2.5!$F$11</f>
        <v>0.245</v>
      </c>
      <c r="D144" s="90"/>
    </row>
    <row r="145" spans="1:4" x14ac:dyDescent="0.2">
      <c r="A145" s="107"/>
      <c r="B145" s="112">
        <f t="shared" ref="B145:B208" si="0">B144+1</f>
        <v>2022</v>
      </c>
      <c r="C145" s="113">
        <f>[3]С2.5!$G$11</f>
        <v>0.121</v>
      </c>
      <c r="D145" s="90"/>
    </row>
    <row r="146" spans="1:4" ht="13.5" thickBot="1" x14ac:dyDescent="0.25">
      <c r="A146" s="107"/>
      <c r="B146" s="114">
        <f t="shared" si="0"/>
        <v>2023</v>
      </c>
      <c r="C146" s="115">
        <f>[3]С2.5!$H$11</f>
        <v>0.02</v>
      </c>
      <c r="D146" s="90"/>
    </row>
    <row r="147" spans="1:4" hidden="1" x14ac:dyDescent="0.2">
      <c r="A147" s="107"/>
      <c r="B147" s="116">
        <f t="shared" si="0"/>
        <v>2024</v>
      </c>
      <c r="C147" s="117">
        <f>[3]С2.5!$I$11</f>
        <v>-2.93E-2</v>
      </c>
      <c r="D147" s="90"/>
    </row>
    <row r="148" spans="1:4" hidden="1" x14ac:dyDescent="0.2">
      <c r="A148" s="107"/>
      <c r="B148" s="112">
        <f t="shared" si="0"/>
        <v>2025</v>
      </c>
      <c r="C148" s="113">
        <f>[3]С2.5!$J$11</f>
        <v>0.21215960863291</v>
      </c>
      <c r="D148" s="90"/>
    </row>
    <row r="149" spans="1:4" hidden="1" x14ac:dyDescent="0.2">
      <c r="A149" s="107"/>
      <c r="B149" s="112">
        <f t="shared" si="0"/>
        <v>2026</v>
      </c>
      <c r="C149" s="113">
        <f>[3]С2.5!$K$11</f>
        <v>3.5813361771260002E-2</v>
      </c>
      <c r="D149" s="90"/>
    </row>
    <row r="150" spans="1:4" hidden="1" x14ac:dyDescent="0.2">
      <c r="A150" s="107"/>
      <c r="B150" s="112">
        <f t="shared" si="0"/>
        <v>2027</v>
      </c>
      <c r="C150" s="113">
        <f>[3]С2.5!$L$11</f>
        <v>3.2682303599220003E-2</v>
      </c>
      <c r="D150" s="90"/>
    </row>
    <row r="151" spans="1:4" hidden="1" x14ac:dyDescent="0.2">
      <c r="A151" s="107"/>
      <c r="B151" s="112">
        <f t="shared" si="0"/>
        <v>2028</v>
      </c>
      <c r="C151" s="113">
        <f>[3]С2.5!$M$11</f>
        <v>0</v>
      </c>
      <c r="D151" s="90"/>
    </row>
    <row r="152" spans="1:4" hidden="1" x14ac:dyDescent="0.2">
      <c r="A152" s="107"/>
      <c r="B152" s="112">
        <f t="shared" si="0"/>
        <v>2029</v>
      </c>
      <c r="C152" s="113">
        <f>[3]С2.5!$N$11</f>
        <v>0</v>
      </c>
      <c r="D152" s="90"/>
    </row>
    <row r="153" spans="1:4" hidden="1" x14ac:dyDescent="0.2">
      <c r="A153" s="107"/>
      <c r="B153" s="112">
        <f t="shared" si="0"/>
        <v>2030</v>
      </c>
      <c r="C153" s="113">
        <f>[3]С2.5!$O$11</f>
        <v>0</v>
      </c>
      <c r="D153" s="90"/>
    </row>
    <row r="154" spans="1:4" hidden="1" x14ac:dyDescent="0.2">
      <c r="A154" s="107"/>
      <c r="B154" s="112">
        <f t="shared" si="0"/>
        <v>2031</v>
      </c>
      <c r="C154" s="113">
        <f>[3]С2.5!$P$11</f>
        <v>0</v>
      </c>
      <c r="D154" s="90"/>
    </row>
    <row r="155" spans="1:4" hidden="1" x14ac:dyDescent="0.2">
      <c r="A155" s="90"/>
      <c r="B155" s="112">
        <f t="shared" si="0"/>
        <v>2032</v>
      </c>
      <c r="C155" s="113">
        <f>[3]С2.5!$Q$11</f>
        <v>0</v>
      </c>
      <c r="D155" s="90"/>
    </row>
    <row r="156" spans="1:4" hidden="1" x14ac:dyDescent="0.2">
      <c r="A156" s="90"/>
      <c r="B156" s="112">
        <f t="shared" si="0"/>
        <v>2033</v>
      </c>
      <c r="C156" s="113">
        <f>[3]С2.5!$R$11</f>
        <v>0</v>
      </c>
      <c r="D156" s="90"/>
    </row>
    <row r="157" spans="1:4" hidden="1" x14ac:dyDescent="0.2">
      <c r="B157" s="112">
        <f t="shared" si="0"/>
        <v>2034</v>
      </c>
      <c r="C157" s="113">
        <f>[3]С2.5!$S$11</f>
        <v>0</v>
      </c>
    </row>
    <row r="158" spans="1:4" hidden="1" x14ac:dyDescent="0.2">
      <c r="B158" s="112">
        <f t="shared" si="0"/>
        <v>2035</v>
      </c>
      <c r="C158" s="113">
        <f>[3]С2.5!$T$11</f>
        <v>0</v>
      </c>
    </row>
    <row r="159" spans="1:4" hidden="1" x14ac:dyDescent="0.2">
      <c r="B159" s="112">
        <f t="shared" si="0"/>
        <v>2036</v>
      </c>
      <c r="C159" s="113">
        <f>[3]С2.5!$U$11</f>
        <v>0</v>
      </c>
    </row>
    <row r="160" spans="1:4" hidden="1" x14ac:dyDescent="0.2">
      <c r="B160" s="112">
        <f t="shared" si="0"/>
        <v>2037</v>
      </c>
      <c r="C160" s="113">
        <f>[3]С2.5!$V$11</f>
        <v>0</v>
      </c>
    </row>
    <row r="161" spans="2:3" hidden="1" x14ac:dyDescent="0.2">
      <c r="B161" s="112">
        <f t="shared" si="0"/>
        <v>2038</v>
      </c>
      <c r="C161" s="113">
        <f>[3]С2.5!$W$11</f>
        <v>0</v>
      </c>
    </row>
    <row r="162" spans="2:3" hidden="1" x14ac:dyDescent="0.2">
      <c r="B162" s="112">
        <f t="shared" si="0"/>
        <v>2039</v>
      </c>
      <c r="C162" s="113">
        <f>[3]С2.5!$X$11</f>
        <v>0</v>
      </c>
    </row>
    <row r="163" spans="2:3" hidden="1" x14ac:dyDescent="0.2">
      <c r="B163" s="112">
        <f t="shared" si="0"/>
        <v>2040</v>
      </c>
      <c r="C163" s="113">
        <f>[3]С2.5!$Y$11</f>
        <v>0</v>
      </c>
    </row>
    <row r="164" spans="2:3" hidden="1" x14ac:dyDescent="0.2">
      <c r="B164" s="112">
        <f t="shared" si="0"/>
        <v>2041</v>
      </c>
      <c r="C164" s="113">
        <f>[3]С2.5!$Z$11</f>
        <v>0</v>
      </c>
    </row>
    <row r="165" spans="2:3" hidden="1" x14ac:dyDescent="0.2">
      <c r="B165" s="112">
        <f t="shared" si="0"/>
        <v>2042</v>
      </c>
      <c r="C165" s="113">
        <f>[3]С2.5!$AA$11</f>
        <v>0</v>
      </c>
    </row>
    <row r="166" spans="2:3" hidden="1" x14ac:dyDescent="0.2">
      <c r="B166" s="112">
        <f t="shared" si="0"/>
        <v>2043</v>
      </c>
      <c r="C166" s="113">
        <f>[3]С2.5!$AB$11</f>
        <v>0</v>
      </c>
    </row>
    <row r="167" spans="2:3" hidden="1" x14ac:dyDescent="0.2">
      <c r="B167" s="112">
        <f t="shared" si="0"/>
        <v>2044</v>
      </c>
      <c r="C167" s="113">
        <f>[3]С2.5!$AC$11</f>
        <v>0</v>
      </c>
    </row>
    <row r="168" spans="2:3" hidden="1" x14ac:dyDescent="0.2">
      <c r="B168" s="112">
        <f t="shared" si="0"/>
        <v>2045</v>
      </c>
      <c r="C168" s="113">
        <f>[3]С2.5!$AD$11</f>
        <v>0</v>
      </c>
    </row>
    <row r="169" spans="2:3" hidden="1" x14ac:dyDescent="0.2">
      <c r="B169" s="112">
        <f t="shared" si="0"/>
        <v>2046</v>
      </c>
      <c r="C169" s="113">
        <f>[3]С2.5!$AE$11</f>
        <v>0</v>
      </c>
    </row>
    <row r="170" spans="2:3" hidden="1" x14ac:dyDescent="0.2">
      <c r="B170" s="112">
        <f t="shared" si="0"/>
        <v>2047</v>
      </c>
      <c r="C170" s="113">
        <f>[3]С2.5!$AF$11</f>
        <v>0</v>
      </c>
    </row>
    <row r="171" spans="2:3" hidden="1" x14ac:dyDescent="0.2">
      <c r="B171" s="112">
        <f t="shared" si="0"/>
        <v>2048</v>
      </c>
      <c r="C171" s="113">
        <f>[3]С2.5!$AG$11</f>
        <v>0</v>
      </c>
    </row>
    <row r="172" spans="2:3" hidden="1" x14ac:dyDescent="0.2">
      <c r="B172" s="112">
        <f t="shared" si="0"/>
        <v>2049</v>
      </c>
      <c r="C172" s="113">
        <f>[3]С2.5!$AH$11</f>
        <v>0</v>
      </c>
    </row>
    <row r="173" spans="2:3" hidden="1" x14ac:dyDescent="0.2">
      <c r="B173" s="112">
        <f t="shared" si="0"/>
        <v>2050</v>
      </c>
      <c r="C173" s="113">
        <f>[3]С2.5!$AI$11</f>
        <v>0</v>
      </c>
    </row>
    <row r="174" spans="2:3" hidden="1" x14ac:dyDescent="0.2">
      <c r="B174" s="112">
        <f t="shared" si="0"/>
        <v>2051</v>
      </c>
      <c r="C174" s="113">
        <f>[3]С2.5!$AJ$11</f>
        <v>0</v>
      </c>
    </row>
    <row r="175" spans="2:3" hidden="1" x14ac:dyDescent="0.2">
      <c r="B175" s="112">
        <f t="shared" si="0"/>
        <v>2052</v>
      </c>
      <c r="C175" s="113">
        <f>[3]С2.5!$AK$11</f>
        <v>0</v>
      </c>
    </row>
    <row r="176" spans="2:3" hidden="1" x14ac:dyDescent="0.2">
      <c r="B176" s="112">
        <f t="shared" si="0"/>
        <v>2053</v>
      </c>
      <c r="C176" s="113">
        <f>[3]С2.5!$AL$11</f>
        <v>0</v>
      </c>
    </row>
    <row r="177" spans="2:3" hidden="1" x14ac:dyDescent="0.2">
      <c r="B177" s="112">
        <f t="shared" si="0"/>
        <v>2054</v>
      </c>
      <c r="C177" s="113">
        <f>[3]С2.5!$AM$11</f>
        <v>0</v>
      </c>
    </row>
    <row r="178" spans="2:3" hidden="1" x14ac:dyDescent="0.2">
      <c r="B178" s="112">
        <f t="shared" si="0"/>
        <v>2055</v>
      </c>
      <c r="C178" s="113">
        <f>[3]С2.5!$AN$11</f>
        <v>0</v>
      </c>
    </row>
    <row r="179" spans="2:3" hidden="1" x14ac:dyDescent="0.2">
      <c r="B179" s="112">
        <f t="shared" si="0"/>
        <v>2056</v>
      </c>
      <c r="C179" s="113">
        <f>[3]С2.5!$AO$11</f>
        <v>0</v>
      </c>
    </row>
    <row r="180" spans="2:3" hidden="1" x14ac:dyDescent="0.2">
      <c r="B180" s="112">
        <f t="shared" si="0"/>
        <v>2057</v>
      </c>
      <c r="C180" s="113">
        <f>[3]С2.5!$AP$11</f>
        <v>0</v>
      </c>
    </row>
    <row r="181" spans="2:3" hidden="1" x14ac:dyDescent="0.2">
      <c r="B181" s="112">
        <f t="shared" si="0"/>
        <v>2058</v>
      </c>
      <c r="C181" s="113">
        <f>[3]С2.5!$AQ$11</f>
        <v>0</v>
      </c>
    </row>
    <row r="182" spans="2:3" hidden="1" x14ac:dyDescent="0.2">
      <c r="B182" s="112">
        <f t="shared" si="0"/>
        <v>2059</v>
      </c>
      <c r="C182" s="113">
        <f>[3]С2.5!$AR$11</f>
        <v>0</v>
      </c>
    </row>
    <row r="183" spans="2:3" hidden="1" x14ac:dyDescent="0.2">
      <c r="B183" s="112">
        <f t="shared" si="0"/>
        <v>2060</v>
      </c>
      <c r="C183" s="113">
        <f>[3]С2.5!$AS$11</f>
        <v>0</v>
      </c>
    </row>
    <row r="184" spans="2:3" hidden="1" x14ac:dyDescent="0.2">
      <c r="B184" s="112">
        <f t="shared" si="0"/>
        <v>2061</v>
      </c>
      <c r="C184" s="113">
        <f>[3]С2.5!$AT$11</f>
        <v>0</v>
      </c>
    </row>
    <row r="185" spans="2:3" hidden="1" x14ac:dyDescent="0.2">
      <c r="B185" s="112">
        <f t="shared" si="0"/>
        <v>2062</v>
      </c>
      <c r="C185" s="113">
        <f>[3]С2.5!$AU$11</f>
        <v>0</v>
      </c>
    </row>
    <row r="186" spans="2:3" hidden="1" x14ac:dyDescent="0.2">
      <c r="B186" s="112">
        <f t="shared" si="0"/>
        <v>2063</v>
      </c>
      <c r="C186" s="113">
        <f>[3]С2.5!$AV$11</f>
        <v>0</v>
      </c>
    </row>
    <row r="187" spans="2:3" hidden="1" x14ac:dyDescent="0.2">
      <c r="B187" s="112">
        <f t="shared" si="0"/>
        <v>2064</v>
      </c>
      <c r="C187" s="113">
        <f>[3]С2.5!$AW$11</f>
        <v>0</v>
      </c>
    </row>
    <row r="188" spans="2:3" hidden="1" x14ac:dyDescent="0.2">
      <c r="B188" s="112">
        <f t="shared" si="0"/>
        <v>2065</v>
      </c>
      <c r="C188" s="113">
        <f>[3]С2.5!$AX$11</f>
        <v>0</v>
      </c>
    </row>
    <row r="189" spans="2:3" hidden="1" x14ac:dyDescent="0.2">
      <c r="B189" s="112">
        <f t="shared" si="0"/>
        <v>2066</v>
      </c>
      <c r="C189" s="113">
        <f>[3]С2.5!$AY$11</f>
        <v>0</v>
      </c>
    </row>
    <row r="190" spans="2:3" hidden="1" x14ac:dyDescent="0.2">
      <c r="B190" s="112">
        <f t="shared" si="0"/>
        <v>2067</v>
      </c>
      <c r="C190" s="113">
        <f>[3]С2.5!$AZ$11</f>
        <v>0</v>
      </c>
    </row>
    <row r="191" spans="2:3" hidden="1" x14ac:dyDescent="0.2">
      <c r="B191" s="112">
        <f t="shared" si="0"/>
        <v>2068</v>
      </c>
      <c r="C191" s="113">
        <f>[3]С2.5!$BA$11</f>
        <v>0</v>
      </c>
    </row>
    <row r="192" spans="2:3" hidden="1" x14ac:dyDescent="0.2">
      <c r="B192" s="112">
        <f t="shared" si="0"/>
        <v>2069</v>
      </c>
      <c r="C192" s="113">
        <f>[3]С2.5!$BB$11</f>
        <v>0</v>
      </c>
    </row>
    <row r="193" spans="2:3" hidden="1" x14ac:dyDescent="0.2">
      <c r="B193" s="112">
        <f t="shared" si="0"/>
        <v>2070</v>
      </c>
      <c r="C193" s="113">
        <f>[3]С2.5!$BC$11</f>
        <v>0</v>
      </c>
    </row>
    <row r="194" spans="2:3" hidden="1" x14ac:dyDescent="0.2">
      <c r="B194" s="112">
        <f t="shared" si="0"/>
        <v>2071</v>
      </c>
      <c r="C194" s="113">
        <f>[3]С2.5!$BD$11</f>
        <v>0</v>
      </c>
    </row>
    <row r="195" spans="2:3" hidden="1" x14ac:dyDescent="0.2">
      <c r="B195" s="112">
        <f t="shared" si="0"/>
        <v>2072</v>
      </c>
      <c r="C195" s="113">
        <f>[3]С2.5!$BE$11</f>
        <v>0</v>
      </c>
    </row>
    <row r="196" spans="2:3" hidden="1" x14ac:dyDescent="0.2">
      <c r="B196" s="112">
        <f t="shared" si="0"/>
        <v>2073</v>
      </c>
      <c r="C196" s="113">
        <f>[3]С2.5!$BF$11</f>
        <v>0</v>
      </c>
    </row>
    <row r="197" spans="2:3" hidden="1" x14ac:dyDescent="0.2">
      <c r="B197" s="112">
        <f t="shared" si="0"/>
        <v>2074</v>
      </c>
      <c r="C197" s="113">
        <f>[3]С2.5!$BG$11</f>
        <v>0</v>
      </c>
    </row>
    <row r="198" spans="2:3" hidden="1" x14ac:dyDescent="0.2">
      <c r="B198" s="112">
        <f t="shared" si="0"/>
        <v>2075</v>
      </c>
      <c r="C198" s="113">
        <f>[3]С2.5!$BH$11</f>
        <v>0</v>
      </c>
    </row>
    <row r="199" spans="2:3" hidden="1" x14ac:dyDescent="0.2">
      <c r="B199" s="112">
        <f t="shared" si="0"/>
        <v>2076</v>
      </c>
      <c r="C199" s="113">
        <f>[3]С2.5!$BI$11</f>
        <v>0</v>
      </c>
    </row>
    <row r="200" spans="2:3" hidden="1" x14ac:dyDescent="0.2">
      <c r="B200" s="112">
        <f t="shared" si="0"/>
        <v>2077</v>
      </c>
      <c r="C200" s="113">
        <f>[3]С2.5!$BJ$11</f>
        <v>0</v>
      </c>
    </row>
    <row r="201" spans="2:3" hidden="1" x14ac:dyDescent="0.2">
      <c r="B201" s="112">
        <f t="shared" si="0"/>
        <v>2078</v>
      </c>
      <c r="C201" s="113">
        <f>[3]С2.5!$BK$11</f>
        <v>0</v>
      </c>
    </row>
    <row r="202" spans="2:3" hidden="1" x14ac:dyDescent="0.2">
      <c r="B202" s="112">
        <f t="shared" si="0"/>
        <v>2079</v>
      </c>
      <c r="C202" s="113">
        <f>[3]С2.5!$BL$11</f>
        <v>0</v>
      </c>
    </row>
    <row r="203" spans="2:3" hidden="1" x14ac:dyDescent="0.2">
      <c r="B203" s="112">
        <f t="shared" si="0"/>
        <v>2080</v>
      </c>
      <c r="C203" s="113">
        <f>[3]С2.5!$BM$11</f>
        <v>0</v>
      </c>
    </row>
    <row r="204" spans="2:3" hidden="1" x14ac:dyDescent="0.2">
      <c r="B204" s="112">
        <f t="shared" si="0"/>
        <v>2081</v>
      </c>
      <c r="C204" s="113">
        <f>[3]С2.5!$BN$11</f>
        <v>0</v>
      </c>
    </row>
    <row r="205" spans="2:3" hidden="1" x14ac:dyDescent="0.2">
      <c r="B205" s="112">
        <f t="shared" si="0"/>
        <v>2082</v>
      </c>
      <c r="C205" s="113">
        <f>[3]С2.5!$BO$11</f>
        <v>0</v>
      </c>
    </row>
    <row r="206" spans="2:3" hidden="1" x14ac:dyDescent="0.2">
      <c r="B206" s="112">
        <f t="shared" si="0"/>
        <v>2083</v>
      </c>
      <c r="C206" s="113">
        <f>[3]С2.5!$BP$11</f>
        <v>0</v>
      </c>
    </row>
    <row r="207" spans="2:3" hidden="1" x14ac:dyDescent="0.2">
      <c r="B207" s="112">
        <f t="shared" si="0"/>
        <v>2084</v>
      </c>
      <c r="C207" s="113">
        <f>[3]С2.5!$BQ$11</f>
        <v>0</v>
      </c>
    </row>
    <row r="208" spans="2:3" hidden="1" x14ac:dyDescent="0.2">
      <c r="B208" s="112">
        <f t="shared" si="0"/>
        <v>2085</v>
      </c>
      <c r="C208" s="113">
        <f>[3]С2.5!$BR$11</f>
        <v>0</v>
      </c>
    </row>
    <row r="209" spans="2:3" hidden="1" x14ac:dyDescent="0.2">
      <c r="B209" s="112">
        <f t="shared" ref="B209:B223" si="1">B208+1</f>
        <v>2086</v>
      </c>
      <c r="C209" s="113">
        <f>[3]С2.5!$BS$11</f>
        <v>0</v>
      </c>
    </row>
    <row r="210" spans="2:3" hidden="1" x14ac:dyDescent="0.2">
      <c r="B210" s="112">
        <f t="shared" si="1"/>
        <v>2087</v>
      </c>
      <c r="C210" s="113">
        <f>[3]С2.5!$BT$11</f>
        <v>0</v>
      </c>
    </row>
    <row r="211" spans="2:3" hidden="1" x14ac:dyDescent="0.2">
      <c r="B211" s="112">
        <f t="shared" si="1"/>
        <v>2088</v>
      </c>
      <c r="C211" s="113">
        <f>[3]С2.5!$BU$11</f>
        <v>0</v>
      </c>
    </row>
    <row r="212" spans="2:3" hidden="1" x14ac:dyDescent="0.2">
      <c r="B212" s="112">
        <f t="shared" si="1"/>
        <v>2089</v>
      </c>
      <c r="C212" s="113">
        <f>[3]С2.5!$BV$11</f>
        <v>0</v>
      </c>
    </row>
    <row r="213" spans="2:3" hidden="1" x14ac:dyDescent="0.2">
      <c r="B213" s="112">
        <f t="shared" si="1"/>
        <v>2090</v>
      </c>
      <c r="C213" s="113">
        <f>[3]С2.5!$BW$11</f>
        <v>0</v>
      </c>
    </row>
    <row r="214" spans="2:3" hidden="1" x14ac:dyDescent="0.2">
      <c r="B214" s="112">
        <f t="shared" si="1"/>
        <v>2091</v>
      </c>
      <c r="C214" s="113">
        <f>[3]С2.5!$BX$11</f>
        <v>0</v>
      </c>
    </row>
    <row r="215" spans="2:3" hidden="1" x14ac:dyDescent="0.2">
      <c r="B215" s="112">
        <f t="shared" si="1"/>
        <v>2092</v>
      </c>
      <c r="C215" s="113">
        <f>[3]С2.5!$BY$11</f>
        <v>0</v>
      </c>
    </row>
    <row r="216" spans="2:3" hidden="1" x14ac:dyDescent="0.2">
      <c r="B216" s="112">
        <f t="shared" si="1"/>
        <v>2093</v>
      </c>
      <c r="C216" s="113">
        <f>[3]С2.5!$BZ$11</f>
        <v>0</v>
      </c>
    </row>
    <row r="217" spans="2:3" hidden="1" x14ac:dyDescent="0.2">
      <c r="B217" s="112">
        <f t="shared" si="1"/>
        <v>2094</v>
      </c>
      <c r="C217" s="113">
        <f>[3]С2.5!$CA$11</f>
        <v>0</v>
      </c>
    </row>
    <row r="218" spans="2:3" hidden="1" x14ac:dyDescent="0.2">
      <c r="B218" s="112">
        <f t="shared" si="1"/>
        <v>2095</v>
      </c>
      <c r="C218" s="113">
        <f>[3]С2.5!$CB$11</f>
        <v>0</v>
      </c>
    </row>
    <row r="219" spans="2:3" hidden="1" x14ac:dyDescent="0.2">
      <c r="B219" s="112">
        <f t="shared" si="1"/>
        <v>2096</v>
      </c>
      <c r="C219" s="113">
        <f>[3]С2.5!$CC$11</f>
        <v>0</v>
      </c>
    </row>
    <row r="220" spans="2:3" hidden="1" x14ac:dyDescent="0.2">
      <c r="B220" s="112">
        <f t="shared" si="1"/>
        <v>2097</v>
      </c>
      <c r="C220" s="113">
        <f>[3]С2.5!$CD$11</f>
        <v>0</v>
      </c>
    </row>
    <row r="221" spans="2:3" hidden="1" x14ac:dyDescent="0.2">
      <c r="B221" s="112">
        <f t="shared" si="1"/>
        <v>2098</v>
      </c>
      <c r="C221" s="113">
        <f>[3]С2.5!$CE$11</f>
        <v>0</v>
      </c>
    </row>
    <row r="222" spans="2:3" hidden="1" x14ac:dyDescent="0.2">
      <c r="B222" s="112">
        <f t="shared" si="1"/>
        <v>2099</v>
      </c>
      <c r="C222" s="113">
        <f>[3]С2.5!$CF$11</f>
        <v>0</v>
      </c>
    </row>
    <row r="223" spans="2:3" ht="13.5" hidden="1" thickBot="1" x14ac:dyDescent="0.25">
      <c r="B223" s="114">
        <f t="shared" si="1"/>
        <v>2100</v>
      </c>
      <c r="C223" s="115">
        <f>[3]С2.5!$CG$11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defaultSize="0" print="0" autoFill="0" autoPict="0" macro="[3]!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[4]И1!D13</f>
        <v>Субъект Российской Федерации</v>
      </c>
      <c r="C4" s="10" t="str">
        <f>[4]И1!E13</f>
        <v>Новосибирская область</v>
      </c>
    </row>
    <row r="5" spans="1:3" ht="38.25" x14ac:dyDescent="0.2">
      <c r="A5" s="8"/>
      <c r="B5" s="9" t="str">
        <f>[4]И1!D14</f>
        <v>Тип муниципального образования (выберите из списка)</v>
      </c>
      <c r="C5" s="10" t="str">
        <f>[4]И1!E14</f>
        <v>село Зубково, Краснозерский муниципальный район</v>
      </c>
    </row>
    <row r="6" spans="1:3" x14ac:dyDescent="0.2">
      <c r="A6" s="8"/>
      <c r="B6" s="9" t="str">
        <f>IF([4]И1!E15="","",[4]И1!D15)</f>
        <v/>
      </c>
      <c r="C6" s="10" t="str">
        <f>IF([4]И1!E15="","",[4]И1!E15)</f>
        <v/>
      </c>
    </row>
    <row r="7" spans="1:3" x14ac:dyDescent="0.2">
      <c r="A7" s="8"/>
      <c r="B7" s="9" t="str">
        <f>[4]И1!D16</f>
        <v>Код ОКТМО</v>
      </c>
      <c r="C7" s="11" t="str">
        <f>[4]И1!E16</f>
        <v xml:space="preserve"> (50627407101)</v>
      </c>
    </row>
    <row r="8" spans="1:3" x14ac:dyDescent="0.2">
      <c r="A8" s="8"/>
      <c r="B8" s="12" t="str">
        <f>[4]И1!D17</f>
        <v>Система теплоснабжения</v>
      </c>
      <c r="C8" s="13">
        <f>[4]И1!E17</f>
        <v>0</v>
      </c>
    </row>
    <row r="9" spans="1:3" x14ac:dyDescent="0.2">
      <c r="A9" s="8"/>
      <c r="B9" s="9" t="str">
        <f>[4]И1!D8</f>
        <v>Период регулирования (i)-й</v>
      </c>
      <c r="C9" s="14">
        <f>[4]И1!E8</f>
        <v>2023</v>
      </c>
    </row>
    <row r="10" spans="1:3" x14ac:dyDescent="0.2">
      <c r="A10" s="8"/>
      <c r="B10" s="9" t="str">
        <f>[4]И1!D9</f>
        <v>Период регулирования (i-1)-й</v>
      </c>
      <c r="C10" s="14">
        <f>[4]И1!E9</f>
        <v>2022</v>
      </c>
    </row>
    <row r="11" spans="1:3" x14ac:dyDescent="0.2">
      <c r="A11" s="8"/>
      <c r="B11" s="9" t="str">
        <f>[4]И1!D10</f>
        <v>Период регулирования (i-2)-й</v>
      </c>
      <c r="C11" s="14">
        <f>[4]И1!E10</f>
        <v>2021</v>
      </c>
    </row>
    <row r="12" spans="1:3" x14ac:dyDescent="0.2">
      <c r="A12" s="8"/>
      <c r="B12" s="9" t="str">
        <f>[4]И1!D11</f>
        <v>Базовый год (б)</v>
      </c>
      <c r="C12" s="14">
        <f>[4]И1!E11</f>
        <v>2019</v>
      </c>
    </row>
    <row r="13" spans="1:3" ht="38.25" x14ac:dyDescent="0.2">
      <c r="A13" s="8"/>
      <c r="B13" s="9" t="str">
        <f>[4]И1!D18</f>
        <v>Вид топлива, использование которого преобладает в системе теплоснабжения</v>
      </c>
      <c r="C13" s="15" t="str">
        <f>[4]С1.1!E13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3956.924948427687</v>
      </c>
    </row>
    <row r="18" spans="1:3" ht="42.75" x14ac:dyDescent="0.2">
      <c r="A18" s="22" t="s">
        <v>8</v>
      </c>
      <c r="B18" s="25" t="s">
        <v>9</v>
      </c>
      <c r="C18" s="26">
        <f>[4]С1!F12</f>
        <v>879.31459731272832</v>
      </c>
    </row>
    <row r="19" spans="1:3" ht="42.75" x14ac:dyDescent="0.2">
      <c r="A19" s="22" t="s">
        <v>10</v>
      </c>
      <c r="B19" s="25" t="s">
        <v>11</v>
      </c>
      <c r="C19" s="26">
        <f>[4]С2!F12</f>
        <v>2106.0579468653982</v>
      </c>
    </row>
    <row r="20" spans="1:3" ht="30" x14ac:dyDescent="0.2">
      <c r="A20" s="22" t="s">
        <v>12</v>
      </c>
      <c r="B20" s="25" t="s">
        <v>13</v>
      </c>
      <c r="C20" s="26">
        <f>[4]С3!F12</f>
        <v>503.83473408478085</v>
      </c>
    </row>
    <row r="21" spans="1:3" ht="42.75" x14ac:dyDescent="0.2">
      <c r="A21" s="22" t="s">
        <v>14</v>
      </c>
      <c r="B21" s="25" t="s">
        <v>15</v>
      </c>
      <c r="C21" s="26">
        <f>[4]С4!F12</f>
        <v>390.13090647011893</v>
      </c>
    </row>
    <row r="22" spans="1:3" ht="30" x14ac:dyDescent="0.2">
      <c r="A22" s="22" t="s">
        <v>16</v>
      </c>
      <c r="B22" s="25" t="s">
        <v>17</v>
      </c>
      <c r="C22" s="26">
        <f>[4]С5!F12</f>
        <v>77.586763694660533</v>
      </c>
    </row>
    <row r="23" spans="1:3" ht="43.5" thickBot="1" x14ac:dyDescent="0.25">
      <c r="A23" s="27" t="s">
        <v>18</v>
      </c>
      <c r="B23" s="106" t="s">
        <v>19</v>
      </c>
      <c r="C23" s="29" t="str">
        <f>[4]С6!F12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[4]С1.1!E16</f>
        <v>5100</v>
      </c>
    </row>
    <row r="29" spans="1:3" ht="42.75" x14ac:dyDescent="0.2">
      <c r="A29" s="22" t="s">
        <v>10</v>
      </c>
      <c r="B29" s="34" t="s">
        <v>22</v>
      </c>
      <c r="C29" s="35">
        <f>[4]С1.1!E27</f>
        <v>2364.33</v>
      </c>
    </row>
    <row r="30" spans="1:3" ht="17.25" x14ac:dyDescent="0.2">
      <c r="A30" s="22" t="s">
        <v>12</v>
      </c>
      <c r="B30" s="34" t="s">
        <v>23</v>
      </c>
      <c r="C30" s="36">
        <f>[4]С1.1!E19</f>
        <v>0.59499999999999997</v>
      </c>
    </row>
    <row r="31" spans="1:3" ht="17.25" x14ac:dyDescent="0.2">
      <c r="A31" s="22" t="s">
        <v>14</v>
      </c>
      <c r="B31" s="34" t="s">
        <v>24</v>
      </c>
      <c r="C31" s="36">
        <f>[4]С1.1!E20</f>
        <v>-0.113</v>
      </c>
    </row>
    <row r="32" spans="1:3" ht="30" x14ac:dyDescent="0.2">
      <c r="A32" s="22" t="s">
        <v>16</v>
      </c>
      <c r="B32" s="37" t="s">
        <v>25</v>
      </c>
      <c r="C32" s="38">
        <f>[4]С1!F13</f>
        <v>176.4</v>
      </c>
    </row>
    <row r="33" spans="1:3" x14ac:dyDescent="0.2">
      <c r="A33" s="22" t="s">
        <v>18</v>
      </c>
      <c r="B33" s="37" t="s">
        <v>26</v>
      </c>
      <c r="C33" s="39">
        <f>[4]С1!F16</f>
        <v>7000</v>
      </c>
    </row>
    <row r="34" spans="1:3" ht="14.25" x14ac:dyDescent="0.2">
      <c r="A34" s="22" t="s">
        <v>27</v>
      </c>
      <c r="B34" s="40" t="s">
        <v>28</v>
      </c>
      <c r="C34" s="41">
        <f>[4]С1!F17</f>
        <v>0.72857142857142854</v>
      </c>
    </row>
    <row r="35" spans="1:3" ht="15.75" x14ac:dyDescent="0.2">
      <c r="A35" s="42" t="s">
        <v>29</v>
      </c>
      <c r="B35" s="43" t="s">
        <v>30</v>
      </c>
      <c r="C35" s="41">
        <f>[4]С1!F20</f>
        <v>21.588411179999994</v>
      </c>
    </row>
    <row r="36" spans="1:3" ht="15.75" x14ac:dyDescent="0.2">
      <c r="A36" s="42" t="s">
        <v>31</v>
      </c>
      <c r="B36" s="44" t="s">
        <v>32</v>
      </c>
      <c r="C36" s="41">
        <f>[4]С1!F21</f>
        <v>20.818139999999996</v>
      </c>
    </row>
    <row r="37" spans="1:3" ht="14.25" x14ac:dyDescent="0.2">
      <c r="A37" s="42" t="s">
        <v>33</v>
      </c>
      <c r="B37" s="45" t="s">
        <v>34</v>
      </c>
      <c r="C37" s="41">
        <f>[4]С1!F22</f>
        <v>1.0369999999999999</v>
      </c>
    </row>
    <row r="38" spans="1:3" ht="53.25" thickBot="1" x14ac:dyDescent="0.25">
      <c r="A38" s="27" t="s">
        <v>35</v>
      </c>
      <c r="B38" s="46" t="s">
        <v>36</v>
      </c>
      <c r="C38" s="47">
        <f>[4]С1!F23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[4]С2.1!E12</f>
        <v>V</v>
      </c>
    </row>
    <row r="42" spans="1:3" ht="25.5" x14ac:dyDescent="0.2">
      <c r="A42" s="22" t="s">
        <v>41</v>
      </c>
      <c r="B42" s="34" t="s">
        <v>42</v>
      </c>
      <c r="C42" s="52" t="str">
        <f>[4]С2.1!E13</f>
        <v>6 и менее баллов</v>
      </c>
    </row>
    <row r="43" spans="1:3" ht="25.5" x14ac:dyDescent="0.2">
      <c r="A43" s="22" t="s">
        <v>43</v>
      </c>
      <c r="B43" s="34" t="s">
        <v>44</v>
      </c>
      <c r="C43" s="52" t="str">
        <f>[4]С2.1!E14</f>
        <v>от 200 до 500</v>
      </c>
    </row>
    <row r="44" spans="1:3" ht="25.5" x14ac:dyDescent="0.2">
      <c r="A44" s="22" t="s">
        <v>45</v>
      </c>
      <c r="B44" s="34" t="s">
        <v>46</v>
      </c>
      <c r="C44" s="53" t="str">
        <f>[4]С2.1!E15</f>
        <v>нет</v>
      </c>
    </row>
    <row r="45" spans="1:3" ht="30" x14ac:dyDescent="0.2">
      <c r="A45" s="22" t="s">
        <v>47</v>
      </c>
      <c r="B45" s="34" t="s">
        <v>48</v>
      </c>
      <c r="C45" s="35">
        <f>[4]С2!F18</f>
        <v>32402.627334033532</v>
      </c>
    </row>
    <row r="46" spans="1:3" ht="30" x14ac:dyDescent="0.2">
      <c r="A46" s="22" t="s">
        <v>49</v>
      </c>
      <c r="B46" s="54" t="s">
        <v>50</v>
      </c>
      <c r="C46" s="35">
        <f>IF([4]С2!F19&gt;0,[4]С2!F19,[4]С2!F20)</f>
        <v>23441.524932855718</v>
      </c>
    </row>
    <row r="47" spans="1:3" ht="25.5" x14ac:dyDescent="0.2">
      <c r="A47" s="22" t="s">
        <v>51</v>
      </c>
      <c r="B47" s="55" t="s">
        <v>52</v>
      </c>
      <c r="C47" s="35">
        <f>[4]С2.1!E19</f>
        <v>-37</v>
      </c>
    </row>
    <row r="48" spans="1:3" ht="25.5" x14ac:dyDescent="0.2">
      <c r="A48" s="22" t="s">
        <v>53</v>
      </c>
      <c r="B48" s="55" t="s">
        <v>54</v>
      </c>
      <c r="C48" s="35" t="str">
        <f>[4]С2.1!E22</f>
        <v>нет</v>
      </c>
    </row>
    <row r="49" spans="1:3" ht="38.25" x14ac:dyDescent="0.2">
      <c r="A49" s="22" t="s">
        <v>55</v>
      </c>
      <c r="B49" s="56" t="s">
        <v>56</v>
      </c>
      <c r="C49" s="35">
        <f>[4]С2.2!E10</f>
        <v>1287</v>
      </c>
    </row>
    <row r="50" spans="1:3" ht="25.5" x14ac:dyDescent="0.2">
      <c r="A50" s="22" t="s">
        <v>57</v>
      </c>
      <c r="B50" s="57" t="s">
        <v>58</v>
      </c>
      <c r="C50" s="35">
        <f>[4]С2.2!E12</f>
        <v>5.97</v>
      </c>
    </row>
    <row r="51" spans="1:3" ht="52.5" x14ac:dyDescent="0.2">
      <c r="A51" s="22" t="s">
        <v>59</v>
      </c>
      <c r="B51" s="58" t="s">
        <v>60</v>
      </c>
      <c r="C51" s="35">
        <f>[4]С2.2!E13</f>
        <v>1</v>
      </c>
    </row>
    <row r="52" spans="1:3" ht="27.75" x14ac:dyDescent="0.2">
      <c r="A52" s="22" t="s">
        <v>61</v>
      </c>
      <c r="B52" s="57" t="s">
        <v>62</v>
      </c>
      <c r="C52" s="35">
        <f>[4]С2.2!E14</f>
        <v>12104</v>
      </c>
    </row>
    <row r="53" spans="1:3" ht="25.5" x14ac:dyDescent="0.2">
      <c r="A53" s="22" t="s">
        <v>63</v>
      </c>
      <c r="B53" s="58" t="s">
        <v>64</v>
      </c>
      <c r="C53" s="36">
        <f>[4]С2.2!E15</f>
        <v>4.8000000000000001E-2</v>
      </c>
    </row>
    <row r="54" spans="1:3" x14ac:dyDescent="0.2">
      <c r="A54" s="22" t="s">
        <v>65</v>
      </c>
      <c r="B54" s="58" t="s">
        <v>66</v>
      </c>
      <c r="C54" s="35">
        <f>[4]С2.2!E16</f>
        <v>1</v>
      </c>
    </row>
    <row r="55" spans="1:3" ht="15.75" x14ac:dyDescent="0.2">
      <c r="A55" s="22" t="s">
        <v>67</v>
      </c>
      <c r="B55" s="59" t="s">
        <v>68</v>
      </c>
      <c r="C55" s="35">
        <f>[4]С2!F21</f>
        <v>1</v>
      </c>
    </row>
    <row r="56" spans="1:3" ht="30" x14ac:dyDescent="0.2">
      <c r="A56" s="60" t="s">
        <v>69</v>
      </c>
      <c r="B56" s="34" t="s">
        <v>70</v>
      </c>
      <c r="C56" s="35">
        <f>[4]С2!F13</f>
        <v>169640.22915965237</v>
      </c>
    </row>
    <row r="57" spans="1:3" ht="30" x14ac:dyDescent="0.2">
      <c r="A57" s="60" t="s">
        <v>71</v>
      </c>
      <c r="B57" s="59" t="s">
        <v>72</v>
      </c>
      <c r="C57" s="35">
        <f>[4]С2!F14</f>
        <v>113455</v>
      </c>
    </row>
    <row r="58" spans="1:3" ht="15.75" x14ac:dyDescent="0.2">
      <c r="A58" s="60" t="s">
        <v>73</v>
      </c>
      <c r="B58" s="61" t="s">
        <v>74</v>
      </c>
      <c r="C58" s="41">
        <f>[4]С2!F15</f>
        <v>1.071</v>
      </c>
    </row>
    <row r="59" spans="1:3" ht="15.75" x14ac:dyDescent="0.2">
      <c r="A59" s="60" t="s">
        <v>75</v>
      </c>
      <c r="B59" s="61" t="s">
        <v>76</v>
      </c>
      <c r="C59" s="41">
        <f>[4]С2!F16</f>
        <v>1</v>
      </c>
    </row>
    <row r="60" spans="1:3" ht="17.25" x14ac:dyDescent="0.2">
      <c r="A60" s="60" t="s">
        <v>77</v>
      </c>
      <c r="B60" s="59" t="s">
        <v>78</v>
      </c>
      <c r="C60" s="35">
        <f>[4]С2!F17</f>
        <v>1.01</v>
      </c>
    </row>
    <row r="61" spans="1:3" s="64" customFormat="1" ht="14.25" x14ac:dyDescent="0.2">
      <c r="A61" s="60" t="s">
        <v>79</v>
      </c>
      <c r="B61" s="62" t="s">
        <v>80</v>
      </c>
      <c r="C61" s="63">
        <f>[4]С2!F33</f>
        <v>10</v>
      </c>
    </row>
    <row r="62" spans="1:3" ht="30" x14ac:dyDescent="0.2">
      <c r="A62" s="60" t="s">
        <v>81</v>
      </c>
      <c r="B62" s="65" t="s">
        <v>82</v>
      </c>
      <c r="C62" s="35">
        <f>[4]С2!F26</f>
        <v>1123.6482814273334</v>
      </c>
    </row>
    <row r="63" spans="1:3" ht="17.25" x14ac:dyDescent="0.2">
      <c r="A63" s="60" t="s">
        <v>83</v>
      </c>
      <c r="B63" s="54" t="s">
        <v>84</v>
      </c>
      <c r="C63" s="35">
        <f>[4]С2!F27</f>
        <v>0.19354712999999998</v>
      </c>
    </row>
    <row r="64" spans="1:3" ht="17.25" x14ac:dyDescent="0.2">
      <c r="A64" s="60" t="s">
        <v>85</v>
      </c>
      <c r="B64" s="59" t="s">
        <v>86</v>
      </c>
      <c r="C64" s="63">
        <f>[4]С2!F28</f>
        <v>4200</v>
      </c>
    </row>
    <row r="65" spans="1:3" ht="42.75" x14ac:dyDescent="0.2">
      <c r="A65" s="60" t="s">
        <v>87</v>
      </c>
      <c r="B65" s="34" t="s">
        <v>88</v>
      </c>
      <c r="C65" s="35">
        <f>[4]С2!F22</f>
        <v>35717.748653137714</v>
      </c>
    </row>
    <row r="66" spans="1:3" ht="30" x14ac:dyDescent="0.2">
      <c r="A66" s="60" t="s">
        <v>89</v>
      </c>
      <c r="B66" s="61" t="s">
        <v>90</v>
      </c>
      <c r="C66" s="35">
        <f>[4]С2!F23</f>
        <v>1990</v>
      </c>
    </row>
    <row r="67" spans="1:3" ht="30" x14ac:dyDescent="0.2">
      <c r="A67" s="60" t="s">
        <v>91</v>
      </c>
      <c r="B67" s="54" t="s">
        <v>92</v>
      </c>
      <c r="C67" s="35">
        <f>[4]С2.1!E27</f>
        <v>14307.876789999998</v>
      </c>
    </row>
    <row r="68" spans="1:3" ht="38.25" x14ac:dyDescent="0.2">
      <c r="A68" s="60" t="s">
        <v>93</v>
      </c>
      <c r="B68" s="66" t="s">
        <v>94</v>
      </c>
      <c r="C68" s="53">
        <f>[4]С2.3!E21</f>
        <v>0</v>
      </c>
    </row>
    <row r="69" spans="1:3" ht="25.5" x14ac:dyDescent="0.2">
      <c r="A69" s="60" t="s">
        <v>95</v>
      </c>
      <c r="B69" s="67" t="s">
        <v>96</v>
      </c>
      <c r="C69" s="68">
        <f>[4]С2.3!E11</f>
        <v>9.89</v>
      </c>
    </row>
    <row r="70" spans="1:3" ht="25.5" x14ac:dyDescent="0.2">
      <c r="A70" s="60" t="s">
        <v>97</v>
      </c>
      <c r="B70" s="67" t="s">
        <v>98</v>
      </c>
      <c r="C70" s="63">
        <f>[4]С2.3!E13</f>
        <v>300</v>
      </c>
    </row>
    <row r="71" spans="1:3" ht="25.5" x14ac:dyDescent="0.2">
      <c r="A71" s="60" t="s">
        <v>99</v>
      </c>
      <c r="B71" s="66" t="s">
        <v>100</v>
      </c>
      <c r="C71" s="69">
        <f>IF([4]С2.3!E22&gt;0,[4]С2.3!E22,[4]С2.3!E14)</f>
        <v>61211</v>
      </c>
    </row>
    <row r="72" spans="1:3" ht="38.25" x14ac:dyDescent="0.2">
      <c r="A72" s="60" t="s">
        <v>101</v>
      </c>
      <c r="B72" s="66" t="s">
        <v>102</v>
      </c>
      <c r="C72" s="69">
        <f>IF([4]С2.3!E23&gt;0,[4]С2.3!E23,[4]С2.3!E15)</f>
        <v>45675</v>
      </c>
    </row>
    <row r="73" spans="1:3" ht="30" x14ac:dyDescent="0.2">
      <c r="A73" s="60" t="s">
        <v>103</v>
      </c>
      <c r="B73" s="54" t="s">
        <v>104</v>
      </c>
      <c r="C73" s="35">
        <f>[4]С2.1!E28</f>
        <v>9541.9567200000001</v>
      </c>
    </row>
    <row r="74" spans="1:3" ht="38.25" x14ac:dyDescent="0.2">
      <c r="A74" s="60" t="s">
        <v>105</v>
      </c>
      <c r="B74" s="66" t="s">
        <v>106</v>
      </c>
      <c r="C74" s="53">
        <f>[4]С2.3!E25</f>
        <v>0</v>
      </c>
    </row>
    <row r="75" spans="1:3" ht="25.5" x14ac:dyDescent="0.2">
      <c r="A75" s="60" t="s">
        <v>107</v>
      </c>
      <c r="B75" s="67" t="s">
        <v>108</v>
      </c>
      <c r="C75" s="68">
        <f>[4]С2.3!E12</f>
        <v>0.56000000000000005</v>
      </c>
    </row>
    <row r="76" spans="1:3" ht="25.5" x14ac:dyDescent="0.2">
      <c r="A76" s="60" t="s">
        <v>109</v>
      </c>
      <c r="B76" s="67" t="s">
        <v>98</v>
      </c>
      <c r="C76" s="63">
        <f>[4]С2.3!E13</f>
        <v>300</v>
      </c>
    </row>
    <row r="77" spans="1:3" ht="25.5" x14ac:dyDescent="0.2">
      <c r="A77" s="60" t="s">
        <v>110</v>
      </c>
      <c r="B77" s="70" t="s">
        <v>111</v>
      </c>
      <c r="C77" s="69">
        <f>IF([4]С2.3!E26&gt;0,[4]С2.3!E26,[4]С2.3!E16)</f>
        <v>65637</v>
      </c>
    </row>
    <row r="78" spans="1:3" ht="38.25" x14ac:dyDescent="0.2">
      <c r="A78" s="60" t="s">
        <v>112</v>
      </c>
      <c r="B78" s="70" t="s">
        <v>113</v>
      </c>
      <c r="C78" s="69">
        <f>IF([4]С2.3!E27&gt;0,[4]С2.3!E27,[4]С2.3!E17)</f>
        <v>31684</v>
      </c>
    </row>
    <row r="79" spans="1:3" ht="17.25" x14ac:dyDescent="0.2">
      <c r="A79" s="60" t="s">
        <v>114</v>
      </c>
      <c r="B79" s="34" t="s">
        <v>115</v>
      </c>
      <c r="C79" s="36">
        <f>[4]С2!F29</f>
        <v>0.128978033685065</v>
      </c>
    </row>
    <row r="80" spans="1:3" ht="30" x14ac:dyDescent="0.2">
      <c r="A80" s="60" t="s">
        <v>116</v>
      </c>
      <c r="B80" s="54" t="s">
        <v>117</v>
      </c>
      <c r="C80" s="71">
        <f>[4]С2!F30</f>
        <v>0.11668498168498169</v>
      </c>
    </row>
    <row r="81" spans="1:3" ht="17.25" x14ac:dyDescent="0.2">
      <c r="A81" s="60" t="s">
        <v>118</v>
      </c>
      <c r="B81" s="72" t="s">
        <v>119</v>
      </c>
      <c r="C81" s="36">
        <f>[4]С2!F31</f>
        <v>0.13880000000000001</v>
      </c>
    </row>
    <row r="82" spans="1:3" s="64" customFormat="1" ht="18" thickBot="1" x14ac:dyDescent="0.25">
      <c r="A82" s="73" t="s">
        <v>120</v>
      </c>
      <c r="B82" s="74" t="s">
        <v>121</v>
      </c>
      <c r="C82" s="75">
        <f>[4]С2!F32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[4]С3!F14</f>
        <v>6998.3755440420418</v>
      </c>
    </row>
    <row r="86" spans="1:3" s="64" customFormat="1" ht="42.75" x14ac:dyDescent="0.2">
      <c r="A86" s="78" t="s">
        <v>126</v>
      </c>
      <c r="B86" s="54" t="s">
        <v>127</v>
      </c>
      <c r="C86" s="79">
        <f>[4]С3!F15</f>
        <v>0.2</v>
      </c>
    </row>
    <row r="87" spans="1:3" s="64" customFormat="1" ht="14.25" x14ac:dyDescent="0.2">
      <c r="A87" s="78" t="s">
        <v>128</v>
      </c>
      <c r="B87" s="80" t="s">
        <v>129</v>
      </c>
      <c r="C87" s="63">
        <f>[4]С3!F18</f>
        <v>15</v>
      </c>
    </row>
    <row r="88" spans="1:3" s="64" customFormat="1" ht="17.25" x14ac:dyDescent="0.2">
      <c r="A88" s="78" t="s">
        <v>130</v>
      </c>
      <c r="B88" s="34" t="s">
        <v>131</v>
      </c>
      <c r="C88" s="35">
        <f>[4]С3!F19</f>
        <v>3487.1555421534131</v>
      </c>
    </row>
    <row r="89" spans="1:3" s="64" customFormat="1" ht="55.5" x14ac:dyDescent="0.2">
      <c r="A89" s="78" t="s">
        <v>132</v>
      </c>
      <c r="B89" s="54" t="s">
        <v>133</v>
      </c>
      <c r="C89" s="81">
        <f>[4]С3!F20</f>
        <v>2.1999999999999999E-2</v>
      </c>
    </row>
    <row r="90" spans="1:3" s="64" customFormat="1" ht="14.25" x14ac:dyDescent="0.2">
      <c r="A90" s="78" t="s">
        <v>134</v>
      </c>
      <c r="B90" s="59" t="s">
        <v>80</v>
      </c>
      <c r="C90" s="63">
        <f>[4]С3!F21</f>
        <v>10</v>
      </c>
    </row>
    <row r="91" spans="1:3" s="64" customFormat="1" ht="17.25" x14ac:dyDescent="0.2">
      <c r="A91" s="78" t="s">
        <v>135</v>
      </c>
      <c r="B91" s="34" t="s">
        <v>136</v>
      </c>
      <c r="C91" s="35">
        <f>[4]С3!F22</f>
        <v>3.370944844282</v>
      </c>
    </row>
    <row r="92" spans="1:3" s="64" customFormat="1" ht="55.5" x14ac:dyDescent="0.2">
      <c r="A92" s="78" t="s">
        <v>137</v>
      </c>
      <c r="B92" s="54" t="s">
        <v>138</v>
      </c>
      <c r="C92" s="81">
        <f>[4]С3!F23</f>
        <v>3.0000000000000001E-3</v>
      </c>
    </row>
    <row r="93" spans="1:3" s="64" customFormat="1" ht="27.75" thickBot="1" x14ac:dyDescent="0.25">
      <c r="A93" s="82" t="s">
        <v>139</v>
      </c>
      <c r="B93" s="83" t="s">
        <v>140</v>
      </c>
      <c r="C93" s="84">
        <f>[4]С3!F24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[4]С4!F16</f>
        <v>1652.5</v>
      </c>
    </row>
    <row r="97" spans="1:3" ht="30" x14ac:dyDescent="0.2">
      <c r="A97" s="60" t="s">
        <v>145</v>
      </c>
      <c r="B97" s="59" t="s">
        <v>146</v>
      </c>
      <c r="C97" s="35">
        <f>[4]С4!F17</f>
        <v>73547</v>
      </c>
    </row>
    <row r="98" spans="1:3" ht="17.25" x14ac:dyDescent="0.2">
      <c r="A98" s="60" t="s">
        <v>147</v>
      </c>
      <c r="B98" s="59" t="s">
        <v>148</v>
      </c>
      <c r="C98" s="41">
        <f>[4]С4!F18</f>
        <v>0.02</v>
      </c>
    </row>
    <row r="99" spans="1:3" ht="30" x14ac:dyDescent="0.2">
      <c r="A99" s="60" t="s">
        <v>149</v>
      </c>
      <c r="B99" s="59" t="s">
        <v>150</v>
      </c>
      <c r="C99" s="35">
        <f>[4]С4!F19</f>
        <v>12104</v>
      </c>
    </row>
    <row r="100" spans="1:3" ht="31.5" x14ac:dyDescent="0.2">
      <c r="A100" s="60" t="s">
        <v>151</v>
      </c>
      <c r="B100" s="59" t="s">
        <v>152</v>
      </c>
      <c r="C100" s="41">
        <f>[4]С4!F20</f>
        <v>1.4999999999999999E-2</v>
      </c>
    </row>
    <row r="101" spans="1:3" ht="30" x14ac:dyDescent="0.2">
      <c r="A101" s="60" t="s">
        <v>153</v>
      </c>
      <c r="B101" s="34" t="s">
        <v>154</v>
      </c>
      <c r="C101" s="35">
        <f>[4]С4!F21</f>
        <v>1933.1949342509995</v>
      </c>
    </row>
    <row r="102" spans="1:3" ht="24" customHeight="1" x14ac:dyDescent="0.2">
      <c r="A102" s="60" t="s">
        <v>155</v>
      </c>
      <c r="B102" s="54" t="s">
        <v>156</v>
      </c>
      <c r="C102" s="86">
        <f>IF([4]С4.2!F8="да",[4]С4.2!D21,[4]С4.2!D15)</f>
        <v>0</v>
      </c>
    </row>
    <row r="103" spans="1:3" ht="68.25" x14ac:dyDescent="0.2">
      <c r="A103" s="60" t="s">
        <v>157</v>
      </c>
      <c r="B103" s="54" t="s">
        <v>158</v>
      </c>
      <c r="C103" s="35">
        <f>[4]С4!F22</f>
        <v>3.6112641666666665</v>
      </c>
    </row>
    <row r="104" spans="1:3" ht="30" x14ac:dyDescent="0.2">
      <c r="A104" s="60" t="s">
        <v>159</v>
      </c>
      <c r="B104" s="59" t="s">
        <v>160</v>
      </c>
      <c r="C104" s="35">
        <f>[4]С4!F23</f>
        <v>180</v>
      </c>
    </row>
    <row r="105" spans="1:3" ht="14.25" x14ac:dyDescent="0.2">
      <c r="A105" s="60" t="s">
        <v>161</v>
      </c>
      <c r="B105" s="54" t="s">
        <v>162</v>
      </c>
      <c r="C105" s="35">
        <f>[4]С4!F24</f>
        <v>8497.1999999999989</v>
      </c>
    </row>
    <row r="106" spans="1:3" ht="14.25" x14ac:dyDescent="0.2">
      <c r="A106" s="60" t="s">
        <v>163</v>
      </c>
      <c r="B106" s="59" t="s">
        <v>164</v>
      </c>
      <c r="C106" s="41">
        <f>[4]С4!F25</f>
        <v>0.35</v>
      </c>
    </row>
    <row r="107" spans="1:3" ht="17.25" x14ac:dyDescent="0.2">
      <c r="A107" s="60" t="s">
        <v>165</v>
      </c>
      <c r="B107" s="34" t="s">
        <v>166</v>
      </c>
      <c r="C107" s="35">
        <f>[4]С4!F26</f>
        <v>69.838259999999991</v>
      </c>
    </row>
    <row r="108" spans="1:3" ht="25.5" x14ac:dyDescent="0.2">
      <c r="A108" s="60" t="s">
        <v>167</v>
      </c>
      <c r="B108" s="54" t="s">
        <v>94</v>
      </c>
      <c r="C108" s="86">
        <f>[4]С4.3!E16</f>
        <v>0</v>
      </c>
    </row>
    <row r="109" spans="1:3" ht="25.5" x14ac:dyDescent="0.2">
      <c r="A109" s="60" t="s">
        <v>168</v>
      </c>
      <c r="B109" s="54" t="s">
        <v>169</v>
      </c>
      <c r="C109" s="35">
        <f>[4]С4.3!E17</f>
        <v>18.54</v>
      </c>
    </row>
    <row r="110" spans="1:3" ht="38.25" x14ac:dyDescent="0.2">
      <c r="A110" s="60" t="s">
        <v>170</v>
      </c>
      <c r="B110" s="54" t="s">
        <v>106</v>
      </c>
      <c r="C110" s="86">
        <f>[4]С4.3!E18</f>
        <v>0</v>
      </c>
    </row>
    <row r="111" spans="1:3" x14ac:dyDescent="0.2">
      <c r="A111" s="60" t="s">
        <v>171</v>
      </c>
      <c r="B111" s="54" t="s">
        <v>172</v>
      </c>
      <c r="C111" s="35">
        <f>[4]С4.3!E19</f>
        <v>23.62</v>
      </c>
    </row>
    <row r="112" spans="1:3" x14ac:dyDescent="0.2">
      <c r="A112" s="60" t="s">
        <v>173</v>
      </c>
      <c r="B112" s="59" t="s">
        <v>174</v>
      </c>
      <c r="C112" s="35">
        <f>[4]С4.3!E11</f>
        <v>1871</v>
      </c>
    </row>
    <row r="113" spans="1:3" x14ac:dyDescent="0.2">
      <c r="A113" s="60" t="s">
        <v>175</v>
      </c>
      <c r="B113" s="59" t="s">
        <v>176</v>
      </c>
      <c r="C113" s="53">
        <f>[4]С4.3!E12</f>
        <v>1636</v>
      </c>
    </row>
    <row r="114" spans="1:3" x14ac:dyDescent="0.2">
      <c r="A114" s="60" t="s">
        <v>177</v>
      </c>
      <c r="B114" s="59" t="s">
        <v>178</v>
      </c>
      <c r="C114" s="53">
        <f>[4]С4.3!E13</f>
        <v>204</v>
      </c>
    </row>
    <row r="115" spans="1:3" ht="30" x14ac:dyDescent="0.2">
      <c r="A115" s="60" t="s">
        <v>179</v>
      </c>
      <c r="B115" s="34" t="s">
        <v>180</v>
      </c>
      <c r="C115" s="35">
        <f>[4]С4!F27</f>
        <v>776.44759830395003</v>
      </c>
    </row>
    <row r="116" spans="1:3" ht="25.5" x14ac:dyDescent="0.2">
      <c r="A116" s="60" t="s">
        <v>181</v>
      </c>
      <c r="B116" s="54" t="s">
        <v>182</v>
      </c>
      <c r="C116" s="35">
        <f>[4]С4!F28</f>
        <v>596.34992189243474</v>
      </c>
    </row>
    <row r="117" spans="1:3" ht="42.75" x14ac:dyDescent="0.2">
      <c r="A117" s="60" t="s">
        <v>183</v>
      </c>
      <c r="B117" s="54" t="s">
        <v>184</v>
      </c>
      <c r="C117" s="35">
        <f>[4]С4!F29</f>
        <v>180.09767641151529</v>
      </c>
    </row>
    <row r="118" spans="1:3" ht="30" x14ac:dyDescent="0.2">
      <c r="A118" s="60" t="s">
        <v>185</v>
      </c>
      <c r="B118" s="40" t="s">
        <v>186</v>
      </c>
      <c r="C118" s="35">
        <f>[4]С4!F30</f>
        <v>1995.5848161587851</v>
      </c>
    </row>
    <row r="119" spans="1:3" ht="42.75" x14ac:dyDescent="0.2">
      <c r="A119" s="60" t="s">
        <v>187</v>
      </c>
      <c r="B119" s="87" t="s">
        <v>188</v>
      </c>
      <c r="C119" s="35">
        <f>[4]С4!F33</f>
        <v>1298.4392883630001</v>
      </c>
    </row>
    <row r="120" spans="1:3" ht="30" x14ac:dyDescent="0.2">
      <c r="A120" s="60" t="s">
        <v>189</v>
      </c>
      <c r="B120" s="88" t="s">
        <v>190</v>
      </c>
      <c r="C120" s="35">
        <f>[4]С4!F35</f>
        <v>17.040680999999999</v>
      </c>
    </row>
    <row r="121" spans="1:3" ht="14.25" x14ac:dyDescent="0.2">
      <c r="A121" s="60" t="s">
        <v>191</v>
      </c>
      <c r="B121" s="57" t="s">
        <v>192</v>
      </c>
      <c r="C121" s="35">
        <f>[4]С4!F36</f>
        <v>14319.9</v>
      </c>
    </row>
    <row r="122" spans="1:3" ht="28.5" thickBot="1" x14ac:dyDescent="0.25">
      <c r="A122" s="73" t="s">
        <v>193</v>
      </c>
      <c r="B122" s="89" t="s">
        <v>194</v>
      </c>
      <c r="C122" s="84">
        <f>[4]С4!F37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[4]С5!F17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[4]С2!F37</f>
        <v>20.818139999999996</v>
      </c>
    </row>
    <row r="136" spans="1:4" ht="14.25" x14ac:dyDescent="0.2">
      <c r="A136" s="60" t="s">
        <v>216</v>
      </c>
      <c r="B136" s="102" t="s">
        <v>217</v>
      </c>
      <c r="C136" s="35">
        <f>[4]С2!F38</f>
        <v>7</v>
      </c>
    </row>
    <row r="137" spans="1:4" ht="17.25" x14ac:dyDescent="0.2">
      <c r="A137" s="60" t="s">
        <v>218</v>
      </c>
      <c r="B137" s="102" t="s">
        <v>219</v>
      </c>
      <c r="C137" s="35">
        <f>[4]С2!F40</f>
        <v>0.97</v>
      </c>
    </row>
    <row r="138" spans="1:4" ht="15" thickBot="1" x14ac:dyDescent="0.25">
      <c r="A138" s="73" t="s">
        <v>220</v>
      </c>
      <c r="B138" s="103" t="s">
        <v>221</v>
      </c>
      <c r="C138" s="47">
        <f>[4]С2!F42</f>
        <v>0.35</v>
      </c>
    </row>
    <row r="139" spans="1:4" s="90" customFormat="1" ht="13.5" thickBot="1" x14ac:dyDescent="0.25">
      <c r="A139" s="48"/>
      <c r="B139" s="76"/>
      <c r="C139" s="15"/>
    </row>
    <row r="140" spans="1:4" ht="30" x14ac:dyDescent="0.2">
      <c r="A140" s="85" t="s">
        <v>222</v>
      </c>
      <c r="B140" s="104" t="s">
        <v>223</v>
      </c>
      <c r="C140" s="105">
        <f>[4]С2!F35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[4]С2.5!$E$11</f>
        <v>-2.9000000000000026E-2</v>
      </c>
      <c r="D143" s="90"/>
    </row>
    <row r="144" spans="1:4" x14ac:dyDescent="0.2">
      <c r="A144" s="107"/>
      <c r="B144" s="112">
        <f>B143+1</f>
        <v>2021</v>
      </c>
      <c r="C144" s="113">
        <f>[4]С2.5!$F$11</f>
        <v>0.245</v>
      </c>
      <c r="D144" s="90"/>
    </row>
    <row r="145" spans="1:4" x14ac:dyDescent="0.2">
      <c r="A145" s="107"/>
      <c r="B145" s="112">
        <f t="shared" ref="B145:B208" si="0">B144+1</f>
        <v>2022</v>
      </c>
      <c r="C145" s="113">
        <f>[4]С2.5!$G$11</f>
        <v>0.121</v>
      </c>
      <c r="D145" s="90"/>
    </row>
    <row r="146" spans="1:4" ht="13.5" thickBot="1" x14ac:dyDescent="0.25">
      <c r="A146" s="107"/>
      <c r="B146" s="114">
        <f t="shared" si="0"/>
        <v>2023</v>
      </c>
      <c r="C146" s="115">
        <f>[4]С2.5!$H$11</f>
        <v>0.02</v>
      </c>
      <c r="D146" s="90"/>
    </row>
    <row r="147" spans="1:4" hidden="1" x14ac:dyDescent="0.2">
      <c r="A147" s="107"/>
      <c r="B147" s="116">
        <f t="shared" si="0"/>
        <v>2024</v>
      </c>
      <c r="C147" s="117">
        <f>[4]С2.5!$I$11</f>
        <v>-2.93E-2</v>
      </c>
      <c r="D147" s="90"/>
    </row>
    <row r="148" spans="1:4" hidden="1" x14ac:dyDescent="0.2">
      <c r="A148" s="107"/>
      <c r="B148" s="112">
        <f t="shared" si="0"/>
        <v>2025</v>
      </c>
      <c r="C148" s="113">
        <f>[4]С2.5!$J$11</f>
        <v>0.21215960863291</v>
      </c>
      <c r="D148" s="90"/>
    </row>
    <row r="149" spans="1:4" hidden="1" x14ac:dyDescent="0.2">
      <c r="A149" s="107"/>
      <c r="B149" s="112">
        <f t="shared" si="0"/>
        <v>2026</v>
      </c>
      <c r="C149" s="113">
        <f>[4]С2.5!$K$11</f>
        <v>3.5813361771260002E-2</v>
      </c>
      <c r="D149" s="90"/>
    </row>
    <row r="150" spans="1:4" hidden="1" x14ac:dyDescent="0.2">
      <c r="A150" s="107"/>
      <c r="B150" s="112">
        <f t="shared" si="0"/>
        <v>2027</v>
      </c>
      <c r="C150" s="113">
        <f>[4]С2.5!$L$11</f>
        <v>3.2682303599220003E-2</v>
      </c>
      <c r="D150" s="90"/>
    </row>
    <row r="151" spans="1:4" hidden="1" x14ac:dyDescent="0.2">
      <c r="A151" s="107"/>
      <c r="B151" s="112">
        <f t="shared" si="0"/>
        <v>2028</v>
      </c>
      <c r="C151" s="113">
        <f>[4]С2.5!$M$11</f>
        <v>0</v>
      </c>
      <c r="D151" s="90"/>
    </row>
    <row r="152" spans="1:4" hidden="1" x14ac:dyDescent="0.2">
      <c r="A152" s="107"/>
      <c r="B152" s="112">
        <f t="shared" si="0"/>
        <v>2029</v>
      </c>
      <c r="C152" s="113">
        <f>[4]С2.5!$N$11</f>
        <v>0</v>
      </c>
      <c r="D152" s="90"/>
    </row>
    <row r="153" spans="1:4" hidden="1" x14ac:dyDescent="0.2">
      <c r="A153" s="107"/>
      <c r="B153" s="112">
        <f t="shared" si="0"/>
        <v>2030</v>
      </c>
      <c r="C153" s="113">
        <f>[4]С2.5!$O$11</f>
        <v>0</v>
      </c>
      <c r="D153" s="90"/>
    </row>
    <row r="154" spans="1:4" hidden="1" x14ac:dyDescent="0.2">
      <c r="A154" s="107"/>
      <c r="B154" s="112">
        <f t="shared" si="0"/>
        <v>2031</v>
      </c>
      <c r="C154" s="113">
        <f>[4]С2.5!$P$11</f>
        <v>0</v>
      </c>
      <c r="D154" s="90"/>
    </row>
    <row r="155" spans="1:4" hidden="1" x14ac:dyDescent="0.2">
      <c r="A155" s="90"/>
      <c r="B155" s="112">
        <f t="shared" si="0"/>
        <v>2032</v>
      </c>
      <c r="C155" s="113">
        <f>[4]С2.5!$Q$11</f>
        <v>0</v>
      </c>
      <c r="D155" s="90"/>
    </row>
    <row r="156" spans="1:4" hidden="1" x14ac:dyDescent="0.2">
      <c r="A156" s="90"/>
      <c r="B156" s="112">
        <f t="shared" si="0"/>
        <v>2033</v>
      </c>
      <c r="C156" s="113">
        <f>[4]С2.5!$R$11</f>
        <v>0</v>
      </c>
      <c r="D156" s="90"/>
    </row>
    <row r="157" spans="1:4" hidden="1" x14ac:dyDescent="0.2">
      <c r="B157" s="112">
        <f t="shared" si="0"/>
        <v>2034</v>
      </c>
      <c r="C157" s="113">
        <f>[4]С2.5!$S$11</f>
        <v>0</v>
      </c>
    </row>
    <row r="158" spans="1:4" hidden="1" x14ac:dyDescent="0.2">
      <c r="B158" s="112">
        <f t="shared" si="0"/>
        <v>2035</v>
      </c>
      <c r="C158" s="113">
        <f>[4]С2.5!$T$11</f>
        <v>0</v>
      </c>
    </row>
    <row r="159" spans="1:4" hidden="1" x14ac:dyDescent="0.2">
      <c r="B159" s="112">
        <f t="shared" si="0"/>
        <v>2036</v>
      </c>
      <c r="C159" s="113">
        <f>[4]С2.5!$U$11</f>
        <v>0</v>
      </c>
    </row>
    <row r="160" spans="1:4" hidden="1" x14ac:dyDescent="0.2">
      <c r="B160" s="112">
        <f t="shared" si="0"/>
        <v>2037</v>
      </c>
      <c r="C160" s="113">
        <f>[4]С2.5!$V$11</f>
        <v>0</v>
      </c>
    </row>
    <row r="161" spans="2:3" hidden="1" x14ac:dyDescent="0.2">
      <c r="B161" s="112">
        <f t="shared" si="0"/>
        <v>2038</v>
      </c>
      <c r="C161" s="113">
        <f>[4]С2.5!$W$11</f>
        <v>0</v>
      </c>
    </row>
    <row r="162" spans="2:3" hidden="1" x14ac:dyDescent="0.2">
      <c r="B162" s="112">
        <f t="shared" si="0"/>
        <v>2039</v>
      </c>
      <c r="C162" s="113">
        <f>[4]С2.5!$X$11</f>
        <v>0</v>
      </c>
    </row>
    <row r="163" spans="2:3" hidden="1" x14ac:dyDescent="0.2">
      <c r="B163" s="112">
        <f t="shared" si="0"/>
        <v>2040</v>
      </c>
      <c r="C163" s="113">
        <f>[4]С2.5!$Y$11</f>
        <v>0</v>
      </c>
    </row>
    <row r="164" spans="2:3" hidden="1" x14ac:dyDescent="0.2">
      <c r="B164" s="112">
        <f t="shared" si="0"/>
        <v>2041</v>
      </c>
      <c r="C164" s="113">
        <f>[4]С2.5!$Z$11</f>
        <v>0</v>
      </c>
    </row>
    <row r="165" spans="2:3" hidden="1" x14ac:dyDescent="0.2">
      <c r="B165" s="112">
        <f t="shared" si="0"/>
        <v>2042</v>
      </c>
      <c r="C165" s="113">
        <f>[4]С2.5!$AA$11</f>
        <v>0</v>
      </c>
    </row>
    <row r="166" spans="2:3" hidden="1" x14ac:dyDescent="0.2">
      <c r="B166" s="112">
        <f t="shared" si="0"/>
        <v>2043</v>
      </c>
      <c r="C166" s="113">
        <f>[4]С2.5!$AB$11</f>
        <v>0</v>
      </c>
    </row>
    <row r="167" spans="2:3" hidden="1" x14ac:dyDescent="0.2">
      <c r="B167" s="112">
        <f t="shared" si="0"/>
        <v>2044</v>
      </c>
      <c r="C167" s="113">
        <f>[4]С2.5!$AC$11</f>
        <v>0</v>
      </c>
    </row>
    <row r="168" spans="2:3" hidden="1" x14ac:dyDescent="0.2">
      <c r="B168" s="112">
        <f t="shared" si="0"/>
        <v>2045</v>
      </c>
      <c r="C168" s="113">
        <f>[4]С2.5!$AD$11</f>
        <v>0</v>
      </c>
    </row>
    <row r="169" spans="2:3" hidden="1" x14ac:dyDescent="0.2">
      <c r="B169" s="112">
        <f t="shared" si="0"/>
        <v>2046</v>
      </c>
      <c r="C169" s="113">
        <f>[4]С2.5!$AE$11</f>
        <v>0</v>
      </c>
    </row>
    <row r="170" spans="2:3" hidden="1" x14ac:dyDescent="0.2">
      <c r="B170" s="112">
        <f t="shared" si="0"/>
        <v>2047</v>
      </c>
      <c r="C170" s="113">
        <f>[4]С2.5!$AF$11</f>
        <v>0</v>
      </c>
    </row>
    <row r="171" spans="2:3" hidden="1" x14ac:dyDescent="0.2">
      <c r="B171" s="112">
        <f t="shared" si="0"/>
        <v>2048</v>
      </c>
      <c r="C171" s="113">
        <f>[4]С2.5!$AG$11</f>
        <v>0</v>
      </c>
    </row>
    <row r="172" spans="2:3" hidden="1" x14ac:dyDescent="0.2">
      <c r="B172" s="112">
        <f t="shared" si="0"/>
        <v>2049</v>
      </c>
      <c r="C172" s="113">
        <f>[4]С2.5!$AH$11</f>
        <v>0</v>
      </c>
    </row>
    <row r="173" spans="2:3" hidden="1" x14ac:dyDescent="0.2">
      <c r="B173" s="112">
        <f t="shared" si="0"/>
        <v>2050</v>
      </c>
      <c r="C173" s="113">
        <f>[4]С2.5!$AI$11</f>
        <v>0</v>
      </c>
    </row>
    <row r="174" spans="2:3" hidden="1" x14ac:dyDescent="0.2">
      <c r="B174" s="112">
        <f t="shared" si="0"/>
        <v>2051</v>
      </c>
      <c r="C174" s="113">
        <f>[4]С2.5!$AJ$11</f>
        <v>0</v>
      </c>
    </row>
    <row r="175" spans="2:3" hidden="1" x14ac:dyDescent="0.2">
      <c r="B175" s="112">
        <f t="shared" si="0"/>
        <v>2052</v>
      </c>
      <c r="C175" s="113">
        <f>[4]С2.5!$AK$11</f>
        <v>0</v>
      </c>
    </row>
    <row r="176" spans="2:3" hidden="1" x14ac:dyDescent="0.2">
      <c r="B176" s="112">
        <f t="shared" si="0"/>
        <v>2053</v>
      </c>
      <c r="C176" s="113">
        <f>[4]С2.5!$AL$11</f>
        <v>0</v>
      </c>
    </row>
    <row r="177" spans="2:3" hidden="1" x14ac:dyDescent="0.2">
      <c r="B177" s="112">
        <f t="shared" si="0"/>
        <v>2054</v>
      </c>
      <c r="C177" s="113">
        <f>[4]С2.5!$AM$11</f>
        <v>0</v>
      </c>
    </row>
    <row r="178" spans="2:3" hidden="1" x14ac:dyDescent="0.2">
      <c r="B178" s="112">
        <f t="shared" si="0"/>
        <v>2055</v>
      </c>
      <c r="C178" s="113">
        <f>[4]С2.5!$AN$11</f>
        <v>0</v>
      </c>
    </row>
    <row r="179" spans="2:3" hidden="1" x14ac:dyDescent="0.2">
      <c r="B179" s="112">
        <f t="shared" si="0"/>
        <v>2056</v>
      </c>
      <c r="C179" s="113">
        <f>[4]С2.5!$AO$11</f>
        <v>0</v>
      </c>
    </row>
    <row r="180" spans="2:3" hidden="1" x14ac:dyDescent="0.2">
      <c r="B180" s="112">
        <f t="shared" si="0"/>
        <v>2057</v>
      </c>
      <c r="C180" s="113">
        <f>[4]С2.5!$AP$11</f>
        <v>0</v>
      </c>
    </row>
    <row r="181" spans="2:3" hidden="1" x14ac:dyDescent="0.2">
      <c r="B181" s="112">
        <f t="shared" si="0"/>
        <v>2058</v>
      </c>
      <c r="C181" s="113">
        <f>[4]С2.5!$AQ$11</f>
        <v>0</v>
      </c>
    </row>
    <row r="182" spans="2:3" hidden="1" x14ac:dyDescent="0.2">
      <c r="B182" s="112">
        <f t="shared" si="0"/>
        <v>2059</v>
      </c>
      <c r="C182" s="113">
        <f>[4]С2.5!$AR$11</f>
        <v>0</v>
      </c>
    </row>
    <row r="183" spans="2:3" hidden="1" x14ac:dyDescent="0.2">
      <c r="B183" s="112">
        <f t="shared" si="0"/>
        <v>2060</v>
      </c>
      <c r="C183" s="113">
        <f>[4]С2.5!$AS$11</f>
        <v>0</v>
      </c>
    </row>
    <row r="184" spans="2:3" hidden="1" x14ac:dyDescent="0.2">
      <c r="B184" s="112">
        <f t="shared" si="0"/>
        <v>2061</v>
      </c>
      <c r="C184" s="113">
        <f>[4]С2.5!$AT$11</f>
        <v>0</v>
      </c>
    </row>
    <row r="185" spans="2:3" hidden="1" x14ac:dyDescent="0.2">
      <c r="B185" s="112">
        <f t="shared" si="0"/>
        <v>2062</v>
      </c>
      <c r="C185" s="113">
        <f>[4]С2.5!$AU$11</f>
        <v>0</v>
      </c>
    </row>
    <row r="186" spans="2:3" hidden="1" x14ac:dyDescent="0.2">
      <c r="B186" s="112">
        <f t="shared" si="0"/>
        <v>2063</v>
      </c>
      <c r="C186" s="113">
        <f>[4]С2.5!$AV$11</f>
        <v>0</v>
      </c>
    </row>
    <row r="187" spans="2:3" hidden="1" x14ac:dyDescent="0.2">
      <c r="B187" s="112">
        <f t="shared" si="0"/>
        <v>2064</v>
      </c>
      <c r="C187" s="113">
        <f>[4]С2.5!$AW$11</f>
        <v>0</v>
      </c>
    </row>
    <row r="188" spans="2:3" hidden="1" x14ac:dyDescent="0.2">
      <c r="B188" s="112">
        <f t="shared" si="0"/>
        <v>2065</v>
      </c>
      <c r="C188" s="113">
        <f>[4]С2.5!$AX$11</f>
        <v>0</v>
      </c>
    </row>
    <row r="189" spans="2:3" hidden="1" x14ac:dyDescent="0.2">
      <c r="B189" s="112">
        <f t="shared" si="0"/>
        <v>2066</v>
      </c>
      <c r="C189" s="113">
        <f>[4]С2.5!$AY$11</f>
        <v>0</v>
      </c>
    </row>
    <row r="190" spans="2:3" hidden="1" x14ac:dyDescent="0.2">
      <c r="B190" s="112">
        <f t="shared" si="0"/>
        <v>2067</v>
      </c>
      <c r="C190" s="113">
        <f>[4]С2.5!$AZ$11</f>
        <v>0</v>
      </c>
    </row>
    <row r="191" spans="2:3" hidden="1" x14ac:dyDescent="0.2">
      <c r="B191" s="112">
        <f t="shared" si="0"/>
        <v>2068</v>
      </c>
      <c r="C191" s="113">
        <f>[4]С2.5!$BA$11</f>
        <v>0</v>
      </c>
    </row>
    <row r="192" spans="2:3" hidden="1" x14ac:dyDescent="0.2">
      <c r="B192" s="112">
        <f t="shared" si="0"/>
        <v>2069</v>
      </c>
      <c r="C192" s="113">
        <f>[4]С2.5!$BB$11</f>
        <v>0</v>
      </c>
    </row>
    <row r="193" spans="2:3" hidden="1" x14ac:dyDescent="0.2">
      <c r="B193" s="112">
        <f t="shared" si="0"/>
        <v>2070</v>
      </c>
      <c r="C193" s="113">
        <f>[4]С2.5!$BC$11</f>
        <v>0</v>
      </c>
    </row>
    <row r="194" spans="2:3" hidden="1" x14ac:dyDescent="0.2">
      <c r="B194" s="112">
        <f t="shared" si="0"/>
        <v>2071</v>
      </c>
      <c r="C194" s="113">
        <f>[4]С2.5!$BD$11</f>
        <v>0</v>
      </c>
    </row>
    <row r="195" spans="2:3" hidden="1" x14ac:dyDescent="0.2">
      <c r="B195" s="112">
        <f t="shared" si="0"/>
        <v>2072</v>
      </c>
      <c r="C195" s="113">
        <f>[4]С2.5!$BE$11</f>
        <v>0</v>
      </c>
    </row>
    <row r="196" spans="2:3" hidden="1" x14ac:dyDescent="0.2">
      <c r="B196" s="112">
        <f t="shared" si="0"/>
        <v>2073</v>
      </c>
      <c r="C196" s="113">
        <f>[4]С2.5!$BF$11</f>
        <v>0</v>
      </c>
    </row>
    <row r="197" spans="2:3" hidden="1" x14ac:dyDescent="0.2">
      <c r="B197" s="112">
        <f t="shared" si="0"/>
        <v>2074</v>
      </c>
      <c r="C197" s="113">
        <f>[4]С2.5!$BG$11</f>
        <v>0</v>
      </c>
    </row>
    <row r="198" spans="2:3" hidden="1" x14ac:dyDescent="0.2">
      <c r="B198" s="112">
        <f t="shared" si="0"/>
        <v>2075</v>
      </c>
      <c r="C198" s="113">
        <f>[4]С2.5!$BH$11</f>
        <v>0</v>
      </c>
    </row>
    <row r="199" spans="2:3" hidden="1" x14ac:dyDescent="0.2">
      <c r="B199" s="112">
        <f t="shared" si="0"/>
        <v>2076</v>
      </c>
      <c r="C199" s="113">
        <f>[4]С2.5!$BI$11</f>
        <v>0</v>
      </c>
    </row>
    <row r="200" spans="2:3" hidden="1" x14ac:dyDescent="0.2">
      <c r="B200" s="112">
        <f t="shared" si="0"/>
        <v>2077</v>
      </c>
      <c r="C200" s="113">
        <f>[4]С2.5!$BJ$11</f>
        <v>0</v>
      </c>
    </row>
    <row r="201" spans="2:3" hidden="1" x14ac:dyDescent="0.2">
      <c r="B201" s="112">
        <f t="shared" si="0"/>
        <v>2078</v>
      </c>
      <c r="C201" s="113">
        <f>[4]С2.5!$BK$11</f>
        <v>0</v>
      </c>
    </row>
    <row r="202" spans="2:3" hidden="1" x14ac:dyDescent="0.2">
      <c r="B202" s="112">
        <f t="shared" si="0"/>
        <v>2079</v>
      </c>
      <c r="C202" s="113">
        <f>[4]С2.5!$BL$11</f>
        <v>0</v>
      </c>
    </row>
    <row r="203" spans="2:3" hidden="1" x14ac:dyDescent="0.2">
      <c r="B203" s="112">
        <f t="shared" si="0"/>
        <v>2080</v>
      </c>
      <c r="C203" s="113">
        <f>[4]С2.5!$BM$11</f>
        <v>0</v>
      </c>
    </row>
    <row r="204" spans="2:3" hidden="1" x14ac:dyDescent="0.2">
      <c r="B204" s="112">
        <f t="shared" si="0"/>
        <v>2081</v>
      </c>
      <c r="C204" s="113">
        <f>[4]С2.5!$BN$11</f>
        <v>0</v>
      </c>
    </row>
    <row r="205" spans="2:3" hidden="1" x14ac:dyDescent="0.2">
      <c r="B205" s="112">
        <f t="shared" si="0"/>
        <v>2082</v>
      </c>
      <c r="C205" s="113">
        <f>[4]С2.5!$BO$11</f>
        <v>0</v>
      </c>
    </row>
    <row r="206" spans="2:3" hidden="1" x14ac:dyDescent="0.2">
      <c r="B206" s="112">
        <f t="shared" si="0"/>
        <v>2083</v>
      </c>
      <c r="C206" s="113">
        <f>[4]С2.5!$BP$11</f>
        <v>0</v>
      </c>
    </row>
    <row r="207" spans="2:3" hidden="1" x14ac:dyDescent="0.2">
      <c r="B207" s="112">
        <f t="shared" si="0"/>
        <v>2084</v>
      </c>
      <c r="C207" s="113">
        <f>[4]С2.5!$BQ$11</f>
        <v>0</v>
      </c>
    </row>
    <row r="208" spans="2:3" hidden="1" x14ac:dyDescent="0.2">
      <c r="B208" s="112">
        <f t="shared" si="0"/>
        <v>2085</v>
      </c>
      <c r="C208" s="113">
        <f>[4]С2.5!$BR$11</f>
        <v>0</v>
      </c>
    </row>
    <row r="209" spans="2:3" hidden="1" x14ac:dyDescent="0.2">
      <c r="B209" s="112">
        <f t="shared" ref="B209:B223" si="1">B208+1</f>
        <v>2086</v>
      </c>
      <c r="C209" s="113">
        <f>[4]С2.5!$BS$11</f>
        <v>0</v>
      </c>
    </row>
    <row r="210" spans="2:3" hidden="1" x14ac:dyDescent="0.2">
      <c r="B210" s="112">
        <f t="shared" si="1"/>
        <v>2087</v>
      </c>
      <c r="C210" s="113">
        <f>[4]С2.5!$BT$11</f>
        <v>0</v>
      </c>
    </row>
    <row r="211" spans="2:3" hidden="1" x14ac:dyDescent="0.2">
      <c r="B211" s="112">
        <f t="shared" si="1"/>
        <v>2088</v>
      </c>
      <c r="C211" s="113">
        <f>[4]С2.5!$BU$11</f>
        <v>0</v>
      </c>
    </row>
    <row r="212" spans="2:3" hidden="1" x14ac:dyDescent="0.2">
      <c r="B212" s="112">
        <f t="shared" si="1"/>
        <v>2089</v>
      </c>
      <c r="C212" s="113">
        <f>[4]С2.5!$BV$11</f>
        <v>0</v>
      </c>
    </row>
    <row r="213" spans="2:3" hidden="1" x14ac:dyDescent="0.2">
      <c r="B213" s="112">
        <f t="shared" si="1"/>
        <v>2090</v>
      </c>
      <c r="C213" s="113">
        <f>[4]С2.5!$BW$11</f>
        <v>0</v>
      </c>
    </row>
    <row r="214" spans="2:3" hidden="1" x14ac:dyDescent="0.2">
      <c r="B214" s="112">
        <f t="shared" si="1"/>
        <v>2091</v>
      </c>
      <c r="C214" s="113">
        <f>[4]С2.5!$BX$11</f>
        <v>0</v>
      </c>
    </row>
    <row r="215" spans="2:3" hidden="1" x14ac:dyDescent="0.2">
      <c r="B215" s="112">
        <f t="shared" si="1"/>
        <v>2092</v>
      </c>
      <c r="C215" s="113">
        <f>[4]С2.5!$BY$11</f>
        <v>0</v>
      </c>
    </row>
    <row r="216" spans="2:3" hidden="1" x14ac:dyDescent="0.2">
      <c r="B216" s="112">
        <f t="shared" si="1"/>
        <v>2093</v>
      </c>
      <c r="C216" s="113">
        <f>[4]С2.5!$BZ$11</f>
        <v>0</v>
      </c>
    </row>
    <row r="217" spans="2:3" hidden="1" x14ac:dyDescent="0.2">
      <c r="B217" s="112">
        <f t="shared" si="1"/>
        <v>2094</v>
      </c>
      <c r="C217" s="113">
        <f>[4]С2.5!$CA$11</f>
        <v>0</v>
      </c>
    </row>
    <row r="218" spans="2:3" hidden="1" x14ac:dyDescent="0.2">
      <c r="B218" s="112">
        <f t="shared" si="1"/>
        <v>2095</v>
      </c>
      <c r="C218" s="113">
        <f>[4]С2.5!$CB$11</f>
        <v>0</v>
      </c>
    </row>
    <row r="219" spans="2:3" hidden="1" x14ac:dyDescent="0.2">
      <c r="B219" s="112">
        <f t="shared" si="1"/>
        <v>2096</v>
      </c>
      <c r="C219" s="113">
        <f>[4]С2.5!$CC$11</f>
        <v>0</v>
      </c>
    </row>
    <row r="220" spans="2:3" hidden="1" x14ac:dyDescent="0.2">
      <c r="B220" s="112">
        <f t="shared" si="1"/>
        <v>2097</v>
      </c>
      <c r="C220" s="113">
        <f>[4]С2.5!$CD$11</f>
        <v>0</v>
      </c>
    </row>
    <row r="221" spans="2:3" hidden="1" x14ac:dyDescent="0.2">
      <c r="B221" s="112">
        <f t="shared" si="1"/>
        <v>2098</v>
      </c>
      <c r="C221" s="113">
        <f>[4]С2.5!$CE$11</f>
        <v>0</v>
      </c>
    </row>
    <row r="222" spans="2:3" hidden="1" x14ac:dyDescent="0.2">
      <c r="B222" s="112">
        <f t="shared" si="1"/>
        <v>2099</v>
      </c>
      <c r="C222" s="113">
        <f>[4]С2.5!$CF$11</f>
        <v>0</v>
      </c>
    </row>
    <row r="223" spans="2:3" ht="13.5" hidden="1" thickBot="1" x14ac:dyDescent="0.25">
      <c r="B223" s="114">
        <f t="shared" si="1"/>
        <v>2100</v>
      </c>
      <c r="C223" s="115">
        <f>[4]С2.5!$CG$11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macro="[4]!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[5]И1!D13</f>
        <v>Субъект Российской Федерации</v>
      </c>
      <c r="C4" s="10" t="str">
        <f>[5]И1!E13</f>
        <v>Новосибирская область</v>
      </c>
    </row>
    <row r="5" spans="1:3" ht="38.25" x14ac:dyDescent="0.2">
      <c r="A5" s="8"/>
      <c r="B5" s="9" t="str">
        <f>[5]И1!D14</f>
        <v>Тип муниципального образования (выберите из списка)</v>
      </c>
      <c r="C5" s="10" t="str">
        <f>[5]И1!E14</f>
        <v xml:space="preserve">село Казанак, Краснозерский муниципальный район </v>
      </c>
    </row>
    <row r="6" spans="1:3" x14ac:dyDescent="0.2">
      <c r="A6" s="8"/>
      <c r="B6" s="9" t="str">
        <f>IF([5]И1!E15="","",[5]И1!D15)</f>
        <v/>
      </c>
      <c r="C6" s="10" t="str">
        <f>IF([5]И1!E15="","",[5]И1!E15)</f>
        <v/>
      </c>
    </row>
    <row r="7" spans="1:3" x14ac:dyDescent="0.2">
      <c r="A7" s="8"/>
      <c r="B7" s="9" t="str">
        <f>[5]И1!D16</f>
        <v>Код ОКТМО</v>
      </c>
      <c r="C7" s="11" t="str">
        <f>[5]И1!E16</f>
        <v>(50627408101)</v>
      </c>
    </row>
    <row r="8" spans="1:3" x14ac:dyDescent="0.2">
      <c r="A8" s="8"/>
      <c r="B8" s="12" t="str">
        <f>[5]И1!D17</f>
        <v>Система теплоснабжения</v>
      </c>
      <c r="C8" s="13">
        <f>[5]И1!E17</f>
        <v>0</v>
      </c>
    </row>
    <row r="9" spans="1:3" x14ac:dyDescent="0.2">
      <c r="A9" s="8"/>
      <c r="B9" s="9" t="str">
        <f>[5]И1!D8</f>
        <v>Период регулирования (i)-й</v>
      </c>
      <c r="C9" s="14">
        <f>[5]И1!E8</f>
        <v>2023</v>
      </c>
    </row>
    <row r="10" spans="1:3" x14ac:dyDescent="0.2">
      <c r="A10" s="8"/>
      <c r="B10" s="9" t="str">
        <f>[5]И1!D9</f>
        <v>Период регулирования (i-1)-й</v>
      </c>
      <c r="C10" s="14">
        <f>[5]И1!E9</f>
        <v>2022</v>
      </c>
    </row>
    <row r="11" spans="1:3" x14ac:dyDescent="0.2">
      <c r="A11" s="8"/>
      <c r="B11" s="9" t="str">
        <f>[5]И1!D10</f>
        <v>Период регулирования (i-2)-й</v>
      </c>
      <c r="C11" s="14">
        <f>[5]И1!E10</f>
        <v>2021</v>
      </c>
    </row>
    <row r="12" spans="1:3" x14ac:dyDescent="0.2">
      <c r="A12" s="8"/>
      <c r="B12" s="9" t="str">
        <f>[5]И1!D11</f>
        <v>Базовый год (б)</v>
      </c>
      <c r="C12" s="14">
        <f>[5]И1!E11</f>
        <v>2019</v>
      </c>
    </row>
    <row r="13" spans="1:3" ht="38.25" x14ac:dyDescent="0.2">
      <c r="A13" s="8"/>
      <c r="B13" s="9" t="str">
        <f>[5]И1!D18</f>
        <v>Вид топлива, использование которого преобладает в системе теплоснабжения</v>
      </c>
      <c r="C13" s="15" t="str">
        <f>[5]С1.1!E13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4150.2043843414885</v>
      </c>
    </row>
    <row r="18" spans="1:3" ht="42.75" x14ac:dyDescent="0.2">
      <c r="A18" s="22" t="s">
        <v>8</v>
      </c>
      <c r="B18" s="25" t="s">
        <v>9</v>
      </c>
      <c r="C18" s="26">
        <f>[5]С1!F12</f>
        <v>1056.2203484150468</v>
      </c>
    </row>
    <row r="19" spans="1:3" ht="42.75" x14ac:dyDescent="0.2">
      <c r="A19" s="22" t="s">
        <v>10</v>
      </c>
      <c r="B19" s="25" t="s">
        <v>11</v>
      </c>
      <c r="C19" s="26">
        <f>[5]С2!F12</f>
        <v>2106.0579468653982</v>
      </c>
    </row>
    <row r="20" spans="1:3" ht="30" x14ac:dyDescent="0.2">
      <c r="A20" s="22" t="s">
        <v>12</v>
      </c>
      <c r="B20" s="25" t="s">
        <v>13</v>
      </c>
      <c r="C20" s="26">
        <f>[5]С3!F12</f>
        <v>503.83473408478085</v>
      </c>
    </row>
    <row r="21" spans="1:3" ht="42.75" x14ac:dyDescent="0.2">
      <c r="A21" s="22" t="s">
        <v>14</v>
      </c>
      <c r="B21" s="25" t="s">
        <v>15</v>
      </c>
      <c r="C21" s="26">
        <f>[5]С4!F12</f>
        <v>402.71479842054771</v>
      </c>
    </row>
    <row r="22" spans="1:3" ht="30" x14ac:dyDescent="0.2">
      <c r="A22" s="22" t="s">
        <v>16</v>
      </c>
      <c r="B22" s="25" t="s">
        <v>17</v>
      </c>
      <c r="C22" s="26">
        <f>[5]С5!F12</f>
        <v>81.376556555715467</v>
      </c>
    </row>
    <row r="23" spans="1:3" ht="43.5" thickBot="1" x14ac:dyDescent="0.25">
      <c r="A23" s="27" t="s">
        <v>18</v>
      </c>
      <c r="B23" s="106" t="s">
        <v>19</v>
      </c>
      <c r="C23" s="29" t="str">
        <f>[5]С6!F12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[5]С1.1!E16</f>
        <v>5100</v>
      </c>
    </row>
    <row r="29" spans="1:3" ht="42.75" x14ac:dyDescent="0.2">
      <c r="A29" s="22" t="s">
        <v>10</v>
      </c>
      <c r="B29" s="34" t="s">
        <v>22</v>
      </c>
      <c r="C29" s="35">
        <f>[5]С1.1!E27</f>
        <v>2840</v>
      </c>
    </row>
    <row r="30" spans="1:3" ht="17.25" x14ac:dyDescent="0.2">
      <c r="A30" s="22" t="s">
        <v>12</v>
      </c>
      <c r="B30" s="34" t="s">
        <v>23</v>
      </c>
      <c r="C30" s="36">
        <f>[5]С1.1!E19</f>
        <v>0.59499999999999997</v>
      </c>
    </row>
    <row r="31" spans="1:3" ht="17.25" x14ac:dyDescent="0.2">
      <c r="A31" s="22" t="s">
        <v>14</v>
      </c>
      <c r="B31" s="34" t="s">
        <v>24</v>
      </c>
      <c r="C31" s="36">
        <f>[5]С1.1!E20</f>
        <v>-0.113</v>
      </c>
    </row>
    <row r="32" spans="1:3" ht="30" x14ac:dyDescent="0.2">
      <c r="A32" s="22" t="s">
        <v>16</v>
      </c>
      <c r="B32" s="37" t="s">
        <v>25</v>
      </c>
      <c r="C32" s="38">
        <f>[5]С1!F13</f>
        <v>176.4</v>
      </c>
    </row>
    <row r="33" spans="1:3" x14ac:dyDescent="0.2">
      <c r="A33" s="22" t="s">
        <v>18</v>
      </c>
      <c r="B33" s="37" t="s">
        <v>26</v>
      </c>
      <c r="C33" s="39">
        <f>[5]С1!F16</f>
        <v>7000</v>
      </c>
    </row>
    <row r="34" spans="1:3" ht="14.25" x14ac:dyDescent="0.2">
      <c r="A34" s="22" t="s">
        <v>27</v>
      </c>
      <c r="B34" s="40" t="s">
        <v>28</v>
      </c>
      <c r="C34" s="41">
        <f>[5]С1!F17</f>
        <v>0.72857142857142854</v>
      </c>
    </row>
    <row r="35" spans="1:3" ht="15.75" x14ac:dyDescent="0.2">
      <c r="A35" s="42" t="s">
        <v>29</v>
      </c>
      <c r="B35" s="43" t="s">
        <v>30</v>
      </c>
      <c r="C35" s="41">
        <f>[5]С1!F20</f>
        <v>21.588411179999994</v>
      </c>
    </row>
    <row r="36" spans="1:3" ht="15.75" x14ac:dyDescent="0.2">
      <c r="A36" s="42" t="s">
        <v>31</v>
      </c>
      <c r="B36" s="44" t="s">
        <v>32</v>
      </c>
      <c r="C36" s="41">
        <f>[5]С1!F21</f>
        <v>20.818139999999996</v>
      </c>
    </row>
    <row r="37" spans="1:3" ht="14.25" x14ac:dyDescent="0.2">
      <c r="A37" s="42" t="s">
        <v>33</v>
      </c>
      <c r="B37" s="45" t="s">
        <v>34</v>
      </c>
      <c r="C37" s="41">
        <f>[5]С1!F22</f>
        <v>1.0369999999999999</v>
      </c>
    </row>
    <row r="38" spans="1:3" ht="53.25" thickBot="1" x14ac:dyDescent="0.25">
      <c r="A38" s="27" t="s">
        <v>35</v>
      </c>
      <c r="B38" s="46" t="s">
        <v>36</v>
      </c>
      <c r="C38" s="47">
        <f>[5]С1!F23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[5]С2.1!E12</f>
        <v>V</v>
      </c>
    </row>
    <row r="42" spans="1:3" ht="25.5" x14ac:dyDescent="0.2">
      <c r="A42" s="22" t="s">
        <v>41</v>
      </c>
      <c r="B42" s="34" t="s">
        <v>42</v>
      </c>
      <c r="C42" s="52" t="str">
        <f>[5]С2.1!E13</f>
        <v>6 и менее баллов</v>
      </c>
    </row>
    <row r="43" spans="1:3" ht="25.5" x14ac:dyDescent="0.2">
      <c r="A43" s="22" t="s">
        <v>43</v>
      </c>
      <c r="B43" s="34" t="s">
        <v>44</v>
      </c>
      <c r="C43" s="52" t="str">
        <f>[5]С2.1!E14</f>
        <v>от 200 до 500</v>
      </c>
    </row>
    <row r="44" spans="1:3" ht="25.5" x14ac:dyDescent="0.2">
      <c r="A44" s="22" t="s">
        <v>45</v>
      </c>
      <c r="B44" s="34" t="s">
        <v>46</v>
      </c>
      <c r="C44" s="53" t="str">
        <f>[5]С2.1!E15</f>
        <v>нет</v>
      </c>
    </row>
    <row r="45" spans="1:3" ht="30" x14ac:dyDescent="0.2">
      <c r="A45" s="22" t="s">
        <v>47</v>
      </c>
      <c r="B45" s="34" t="s">
        <v>48</v>
      </c>
      <c r="C45" s="35">
        <f>[5]С2!F18</f>
        <v>32402.627334033532</v>
      </c>
    </row>
    <row r="46" spans="1:3" ht="30" x14ac:dyDescent="0.2">
      <c r="A46" s="22" t="s">
        <v>49</v>
      </c>
      <c r="B46" s="54" t="s">
        <v>50</v>
      </c>
      <c r="C46" s="35">
        <f>IF([5]С2!F19&gt;0,[5]С2!F19,[5]С2!F20)</f>
        <v>23441.524932855718</v>
      </c>
    </row>
    <row r="47" spans="1:3" ht="25.5" x14ac:dyDescent="0.2">
      <c r="A47" s="22" t="s">
        <v>51</v>
      </c>
      <c r="B47" s="55" t="s">
        <v>52</v>
      </c>
      <c r="C47" s="35">
        <f>[5]С2.1!E19</f>
        <v>-37</v>
      </c>
    </row>
    <row r="48" spans="1:3" ht="25.5" x14ac:dyDescent="0.2">
      <c r="A48" s="22" t="s">
        <v>53</v>
      </c>
      <c r="B48" s="55" t="s">
        <v>54</v>
      </c>
      <c r="C48" s="35" t="str">
        <f>[5]С2.1!E22</f>
        <v>нет</v>
      </c>
    </row>
    <row r="49" spans="1:3" ht="38.25" x14ac:dyDescent="0.2">
      <c r="A49" s="22" t="s">
        <v>55</v>
      </c>
      <c r="B49" s="56" t="s">
        <v>56</v>
      </c>
      <c r="C49" s="35">
        <f>[5]С2.2!E10</f>
        <v>1287</v>
      </c>
    </row>
    <row r="50" spans="1:3" ht="25.5" x14ac:dyDescent="0.2">
      <c r="A50" s="22" t="s">
        <v>57</v>
      </c>
      <c r="B50" s="57" t="s">
        <v>58</v>
      </c>
      <c r="C50" s="35">
        <f>[5]С2.2!E12</f>
        <v>5.97</v>
      </c>
    </row>
    <row r="51" spans="1:3" ht="52.5" x14ac:dyDescent="0.2">
      <c r="A51" s="22" t="s">
        <v>59</v>
      </c>
      <c r="B51" s="58" t="s">
        <v>60</v>
      </c>
      <c r="C51" s="35">
        <f>[5]С2.2!E13</f>
        <v>1</v>
      </c>
    </row>
    <row r="52" spans="1:3" ht="27.75" x14ac:dyDescent="0.2">
      <c r="A52" s="22" t="s">
        <v>61</v>
      </c>
      <c r="B52" s="57" t="s">
        <v>62</v>
      </c>
      <c r="C52" s="35">
        <f>[5]С2.2!E14</f>
        <v>12104</v>
      </c>
    </row>
    <row r="53" spans="1:3" ht="25.5" x14ac:dyDescent="0.2">
      <c r="A53" s="22" t="s">
        <v>63</v>
      </c>
      <c r="B53" s="58" t="s">
        <v>64</v>
      </c>
      <c r="C53" s="36">
        <f>[5]С2.2!E15</f>
        <v>4.8000000000000001E-2</v>
      </c>
    </row>
    <row r="54" spans="1:3" x14ac:dyDescent="0.2">
      <c r="A54" s="22" t="s">
        <v>65</v>
      </c>
      <c r="B54" s="58" t="s">
        <v>66</v>
      </c>
      <c r="C54" s="35">
        <f>[5]С2.2!E16</f>
        <v>1</v>
      </c>
    </row>
    <row r="55" spans="1:3" ht="15.75" x14ac:dyDescent="0.2">
      <c r="A55" s="22" t="s">
        <v>67</v>
      </c>
      <c r="B55" s="59" t="s">
        <v>68</v>
      </c>
      <c r="C55" s="35">
        <f>[5]С2!F21</f>
        <v>1</v>
      </c>
    </row>
    <row r="56" spans="1:3" ht="30" x14ac:dyDescent="0.2">
      <c r="A56" s="60" t="s">
        <v>69</v>
      </c>
      <c r="B56" s="34" t="s">
        <v>70</v>
      </c>
      <c r="C56" s="35">
        <f>[5]С2!F13</f>
        <v>169640.22915965237</v>
      </c>
    </row>
    <row r="57" spans="1:3" ht="30" x14ac:dyDescent="0.2">
      <c r="A57" s="60" t="s">
        <v>71</v>
      </c>
      <c r="B57" s="59" t="s">
        <v>72</v>
      </c>
      <c r="C57" s="35">
        <f>[5]С2!F14</f>
        <v>113455</v>
      </c>
    </row>
    <row r="58" spans="1:3" ht="15.75" x14ac:dyDescent="0.2">
      <c r="A58" s="60" t="s">
        <v>73</v>
      </c>
      <c r="B58" s="61" t="s">
        <v>74</v>
      </c>
      <c r="C58" s="41">
        <f>[5]С2!F15</f>
        <v>1.071</v>
      </c>
    </row>
    <row r="59" spans="1:3" ht="15.75" x14ac:dyDescent="0.2">
      <c r="A59" s="60" t="s">
        <v>75</v>
      </c>
      <c r="B59" s="61" t="s">
        <v>76</v>
      </c>
      <c r="C59" s="41">
        <f>[5]С2!F16</f>
        <v>1</v>
      </c>
    </row>
    <row r="60" spans="1:3" ht="17.25" x14ac:dyDescent="0.2">
      <c r="A60" s="60" t="s">
        <v>77</v>
      </c>
      <c r="B60" s="59" t="s">
        <v>78</v>
      </c>
      <c r="C60" s="35">
        <f>[5]С2!F17</f>
        <v>1.01</v>
      </c>
    </row>
    <row r="61" spans="1:3" s="64" customFormat="1" ht="14.25" x14ac:dyDescent="0.2">
      <c r="A61" s="60" t="s">
        <v>79</v>
      </c>
      <c r="B61" s="62" t="s">
        <v>80</v>
      </c>
      <c r="C61" s="63">
        <f>[5]С2!F33</f>
        <v>10</v>
      </c>
    </row>
    <row r="62" spans="1:3" ht="30" x14ac:dyDescent="0.2">
      <c r="A62" s="60" t="s">
        <v>81</v>
      </c>
      <c r="B62" s="65" t="s">
        <v>82</v>
      </c>
      <c r="C62" s="35">
        <f>[5]С2!F26</f>
        <v>1123.6482814273334</v>
      </c>
    </row>
    <row r="63" spans="1:3" ht="17.25" x14ac:dyDescent="0.2">
      <c r="A63" s="60" t="s">
        <v>83</v>
      </c>
      <c r="B63" s="54" t="s">
        <v>84</v>
      </c>
      <c r="C63" s="35">
        <f>[5]С2!F27</f>
        <v>0.19354712999999998</v>
      </c>
    </row>
    <row r="64" spans="1:3" ht="17.25" x14ac:dyDescent="0.2">
      <c r="A64" s="60" t="s">
        <v>85</v>
      </c>
      <c r="B64" s="59" t="s">
        <v>86</v>
      </c>
      <c r="C64" s="63">
        <f>[5]С2!F28</f>
        <v>4200</v>
      </c>
    </row>
    <row r="65" spans="1:3" ht="42.75" x14ac:dyDescent="0.2">
      <c r="A65" s="60" t="s">
        <v>87</v>
      </c>
      <c r="B65" s="34" t="s">
        <v>88</v>
      </c>
      <c r="C65" s="35">
        <f>[5]С2!F22</f>
        <v>35717.748653137714</v>
      </c>
    </row>
    <row r="66" spans="1:3" ht="30" x14ac:dyDescent="0.2">
      <c r="A66" s="60" t="s">
        <v>89</v>
      </c>
      <c r="B66" s="61" t="s">
        <v>90</v>
      </c>
      <c r="C66" s="35">
        <f>[5]С2!F23</f>
        <v>1990</v>
      </c>
    </row>
    <row r="67" spans="1:3" ht="30" x14ac:dyDescent="0.2">
      <c r="A67" s="60" t="s">
        <v>91</v>
      </c>
      <c r="B67" s="54" t="s">
        <v>92</v>
      </c>
      <c r="C67" s="35">
        <f>[5]С2.1!E27</f>
        <v>14307.876789999998</v>
      </c>
    </row>
    <row r="68" spans="1:3" ht="38.25" x14ac:dyDescent="0.2">
      <c r="A68" s="60" t="s">
        <v>93</v>
      </c>
      <c r="B68" s="66" t="s">
        <v>94</v>
      </c>
      <c r="C68" s="53">
        <f>[5]С2.3!E21</f>
        <v>0</v>
      </c>
    </row>
    <row r="69" spans="1:3" ht="25.5" x14ac:dyDescent="0.2">
      <c r="A69" s="60" t="s">
        <v>95</v>
      </c>
      <c r="B69" s="67" t="s">
        <v>96</v>
      </c>
      <c r="C69" s="68">
        <f>[5]С2.3!E11</f>
        <v>9.89</v>
      </c>
    </row>
    <row r="70" spans="1:3" ht="25.5" x14ac:dyDescent="0.2">
      <c r="A70" s="60" t="s">
        <v>97</v>
      </c>
      <c r="B70" s="67" t="s">
        <v>98</v>
      </c>
      <c r="C70" s="63">
        <f>[5]С2.3!E13</f>
        <v>300</v>
      </c>
    </row>
    <row r="71" spans="1:3" ht="25.5" x14ac:dyDescent="0.2">
      <c r="A71" s="60" t="s">
        <v>99</v>
      </c>
      <c r="B71" s="66" t="s">
        <v>100</v>
      </c>
      <c r="C71" s="69">
        <f>IF([5]С2.3!E22&gt;0,[5]С2.3!E22,[5]С2.3!E14)</f>
        <v>61211</v>
      </c>
    </row>
    <row r="72" spans="1:3" ht="38.25" x14ac:dyDescent="0.2">
      <c r="A72" s="60" t="s">
        <v>101</v>
      </c>
      <c r="B72" s="66" t="s">
        <v>102</v>
      </c>
      <c r="C72" s="69">
        <f>IF([5]С2.3!E23&gt;0,[5]С2.3!E23,[5]С2.3!E15)</f>
        <v>45675</v>
      </c>
    </row>
    <row r="73" spans="1:3" ht="30" x14ac:dyDescent="0.2">
      <c r="A73" s="60" t="s">
        <v>103</v>
      </c>
      <c r="B73" s="54" t="s">
        <v>104</v>
      </c>
      <c r="C73" s="35">
        <f>[5]С2.1!E28</f>
        <v>9541.9567200000001</v>
      </c>
    </row>
    <row r="74" spans="1:3" ht="38.25" x14ac:dyDescent="0.2">
      <c r="A74" s="60" t="s">
        <v>105</v>
      </c>
      <c r="B74" s="66" t="s">
        <v>106</v>
      </c>
      <c r="C74" s="53">
        <f>[5]С2.3!E25</f>
        <v>0</v>
      </c>
    </row>
    <row r="75" spans="1:3" ht="25.5" x14ac:dyDescent="0.2">
      <c r="A75" s="60" t="s">
        <v>107</v>
      </c>
      <c r="B75" s="67" t="s">
        <v>108</v>
      </c>
      <c r="C75" s="68">
        <f>[5]С2.3!E12</f>
        <v>0.56000000000000005</v>
      </c>
    </row>
    <row r="76" spans="1:3" ht="25.5" x14ac:dyDescent="0.2">
      <c r="A76" s="60" t="s">
        <v>109</v>
      </c>
      <c r="B76" s="67" t="s">
        <v>98</v>
      </c>
      <c r="C76" s="63">
        <f>[5]С2.3!E13</f>
        <v>300</v>
      </c>
    </row>
    <row r="77" spans="1:3" ht="25.5" x14ac:dyDescent="0.2">
      <c r="A77" s="60" t="s">
        <v>110</v>
      </c>
      <c r="B77" s="70" t="s">
        <v>111</v>
      </c>
      <c r="C77" s="69">
        <f>IF([5]С2.3!E26&gt;0,[5]С2.3!E26,[5]С2.3!E16)</f>
        <v>65637</v>
      </c>
    </row>
    <row r="78" spans="1:3" ht="38.25" x14ac:dyDescent="0.2">
      <c r="A78" s="60" t="s">
        <v>112</v>
      </c>
      <c r="B78" s="70" t="s">
        <v>113</v>
      </c>
      <c r="C78" s="69">
        <f>IF([5]С2.3!E27&gt;0,[5]С2.3!E27,[5]С2.3!E17)</f>
        <v>31684</v>
      </c>
    </row>
    <row r="79" spans="1:3" ht="17.25" x14ac:dyDescent="0.2">
      <c r="A79" s="60" t="s">
        <v>114</v>
      </c>
      <c r="B79" s="34" t="s">
        <v>115</v>
      </c>
      <c r="C79" s="36">
        <f>[5]С2!F29</f>
        <v>0.128978033685065</v>
      </c>
    </row>
    <row r="80" spans="1:3" ht="30" x14ac:dyDescent="0.2">
      <c r="A80" s="60" t="s">
        <v>116</v>
      </c>
      <c r="B80" s="54" t="s">
        <v>117</v>
      </c>
      <c r="C80" s="71">
        <f>[5]С2!F30</f>
        <v>0.11668498168498169</v>
      </c>
    </row>
    <row r="81" spans="1:3" ht="17.25" x14ac:dyDescent="0.2">
      <c r="A81" s="60" t="s">
        <v>118</v>
      </c>
      <c r="B81" s="72" t="s">
        <v>119</v>
      </c>
      <c r="C81" s="36">
        <f>[5]С2!F31</f>
        <v>0.13880000000000001</v>
      </c>
    </row>
    <row r="82" spans="1:3" s="64" customFormat="1" ht="18" thickBot="1" x14ac:dyDescent="0.25">
      <c r="A82" s="73" t="s">
        <v>120</v>
      </c>
      <c r="B82" s="74" t="s">
        <v>121</v>
      </c>
      <c r="C82" s="75">
        <f>[5]С2!F32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[5]С3!F14</f>
        <v>6998.3755440420418</v>
      </c>
    </row>
    <row r="86" spans="1:3" s="64" customFormat="1" ht="42.75" x14ac:dyDescent="0.2">
      <c r="A86" s="78" t="s">
        <v>126</v>
      </c>
      <c r="B86" s="54" t="s">
        <v>127</v>
      </c>
      <c r="C86" s="79">
        <f>[5]С3!F15</f>
        <v>0.2</v>
      </c>
    </row>
    <row r="87" spans="1:3" s="64" customFormat="1" ht="14.25" x14ac:dyDescent="0.2">
      <c r="A87" s="78" t="s">
        <v>128</v>
      </c>
      <c r="B87" s="80" t="s">
        <v>129</v>
      </c>
      <c r="C87" s="63">
        <f>[5]С3!F18</f>
        <v>15</v>
      </c>
    </row>
    <row r="88" spans="1:3" s="64" customFormat="1" ht="17.25" x14ac:dyDescent="0.2">
      <c r="A88" s="78" t="s">
        <v>130</v>
      </c>
      <c r="B88" s="34" t="s">
        <v>131</v>
      </c>
      <c r="C88" s="35">
        <f>[5]С3!F19</f>
        <v>3487.1555421534131</v>
      </c>
    </row>
    <row r="89" spans="1:3" s="64" customFormat="1" ht="55.5" x14ac:dyDescent="0.2">
      <c r="A89" s="78" t="s">
        <v>132</v>
      </c>
      <c r="B89" s="54" t="s">
        <v>133</v>
      </c>
      <c r="C89" s="81">
        <f>[5]С3!F20</f>
        <v>2.1999999999999999E-2</v>
      </c>
    </row>
    <row r="90" spans="1:3" s="64" customFormat="1" ht="14.25" x14ac:dyDescent="0.2">
      <c r="A90" s="78" t="s">
        <v>134</v>
      </c>
      <c r="B90" s="59" t="s">
        <v>80</v>
      </c>
      <c r="C90" s="63">
        <f>[5]С3!F21</f>
        <v>10</v>
      </c>
    </row>
    <row r="91" spans="1:3" s="64" customFormat="1" ht="17.25" x14ac:dyDescent="0.2">
      <c r="A91" s="78" t="s">
        <v>135</v>
      </c>
      <c r="B91" s="34" t="s">
        <v>136</v>
      </c>
      <c r="C91" s="35">
        <f>[5]С3!F22</f>
        <v>3.370944844282</v>
      </c>
    </row>
    <row r="92" spans="1:3" s="64" customFormat="1" ht="55.5" x14ac:dyDescent="0.2">
      <c r="A92" s="78" t="s">
        <v>137</v>
      </c>
      <c r="B92" s="54" t="s">
        <v>138</v>
      </c>
      <c r="C92" s="81">
        <f>[5]С3!F23</f>
        <v>3.0000000000000001E-3</v>
      </c>
    </row>
    <row r="93" spans="1:3" s="64" customFormat="1" ht="27.75" thickBot="1" x14ac:dyDescent="0.25">
      <c r="A93" s="82" t="s">
        <v>139</v>
      </c>
      <c r="B93" s="83" t="s">
        <v>140</v>
      </c>
      <c r="C93" s="84">
        <f>[5]С3!F24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[5]С4!F16</f>
        <v>1652.5</v>
      </c>
    </row>
    <row r="97" spans="1:3" ht="30" x14ac:dyDescent="0.2">
      <c r="A97" s="60" t="s">
        <v>145</v>
      </c>
      <c r="B97" s="59" t="s">
        <v>146</v>
      </c>
      <c r="C97" s="35">
        <f>[5]С4!F17</f>
        <v>73547</v>
      </c>
    </row>
    <row r="98" spans="1:3" ht="17.25" x14ac:dyDescent="0.2">
      <c r="A98" s="60" t="s">
        <v>147</v>
      </c>
      <c r="B98" s="59" t="s">
        <v>148</v>
      </c>
      <c r="C98" s="41">
        <f>[5]С4!F18</f>
        <v>0.02</v>
      </c>
    </row>
    <row r="99" spans="1:3" ht="30" x14ac:dyDescent="0.2">
      <c r="A99" s="60" t="s">
        <v>149</v>
      </c>
      <c r="B99" s="59" t="s">
        <v>150</v>
      </c>
      <c r="C99" s="35">
        <f>[5]С4!F19</f>
        <v>12104</v>
      </c>
    </row>
    <row r="100" spans="1:3" ht="31.5" x14ac:dyDescent="0.2">
      <c r="A100" s="60" t="s">
        <v>151</v>
      </c>
      <c r="B100" s="59" t="s">
        <v>152</v>
      </c>
      <c r="C100" s="41">
        <f>[5]С4!F20</f>
        <v>1.4999999999999999E-2</v>
      </c>
    </row>
    <row r="101" spans="1:3" ht="30" x14ac:dyDescent="0.2">
      <c r="A101" s="60" t="s">
        <v>153</v>
      </c>
      <c r="B101" s="34" t="s">
        <v>154</v>
      </c>
      <c r="C101" s="35">
        <f>[5]С4!F21</f>
        <v>1933.1949342509995</v>
      </c>
    </row>
    <row r="102" spans="1:3" ht="24" customHeight="1" x14ac:dyDescent="0.2">
      <c r="A102" s="60" t="s">
        <v>155</v>
      </c>
      <c r="B102" s="54" t="s">
        <v>156</v>
      </c>
      <c r="C102" s="86">
        <f>IF([5]С4.2!F8="да",[5]С4.2!D21,[5]С4.2!D15)</f>
        <v>0</v>
      </c>
    </row>
    <row r="103" spans="1:3" ht="68.25" x14ac:dyDescent="0.2">
      <c r="A103" s="60" t="s">
        <v>157</v>
      </c>
      <c r="B103" s="54" t="s">
        <v>158</v>
      </c>
      <c r="C103" s="35">
        <f>[5]С4!F22</f>
        <v>3.6112641666666665</v>
      </c>
    </row>
    <row r="104" spans="1:3" ht="30" x14ac:dyDescent="0.2">
      <c r="A104" s="60" t="s">
        <v>159</v>
      </c>
      <c r="B104" s="59" t="s">
        <v>160</v>
      </c>
      <c r="C104" s="35">
        <f>[5]С4!F23</f>
        <v>180</v>
      </c>
    </row>
    <row r="105" spans="1:3" ht="14.25" x14ac:dyDescent="0.2">
      <c r="A105" s="60" t="s">
        <v>161</v>
      </c>
      <c r="B105" s="54" t="s">
        <v>162</v>
      </c>
      <c r="C105" s="35">
        <f>[5]С4!F24</f>
        <v>8497.1999999999989</v>
      </c>
    </row>
    <row r="106" spans="1:3" ht="14.25" x14ac:dyDescent="0.2">
      <c r="A106" s="60" t="s">
        <v>163</v>
      </c>
      <c r="B106" s="59" t="s">
        <v>164</v>
      </c>
      <c r="C106" s="41">
        <f>[5]С4!F25</f>
        <v>0.35</v>
      </c>
    </row>
    <row r="107" spans="1:3" ht="17.25" x14ac:dyDescent="0.2">
      <c r="A107" s="60" t="s">
        <v>165</v>
      </c>
      <c r="B107" s="34" t="s">
        <v>166</v>
      </c>
      <c r="C107" s="35">
        <f>[5]С4!F26</f>
        <v>72.713999999999999</v>
      </c>
    </row>
    <row r="108" spans="1:3" ht="25.5" x14ac:dyDescent="0.2">
      <c r="A108" s="60" t="s">
        <v>167</v>
      </c>
      <c r="B108" s="54" t="s">
        <v>94</v>
      </c>
      <c r="C108" s="86">
        <f>[5]С4.3!E16</f>
        <v>0</v>
      </c>
    </row>
    <row r="109" spans="1:3" ht="25.5" x14ac:dyDescent="0.2">
      <c r="A109" s="60" t="s">
        <v>168</v>
      </c>
      <c r="B109" s="54" t="s">
        <v>169</v>
      </c>
      <c r="C109" s="35">
        <f>[5]С4.3!E17</f>
        <v>19.36</v>
      </c>
    </row>
    <row r="110" spans="1:3" ht="38.25" x14ac:dyDescent="0.2">
      <c r="A110" s="60" t="s">
        <v>170</v>
      </c>
      <c r="B110" s="54" t="s">
        <v>106</v>
      </c>
      <c r="C110" s="86">
        <f>[5]С4.3!E18</f>
        <v>0</v>
      </c>
    </row>
    <row r="111" spans="1:3" x14ac:dyDescent="0.2">
      <c r="A111" s="60" t="s">
        <v>171</v>
      </c>
      <c r="B111" s="54" t="s">
        <v>172</v>
      </c>
      <c r="C111" s="35">
        <f>[5]С4.3!E19</f>
        <v>23.62</v>
      </c>
    </row>
    <row r="112" spans="1:3" x14ac:dyDescent="0.2">
      <c r="A112" s="60" t="s">
        <v>173</v>
      </c>
      <c r="B112" s="59" t="s">
        <v>174</v>
      </c>
      <c r="C112" s="35">
        <f>[5]С4.3!E11</f>
        <v>1871</v>
      </c>
    </row>
    <row r="113" spans="1:3" x14ac:dyDescent="0.2">
      <c r="A113" s="60" t="s">
        <v>175</v>
      </c>
      <c r="B113" s="59" t="s">
        <v>176</v>
      </c>
      <c r="C113" s="53">
        <f>[5]С4.3!E12</f>
        <v>1636</v>
      </c>
    </row>
    <row r="114" spans="1:3" x14ac:dyDescent="0.2">
      <c r="A114" s="60" t="s">
        <v>177</v>
      </c>
      <c r="B114" s="59" t="s">
        <v>178</v>
      </c>
      <c r="C114" s="53">
        <f>[5]С4.3!E13</f>
        <v>204</v>
      </c>
    </row>
    <row r="115" spans="1:3" ht="30" x14ac:dyDescent="0.2">
      <c r="A115" s="60" t="s">
        <v>179</v>
      </c>
      <c r="B115" s="34" t="s">
        <v>180</v>
      </c>
      <c r="C115" s="35">
        <f>[5]С4!F27</f>
        <v>776.44759830395003</v>
      </c>
    </row>
    <row r="116" spans="1:3" ht="25.5" x14ac:dyDescent="0.2">
      <c r="A116" s="60" t="s">
        <v>181</v>
      </c>
      <c r="B116" s="54" t="s">
        <v>182</v>
      </c>
      <c r="C116" s="35">
        <f>[5]С4!F28</f>
        <v>596.34992189243474</v>
      </c>
    </row>
    <row r="117" spans="1:3" ht="42.75" x14ac:dyDescent="0.2">
      <c r="A117" s="60" t="s">
        <v>183</v>
      </c>
      <c r="B117" s="54" t="s">
        <v>184</v>
      </c>
      <c r="C117" s="35">
        <f>[5]С4!F29</f>
        <v>180.09767641151529</v>
      </c>
    </row>
    <row r="118" spans="1:3" ht="30" x14ac:dyDescent="0.2">
      <c r="A118" s="60" t="s">
        <v>185</v>
      </c>
      <c r="B118" s="40" t="s">
        <v>186</v>
      </c>
      <c r="C118" s="35">
        <f>[5]С4!F30</f>
        <v>2253.5829778218044</v>
      </c>
    </row>
    <row r="119" spans="1:3" ht="42.75" x14ac:dyDescent="0.2">
      <c r="A119" s="60" t="s">
        <v>187</v>
      </c>
      <c r="B119" s="87" t="s">
        <v>188</v>
      </c>
      <c r="C119" s="35">
        <f>[5]С4!F33</f>
        <v>1556.2386968907254</v>
      </c>
    </row>
    <row r="120" spans="1:3" ht="30" x14ac:dyDescent="0.2">
      <c r="A120" s="60" t="s">
        <v>189</v>
      </c>
      <c r="B120" s="88" t="s">
        <v>190</v>
      </c>
      <c r="C120" s="35">
        <f>[5]С4!F35</f>
        <v>17.040680999999999</v>
      </c>
    </row>
    <row r="121" spans="1:3" ht="14.25" x14ac:dyDescent="0.2">
      <c r="A121" s="60" t="s">
        <v>191</v>
      </c>
      <c r="B121" s="57" t="s">
        <v>192</v>
      </c>
      <c r="C121" s="35">
        <f>[5]С4!F36</f>
        <v>14319.9</v>
      </c>
    </row>
    <row r="122" spans="1:3" ht="28.5" thickBot="1" x14ac:dyDescent="0.25">
      <c r="A122" s="73" t="s">
        <v>193</v>
      </c>
      <c r="B122" s="89" t="s">
        <v>194</v>
      </c>
      <c r="C122" s="84">
        <f>[5]С4!F37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[5]С5!F17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[5]С2!F37</f>
        <v>20.818139999999996</v>
      </c>
    </row>
    <row r="136" spans="1:4" ht="14.25" x14ac:dyDescent="0.2">
      <c r="A136" s="60" t="s">
        <v>216</v>
      </c>
      <c r="B136" s="102" t="s">
        <v>217</v>
      </c>
      <c r="C136" s="35">
        <f>[5]С2!F38</f>
        <v>7</v>
      </c>
    </row>
    <row r="137" spans="1:4" ht="17.25" x14ac:dyDescent="0.2">
      <c r="A137" s="60" t="s">
        <v>218</v>
      </c>
      <c r="B137" s="102" t="s">
        <v>219</v>
      </c>
      <c r="C137" s="35">
        <f>[5]С2!F40</f>
        <v>0.97</v>
      </c>
    </row>
    <row r="138" spans="1:4" ht="15" thickBot="1" x14ac:dyDescent="0.25">
      <c r="A138" s="73" t="s">
        <v>220</v>
      </c>
      <c r="B138" s="103" t="s">
        <v>221</v>
      </c>
      <c r="C138" s="47">
        <f>[5]С2!F42</f>
        <v>0.35</v>
      </c>
    </row>
    <row r="139" spans="1:4" s="90" customFormat="1" ht="13.5" thickBot="1" x14ac:dyDescent="0.25">
      <c r="A139" s="48"/>
      <c r="B139" s="76"/>
      <c r="C139" s="15"/>
    </row>
    <row r="140" spans="1:4" ht="30" x14ac:dyDescent="0.2">
      <c r="A140" s="85" t="s">
        <v>222</v>
      </c>
      <c r="B140" s="104" t="s">
        <v>223</v>
      </c>
      <c r="C140" s="105">
        <f>[5]С2!F35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[5]С2.5!$E$11</f>
        <v>-2.9000000000000026E-2</v>
      </c>
      <c r="D143" s="90"/>
    </row>
    <row r="144" spans="1:4" x14ac:dyDescent="0.2">
      <c r="A144" s="107"/>
      <c r="B144" s="112">
        <f>B143+1</f>
        <v>2021</v>
      </c>
      <c r="C144" s="113">
        <f>[5]С2.5!$F$11</f>
        <v>0.245</v>
      </c>
      <c r="D144" s="90"/>
    </row>
    <row r="145" spans="1:4" x14ac:dyDescent="0.2">
      <c r="A145" s="107"/>
      <c r="B145" s="112">
        <f t="shared" ref="B145:B208" si="0">B144+1</f>
        <v>2022</v>
      </c>
      <c r="C145" s="113">
        <f>[5]С2.5!$G$11</f>
        <v>0.121</v>
      </c>
      <c r="D145" s="90"/>
    </row>
    <row r="146" spans="1:4" ht="13.5" thickBot="1" x14ac:dyDescent="0.25">
      <c r="A146" s="107"/>
      <c r="B146" s="114">
        <f t="shared" si="0"/>
        <v>2023</v>
      </c>
      <c r="C146" s="115">
        <f>[5]С2.5!$H$11</f>
        <v>0.02</v>
      </c>
      <c r="D146" s="90"/>
    </row>
    <row r="147" spans="1:4" hidden="1" x14ac:dyDescent="0.2">
      <c r="A147" s="107"/>
      <c r="B147" s="116">
        <f t="shared" si="0"/>
        <v>2024</v>
      </c>
      <c r="C147" s="117">
        <f>[5]С2.5!$I$11</f>
        <v>-2.93E-2</v>
      </c>
      <c r="D147" s="90"/>
    </row>
    <row r="148" spans="1:4" hidden="1" x14ac:dyDescent="0.2">
      <c r="A148" s="107"/>
      <c r="B148" s="112">
        <f t="shared" si="0"/>
        <v>2025</v>
      </c>
      <c r="C148" s="113">
        <f>[5]С2.5!$J$11</f>
        <v>0.21215960863291</v>
      </c>
      <c r="D148" s="90"/>
    </row>
    <row r="149" spans="1:4" hidden="1" x14ac:dyDescent="0.2">
      <c r="A149" s="107"/>
      <c r="B149" s="112">
        <f t="shared" si="0"/>
        <v>2026</v>
      </c>
      <c r="C149" s="113">
        <f>[5]С2.5!$K$11</f>
        <v>3.5813361771260002E-2</v>
      </c>
      <c r="D149" s="90"/>
    </row>
    <row r="150" spans="1:4" hidden="1" x14ac:dyDescent="0.2">
      <c r="A150" s="107"/>
      <c r="B150" s="112">
        <f t="shared" si="0"/>
        <v>2027</v>
      </c>
      <c r="C150" s="113">
        <f>[5]С2.5!$L$11</f>
        <v>3.2682303599220003E-2</v>
      </c>
      <c r="D150" s="90"/>
    </row>
    <row r="151" spans="1:4" hidden="1" x14ac:dyDescent="0.2">
      <c r="A151" s="107"/>
      <c r="B151" s="112">
        <f t="shared" si="0"/>
        <v>2028</v>
      </c>
      <c r="C151" s="113">
        <f>[5]С2.5!$M$11</f>
        <v>0</v>
      </c>
      <c r="D151" s="90"/>
    </row>
    <row r="152" spans="1:4" hidden="1" x14ac:dyDescent="0.2">
      <c r="A152" s="107"/>
      <c r="B152" s="112">
        <f t="shared" si="0"/>
        <v>2029</v>
      </c>
      <c r="C152" s="113">
        <f>[5]С2.5!$N$11</f>
        <v>0</v>
      </c>
      <c r="D152" s="90"/>
    </row>
    <row r="153" spans="1:4" hidden="1" x14ac:dyDescent="0.2">
      <c r="A153" s="107"/>
      <c r="B153" s="112">
        <f t="shared" si="0"/>
        <v>2030</v>
      </c>
      <c r="C153" s="113">
        <f>[5]С2.5!$O$11</f>
        <v>0</v>
      </c>
      <c r="D153" s="90"/>
    </row>
    <row r="154" spans="1:4" hidden="1" x14ac:dyDescent="0.2">
      <c r="A154" s="107"/>
      <c r="B154" s="112">
        <f t="shared" si="0"/>
        <v>2031</v>
      </c>
      <c r="C154" s="113">
        <f>[5]С2.5!$P$11</f>
        <v>0</v>
      </c>
      <c r="D154" s="90"/>
    </row>
    <row r="155" spans="1:4" hidden="1" x14ac:dyDescent="0.2">
      <c r="A155" s="90"/>
      <c r="B155" s="112">
        <f t="shared" si="0"/>
        <v>2032</v>
      </c>
      <c r="C155" s="113">
        <f>[5]С2.5!$Q$11</f>
        <v>0</v>
      </c>
      <c r="D155" s="90"/>
    </row>
    <row r="156" spans="1:4" hidden="1" x14ac:dyDescent="0.2">
      <c r="A156" s="90"/>
      <c r="B156" s="112">
        <f t="shared" si="0"/>
        <v>2033</v>
      </c>
      <c r="C156" s="113">
        <f>[5]С2.5!$R$11</f>
        <v>0</v>
      </c>
      <c r="D156" s="90"/>
    </row>
    <row r="157" spans="1:4" hidden="1" x14ac:dyDescent="0.2">
      <c r="B157" s="112">
        <f t="shared" si="0"/>
        <v>2034</v>
      </c>
      <c r="C157" s="113">
        <f>[5]С2.5!$S$11</f>
        <v>0</v>
      </c>
    </row>
    <row r="158" spans="1:4" hidden="1" x14ac:dyDescent="0.2">
      <c r="B158" s="112">
        <f t="shared" si="0"/>
        <v>2035</v>
      </c>
      <c r="C158" s="113">
        <f>[5]С2.5!$T$11</f>
        <v>0</v>
      </c>
    </row>
    <row r="159" spans="1:4" hidden="1" x14ac:dyDescent="0.2">
      <c r="B159" s="112">
        <f t="shared" si="0"/>
        <v>2036</v>
      </c>
      <c r="C159" s="113">
        <f>[5]С2.5!$U$11</f>
        <v>0</v>
      </c>
    </row>
    <row r="160" spans="1:4" hidden="1" x14ac:dyDescent="0.2">
      <c r="B160" s="112">
        <f t="shared" si="0"/>
        <v>2037</v>
      </c>
      <c r="C160" s="113">
        <f>[5]С2.5!$V$11</f>
        <v>0</v>
      </c>
    </row>
    <row r="161" spans="2:3" hidden="1" x14ac:dyDescent="0.2">
      <c r="B161" s="112">
        <f t="shared" si="0"/>
        <v>2038</v>
      </c>
      <c r="C161" s="113">
        <f>[5]С2.5!$W$11</f>
        <v>0</v>
      </c>
    </row>
    <row r="162" spans="2:3" hidden="1" x14ac:dyDescent="0.2">
      <c r="B162" s="112">
        <f t="shared" si="0"/>
        <v>2039</v>
      </c>
      <c r="C162" s="113">
        <f>[5]С2.5!$X$11</f>
        <v>0</v>
      </c>
    </row>
    <row r="163" spans="2:3" hidden="1" x14ac:dyDescent="0.2">
      <c r="B163" s="112">
        <f t="shared" si="0"/>
        <v>2040</v>
      </c>
      <c r="C163" s="113">
        <f>[5]С2.5!$Y$11</f>
        <v>0</v>
      </c>
    </row>
    <row r="164" spans="2:3" hidden="1" x14ac:dyDescent="0.2">
      <c r="B164" s="112">
        <f t="shared" si="0"/>
        <v>2041</v>
      </c>
      <c r="C164" s="113">
        <f>[5]С2.5!$Z$11</f>
        <v>0</v>
      </c>
    </row>
    <row r="165" spans="2:3" hidden="1" x14ac:dyDescent="0.2">
      <c r="B165" s="112">
        <f t="shared" si="0"/>
        <v>2042</v>
      </c>
      <c r="C165" s="113">
        <f>[5]С2.5!$AA$11</f>
        <v>0</v>
      </c>
    </row>
    <row r="166" spans="2:3" hidden="1" x14ac:dyDescent="0.2">
      <c r="B166" s="112">
        <f t="shared" si="0"/>
        <v>2043</v>
      </c>
      <c r="C166" s="113">
        <f>[5]С2.5!$AB$11</f>
        <v>0</v>
      </c>
    </row>
    <row r="167" spans="2:3" hidden="1" x14ac:dyDescent="0.2">
      <c r="B167" s="112">
        <f t="shared" si="0"/>
        <v>2044</v>
      </c>
      <c r="C167" s="113">
        <f>[5]С2.5!$AC$11</f>
        <v>0</v>
      </c>
    </row>
    <row r="168" spans="2:3" hidden="1" x14ac:dyDescent="0.2">
      <c r="B168" s="112">
        <f t="shared" si="0"/>
        <v>2045</v>
      </c>
      <c r="C168" s="113">
        <f>[5]С2.5!$AD$11</f>
        <v>0</v>
      </c>
    </row>
    <row r="169" spans="2:3" hidden="1" x14ac:dyDescent="0.2">
      <c r="B169" s="112">
        <f t="shared" si="0"/>
        <v>2046</v>
      </c>
      <c r="C169" s="113">
        <f>[5]С2.5!$AE$11</f>
        <v>0</v>
      </c>
    </row>
    <row r="170" spans="2:3" hidden="1" x14ac:dyDescent="0.2">
      <c r="B170" s="112">
        <f t="shared" si="0"/>
        <v>2047</v>
      </c>
      <c r="C170" s="113">
        <f>[5]С2.5!$AF$11</f>
        <v>0</v>
      </c>
    </row>
    <row r="171" spans="2:3" hidden="1" x14ac:dyDescent="0.2">
      <c r="B171" s="112">
        <f t="shared" si="0"/>
        <v>2048</v>
      </c>
      <c r="C171" s="113">
        <f>[5]С2.5!$AG$11</f>
        <v>0</v>
      </c>
    </row>
    <row r="172" spans="2:3" hidden="1" x14ac:dyDescent="0.2">
      <c r="B172" s="112">
        <f t="shared" si="0"/>
        <v>2049</v>
      </c>
      <c r="C172" s="113">
        <f>[5]С2.5!$AH$11</f>
        <v>0</v>
      </c>
    </row>
    <row r="173" spans="2:3" hidden="1" x14ac:dyDescent="0.2">
      <c r="B173" s="112">
        <f t="shared" si="0"/>
        <v>2050</v>
      </c>
      <c r="C173" s="113">
        <f>[5]С2.5!$AI$11</f>
        <v>0</v>
      </c>
    </row>
    <row r="174" spans="2:3" hidden="1" x14ac:dyDescent="0.2">
      <c r="B174" s="112">
        <f t="shared" si="0"/>
        <v>2051</v>
      </c>
      <c r="C174" s="113">
        <f>[5]С2.5!$AJ$11</f>
        <v>0</v>
      </c>
    </row>
    <row r="175" spans="2:3" hidden="1" x14ac:dyDescent="0.2">
      <c r="B175" s="112">
        <f t="shared" si="0"/>
        <v>2052</v>
      </c>
      <c r="C175" s="113">
        <f>[5]С2.5!$AK$11</f>
        <v>0</v>
      </c>
    </row>
    <row r="176" spans="2:3" hidden="1" x14ac:dyDescent="0.2">
      <c r="B176" s="112">
        <f t="shared" si="0"/>
        <v>2053</v>
      </c>
      <c r="C176" s="113">
        <f>[5]С2.5!$AL$11</f>
        <v>0</v>
      </c>
    </row>
    <row r="177" spans="2:3" hidden="1" x14ac:dyDescent="0.2">
      <c r="B177" s="112">
        <f t="shared" si="0"/>
        <v>2054</v>
      </c>
      <c r="C177" s="113">
        <f>[5]С2.5!$AM$11</f>
        <v>0</v>
      </c>
    </row>
    <row r="178" spans="2:3" hidden="1" x14ac:dyDescent="0.2">
      <c r="B178" s="112">
        <f t="shared" si="0"/>
        <v>2055</v>
      </c>
      <c r="C178" s="113">
        <f>[5]С2.5!$AN$11</f>
        <v>0</v>
      </c>
    </row>
    <row r="179" spans="2:3" hidden="1" x14ac:dyDescent="0.2">
      <c r="B179" s="112">
        <f t="shared" si="0"/>
        <v>2056</v>
      </c>
      <c r="C179" s="113">
        <f>[5]С2.5!$AO$11</f>
        <v>0</v>
      </c>
    </row>
    <row r="180" spans="2:3" hidden="1" x14ac:dyDescent="0.2">
      <c r="B180" s="112">
        <f t="shared" si="0"/>
        <v>2057</v>
      </c>
      <c r="C180" s="113">
        <f>[5]С2.5!$AP$11</f>
        <v>0</v>
      </c>
    </row>
    <row r="181" spans="2:3" hidden="1" x14ac:dyDescent="0.2">
      <c r="B181" s="112">
        <f t="shared" si="0"/>
        <v>2058</v>
      </c>
      <c r="C181" s="113">
        <f>[5]С2.5!$AQ$11</f>
        <v>0</v>
      </c>
    </row>
    <row r="182" spans="2:3" hidden="1" x14ac:dyDescent="0.2">
      <c r="B182" s="112">
        <f t="shared" si="0"/>
        <v>2059</v>
      </c>
      <c r="C182" s="113">
        <f>[5]С2.5!$AR$11</f>
        <v>0</v>
      </c>
    </row>
    <row r="183" spans="2:3" hidden="1" x14ac:dyDescent="0.2">
      <c r="B183" s="112">
        <f t="shared" si="0"/>
        <v>2060</v>
      </c>
      <c r="C183" s="113">
        <f>[5]С2.5!$AS$11</f>
        <v>0</v>
      </c>
    </row>
    <row r="184" spans="2:3" hidden="1" x14ac:dyDescent="0.2">
      <c r="B184" s="112">
        <f t="shared" si="0"/>
        <v>2061</v>
      </c>
      <c r="C184" s="113">
        <f>[5]С2.5!$AT$11</f>
        <v>0</v>
      </c>
    </row>
    <row r="185" spans="2:3" hidden="1" x14ac:dyDescent="0.2">
      <c r="B185" s="112">
        <f t="shared" si="0"/>
        <v>2062</v>
      </c>
      <c r="C185" s="113">
        <f>[5]С2.5!$AU$11</f>
        <v>0</v>
      </c>
    </row>
    <row r="186" spans="2:3" hidden="1" x14ac:dyDescent="0.2">
      <c r="B186" s="112">
        <f t="shared" si="0"/>
        <v>2063</v>
      </c>
      <c r="C186" s="113">
        <f>[5]С2.5!$AV$11</f>
        <v>0</v>
      </c>
    </row>
    <row r="187" spans="2:3" hidden="1" x14ac:dyDescent="0.2">
      <c r="B187" s="112">
        <f t="shared" si="0"/>
        <v>2064</v>
      </c>
      <c r="C187" s="113">
        <f>[5]С2.5!$AW$11</f>
        <v>0</v>
      </c>
    </row>
    <row r="188" spans="2:3" hidden="1" x14ac:dyDescent="0.2">
      <c r="B188" s="112">
        <f t="shared" si="0"/>
        <v>2065</v>
      </c>
      <c r="C188" s="113">
        <f>[5]С2.5!$AX$11</f>
        <v>0</v>
      </c>
    </row>
    <row r="189" spans="2:3" hidden="1" x14ac:dyDescent="0.2">
      <c r="B189" s="112">
        <f t="shared" si="0"/>
        <v>2066</v>
      </c>
      <c r="C189" s="113">
        <f>[5]С2.5!$AY$11</f>
        <v>0</v>
      </c>
    </row>
    <row r="190" spans="2:3" hidden="1" x14ac:dyDescent="0.2">
      <c r="B190" s="112">
        <f t="shared" si="0"/>
        <v>2067</v>
      </c>
      <c r="C190" s="113">
        <f>[5]С2.5!$AZ$11</f>
        <v>0</v>
      </c>
    </row>
    <row r="191" spans="2:3" hidden="1" x14ac:dyDescent="0.2">
      <c r="B191" s="112">
        <f t="shared" si="0"/>
        <v>2068</v>
      </c>
      <c r="C191" s="113">
        <f>[5]С2.5!$BA$11</f>
        <v>0</v>
      </c>
    </row>
    <row r="192" spans="2:3" hidden="1" x14ac:dyDescent="0.2">
      <c r="B192" s="112">
        <f t="shared" si="0"/>
        <v>2069</v>
      </c>
      <c r="C192" s="113">
        <f>[5]С2.5!$BB$11</f>
        <v>0</v>
      </c>
    </row>
    <row r="193" spans="2:3" hidden="1" x14ac:dyDescent="0.2">
      <c r="B193" s="112">
        <f t="shared" si="0"/>
        <v>2070</v>
      </c>
      <c r="C193" s="113">
        <f>[5]С2.5!$BC$11</f>
        <v>0</v>
      </c>
    </row>
    <row r="194" spans="2:3" hidden="1" x14ac:dyDescent="0.2">
      <c r="B194" s="112">
        <f t="shared" si="0"/>
        <v>2071</v>
      </c>
      <c r="C194" s="113">
        <f>[5]С2.5!$BD$11</f>
        <v>0</v>
      </c>
    </row>
    <row r="195" spans="2:3" hidden="1" x14ac:dyDescent="0.2">
      <c r="B195" s="112">
        <f t="shared" si="0"/>
        <v>2072</v>
      </c>
      <c r="C195" s="113">
        <f>[5]С2.5!$BE$11</f>
        <v>0</v>
      </c>
    </row>
    <row r="196" spans="2:3" hidden="1" x14ac:dyDescent="0.2">
      <c r="B196" s="112">
        <f t="shared" si="0"/>
        <v>2073</v>
      </c>
      <c r="C196" s="113">
        <f>[5]С2.5!$BF$11</f>
        <v>0</v>
      </c>
    </row>
    <row r="197" spans="2:3" hidden="1" x14ac:dyDescent="0.2">
      <c r="B197" s="112">
        <f t="shared" si="0"/>
        <v>2074</v>
      </c>
      <c r="C197" s="113">
        <f>[5]С2.5!$BG$11</f>
        <v>0</v>
      </c>
    </row>
    <row r="198" spans="2:3" hidden="1" x14ac:dyDescent="0.2">
      <c r="B198" s="112">
        <f t="shared" si="0"/>
        <v>2075</v>
      </c>
      <c r="C198" s="113">
        <f>[5]С2.5!$BH$11</f>
        <v>0</v>
      </c>
    </row>
    <row r="199" spans="2:3" hidden="1" x14ac:dyDescent="0.2">
      <c r="B199" s="112">
        <f t="shared" si="0"/>
        <v>2076</v>
      </c>
      <c r="C199" s="113">
        <f>[5]С2.5!$BI$11</f>
        <v>0</v>
      </c>
    </row>
    <row r="200" spans="2:3" hidden="1" x14ac:dyDescent="0.2">
      <c r="B200" s="112">
        <f t="shared" si="0"/>
        <v>2077</v>
      </c>
      <c r="C200" s="113">
        <f>[5]С2.5!$BJ$11</f>
        <v>0</v>
      </c>
    </row>
    <row r="201" spans="2:3" hidden="1" x14ac:dyDescent="0.2">
      <c r="B201" s="112">
        <f t="shared" si="0"/>
        <v>2078</v>
      </c>
      <c r="C201" s="113">
        <f>[5]С2.5!$BK$11</f>
        <v>0</v>
      </c>
    </row>
    <row r="202" spans="2:3" hidden="1" x14ac:dyDescent="0.2">
      <c r="B202" s="112">
        <f t="shared" si="0"/>
        <v>2079</v>
      </c>
      <c r="C202" s="113">
        <f>[5]С2.5!$BL$11</f>
        <v>0</v>
      </c>
    </row>
    <row r="203" spans="2:3" hidden="1" x14ac:dyDescent="0.2">
      <c r="B203" s="112">
        <f t="shared" si="0"/>
        <v>2080</v>
      </c>
      <c r="C203" s="113">
        <f>[5]С2.5!$BM$11</f>
        <v>0</v>
      </c>
    </row>
    <row r="204" spans="2:3" hidden="1" x14ac:dyDescent="0.2">
      <c r="B204" s="112">
        <f t="shared" si="0"/>
        <v>2081</v>
      </c>
      <c r="C204" s="113">
        <f>[5]С2.5!$BN$11</f>
        <v>0</v>
      </c>
    </row>
    <row r="205" spans="2:3" hidden="1" x14ac:dyDescent="0.2">
      <c r="B205" s="112">
        <f t="shared" si="0"/>
        <v>2082</v>
      </c>
      <c r="C205" s="113">
        <f>[5]С2.5!$BO$11</f>
        <v>0</v>
      </c>
    </row>
    <row r="206" spans="2:3" hidden="1" x14ac:dyDescent="0.2">
      <c r="B206" s="112">
        <f t="shared" si="0"/>
        <v>2083</v>
      </c>
      <c r="C206" s="113">
        <f>[5]С2.5!$BP$11</f>
        <v>0</v>
      </c>
    </row>
    <row r="207" spans="2:3" hidden="1" x14ac:dyDescent="0.2">
      <c r="B207" s="112">
        <f t="shared" si="0"/>
        <v>2084</v>
      </c>
      <c r="C207" s="113">
        <f>[5]С2.5!$BQ$11</f>
        <v>0</v>
      </c>
    </row>
    <row r="208" spans="2:3" hidden="1" x14ac:dyDescent="0.2">
      <c r="B208" s="112">
        <f t="shared" si="0"/>
        <v>2085</v>
      </c>
      <c r="C208" s="113">
        <f>[5]С2.5!$BR$11</f>
        <v>0</v>
      </c>
    </row>
    <row r="209" spans="2:3" hidden="1" x14ac:dyDescent="0.2">
      <c r="B209" s="112">
        <f t="shared" ref="B209:B223" si="1">B208+1</f>
        <v>2086</v>
      </c>
      <c r="C209" s="113">
        <f>[5]С2.5!$BS$11</f>
        <v>0</v>
      </c>
    </row>
    <row r="210" spans="2:3" hidden="1" x14ac:dyDescent="0.2">
      <c r="B210" s="112">
        <f t="shared" si="1"/>
        <v>2087</v>
      </c>
      <c r="C210" s="113">
        <f>[5]С2.5!$BT$11</f>
        <v>0</v>
      </c>
    </row>
    <row r="211" spans="2:3" hidden="1" x14ac:dyDescent="0.2">
      <c r="B211" s="112">
        <f t="shared" si="1"/>
        <v>2088</v>
      </c>
      <c r="C211" s="113">
        <f>[5]С2.5!$BU$11</f>
        <v>0</v>
      </c>
    </row>
    <row r="212" spans="2:3" hidden="1" x14ac:dyDescent="0.2">
      <c r="B212" s="112">
        <f t="shared" si="1"/>
        <v>2089</v>
      </c>
      <c r="C212" s="113">
        <f>[5]С2.5!$BV$11</f>
        <v>0</v>
      </c>
    </row>
    <row r="213" spans="2:3" hidden="1" x14ac:dyDescent="0.2">
      <c r="B213" s="112">
        <f t="shared" si="1"/>
        <v>2090</v>
      </c>
      <c r="C213" s="113">
        <f>[5]С2.5!$BW$11</f>
        <v>0</v>
      </c>
    </row>
    <row r="214" spans="2:3" hidden="1" x14ac:dyDescent="0.2">
      <c r="B214" s="112">
        <f t="shared" si="1"/>
        <v>2091</v>
      </c>
      <c r="C214" s="113">
        <f>[5]С2.5!$BX$11</f>
        <v>0</v>
      </c>
    </row>
    <row r="215" spans="2:3" hidden="1" x14ac:dyDescent="0.2">
      <c r="B215" s="112">
        <f t="shared" si="1"/>
        <v>2092</v>
      </c>
      <c r="C215" s="113">
        <f>[5]С2.5!$BY$11</f>
        <v>0</v>
      </c>
    </row>
    <row r="216" spans="2:3" hidden="1" x14ac:dyDescent="0.2">
      <c r="B216" s="112">
        <f t="shared" si="1"/>
        <v>2093</v>
      </c>
      <c r="C216" s="113">
        <f>[5]С2.5!$BZ$11</f>
        <v>0</v>
      </c>
    </row>
    <row r="217" spans="2:3" hidden="1" x14ac:dyDescent="0.2">
      <c r="B217" s="112">
        <f t="shared" si="1"/>
        <v>2094</v>
      </c>
      <c r="C217" s="113">
        <f>[5]С2.5!$CA$11</f>
        <v>0</v>
      </c>
    </row>
    <row r="218" spans="2:3" hidden="1" x14ac:dyDescent="0.2">
      <c r="B218" s="112">
        <f t="shared" si="1"/>
        <v>2095</v>
      </c>
      <c r="C218" s="113">
        <f>[5]С2.5!$CB$11</f>
        <v>0</v>
      </c>
    </row>
    <row r="219" spans="2:3" hidden="1" x14ac:dyDescent="0.2">
      <c r="B219" s="112">
        <f t="shared" si="1"/>
        <v>2096</v>
      </c>
      <c r="C219" s="113">
        <f>[5]С2.5!$CC$11</f>
        <v>0</v>
      </c>
    </row>
    <row r="220" spans="2:3" hidden="1" x14ac:dyDescent="0.2">
      <c r="B220" s="112">
        <f t="shared" si="1"/>
        <v>2097</v>
      </c>
      <c r="C220" s="113">
        <f>[5]С2.5!$CD$11</f>
        <v>0</v>
      </c>
    </row>
    <row r="221" spans="2:3" hidden="1" x14ac:dyDescent="0.2">
      <c r="B221" s="112">
        <f t="shared" si="1"/>
        <v>2098</v>
      </c>
      <c r="C221" s="113">
        <f>[5]С2.5!$CE$11</f>
        <v>0</v>
      </c>
    </row>
    <row r="222" spans="2:3" hidden="1" x14ac:dyDescent="0.2">
      <c r="B222" s="112">
        <f t="shared" si="1"/>
        <v>2099</v>
      </c>
      <c r="C222" s="113">
        <f>[5]С2.5!$CF$11</f>
        <v>0</v>
      </c>
    </row>
    <row r="223" spans="2:3" ht="13.5" hidden="1" thickBot="1" x14ac:dyDescent="0.25">
      <c r="B223" s="114">
        <f t="shared" si="1"/>
        <v>2100</v>
      </c>
      <c r="C223" s="115">
        <f>[5]С2.5!$CG$11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5]!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[6]И1!D13</f>
        <v>Субъект Российской Федерации</v>
      </c>
      <c r="C4" s="10" t="str">
        <f>[6]И1!E13</f>
        <v>Новосибирская область</v>
      </c>
    </row>
    <row r="5" spans="1:3" ht="38.25" x14ac:dyDescent="0.2">
      <c r="A5" s="8"/>
      <c r="B5" s="9" t="str">
        <f>[6]И1!D14</f>
        <v>Тип муниципального образования (выберите из списка)</v>
      </c>
      <c r="C5" s="10" t="str">
        <f>[6]И1!E14</f>
        <v>поселок Кайгородский, Краснозерский муниципальный район</v>
      </c>
    </row>
    <row r="6" spans="1:3" x14ac:dyDescent="0.2">
      <c r="A6" s="8"/>
      <c r="B6" s="9" t="str">
        <f>IF([6]И1!E15="","",[6]И1!D15)</f>
        <v/>
      </c>
      <c r="C6" s="10" t="str">
        <f>IF([6]И1!E15="","",[6]И1!E15)</f>
        <v/>
      </c>
    </row>
    <row r="7" spans="1:3" x14ac:dyDescent="0.2">
      <c r="A7" s="8"/>
      <c r="B7" s="9" t="str">
        <f>[6]И1!D16</f>
        <v>Код ОКТМО</v>
      </c>
      <c r="C7" s="11" t="str">
        <f>[6]И1!E16</f>
        <v xml:space="preserve"> (50627409101)</v>
      </c>
    </row>
    <row r="8" spans="1:3" x14ac:dyDescent="0.2">
      <c r="A8" s="8"/>
      <c r="B8" s="12" t="str">
        <f>[6]И1!D17</f>
        <v>Система теплоснабжения</v>
      </c>
      <c r="C8" s="13">
        <f>[6]И1!E17</f>
        <v>0</v>
      </c>
    </row>
    <row r="9" spans="1:3" x14ac:dyDescent="0.2">
      <c r="A9" s="8"/>
      <c r="B9" s="9" t="str">
        <f>[6]И1!D8</f>
        <v>Период регулирования (i)-й</v>
      </c>
      <c r="C9" s="14">
        <f>[6]И1!E8</f>
        <v>2023</v>
      </c>
    </row>
    <row r="10" spans="1:3" x14ac:dyDescent="0.2">
      <c r="A10" s="8"/>
      <c r="B10" s="9" t="str">
        <f>[6]И1!D9</f>
        <v>Период регулирования (i-1)-й</v>
      </c>
      <c r="C10" s="14">
        <f>[6]И1!E9</f>
        <v>2022</v>
      </c>
    </row>
    <row r="11" spans="1:3" x14ac:dyDescent="0.2">
      <c r="A11" s="8"/>
      <c r="B11" s="9" t="str">
        <f>[6]И1!D10</f>
        <v>Период регулирования (i-2)-й</v>
      </c>
      <c r="C11" s="14">
        <f>[6]И1!E10</f>
        <v>2021</v>
      </c>
    </row>
    <row r="12" spans="1:3" x14ac:dyDescent="0.2">
      <c r="A12" s="8"/>
      <c r="B12" s="9" t="str">
        <f>[6]И1!D11</f>
        <v>Базовый год (б)</v>
      </c>
      <c r="C12" s="14">
        <f>[6]И1!E11</f>
        <v>2019</v>
      </c>
    </row>
    <row r="13" spans="1:3" ht="38.25" x14ac:dyDescent="0.2">
      <c r="A13" s="8"/>
      <c r="B13" s="9" t="str">
        <f>[6]И1!D18</f>
        <v>Вид топлива, использование которого преобладает в системе теплоснабжения</v>
      </c>
      <c r="C13" s="15" t="str">
        <f>[6]С1.1!E13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4094.2297918235963</v>
      </c>
    </row>
    <row r="18" spans="1:3" ht="42.75" x14ac:dyDescent="0.2">
      <c r="A18" s="22" t="s">
        <v>8</v>
      </c>
      <c r="B18" s="25" t="s">
        <v>9</v>
      </c>
      <c r="C18" s="26">
        <f>[6]С1!F12</f>
        <v>1004.8077072302247</v>
      </c>
    </row>
    <row r="19" spans="1:3" ht="42.75" x14ac:dyDescent="0.2">
      <c r="A19" s="22" t="s">
        <v>10</v>
      </c>
      <c r="B19" s="25" t="s">
        <v>11</v>
      </c>
      <c r="C19" s="26">
        <f>[6]С2!F12</f>
        <v>2106.0579468653982</v>
      </c>
    </row>
    <row r="20" spans="1:3" ht="30" x14ac:dyDescent="0.2">
      <c r="A20" s="22" t="s">
        <v>12</v>
      </c>
      <c r="B20" s="25" t="s">
        <v>13</v>
      </c>
      <c r="C20" s="26">
        <f>[6]С3!F12</f>
        <v>503.83473408478085</v>
      </c>
    </row>
    <row r="21" spans="1:3" ht="42.75" x14ac:dyDescent="0.2">
      <c r="A21" s="22" t="s">
        <v>14</v>
      </c>
      <c r="B21" s="25" t="s">
        <v>15</v>
      </c>
      <c r="C21" s="26">
        <f>[6]С4!F12</f>
        <v>399.25038811724022</v>
      </c>
    </row>
    <row r="22" spans="1:3" ht="30" x14ac:dyDescent="0.2">
      <c r="A22" s="22" t="s">
        <v>16</v>
      </c>
      <c r="B22" s="25" t="s">
        <v>17</v>
      </c>
      <c r="C22" s="26">
        <f>[6]С5!F12</f>
        <v>80.279015525952872</v>
      </c>
    </row>
    <row r="23" spans="1:3" ht="43.5" thickBot="1" x14ac:dyDescent="0.25">
      <c r="A23" s="27" t="s">
        <v>18</v>
      </c>
      <c r="B23" s="106" t="s">
        <v>19</v>
      </c>
      <c r="C23" s="29" t="str">
        <f>[6]С6!F12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[6]С1.1!E16</f>
        <v>5100</v>
      </c>
    </row>
    <row r="29" spans="1:3" ht="42.75" x14ac:dyDescent="0.2">
      <c r="A29" s="22" t="s">
        <v>10</v>
      </c>
      <c r="B29" s="34" t="s">
        <v>22</v>
      </c>
      <c r="C29" s="35">
        <f>[6]С1.1!E27</f>
        <v>2701.76</v>
      </c>
    </row>
    <row r="30" spans="1:3" ht="17.25" x14ac:dyDescent="0.2">
      <c r="A30" s="22" t="s">
        <v>12</v>
      </c>
      <c r="B30" s="34" t="s">
        <v>23</v>
      </c>
      <c r="C30" s="36">
        <f>[6]С1.1!E19</f>
        <v>0.59499999999999997</v>
      </c>
    </row>
    <row r="31" spans="1:3" ht="17.25" x14ac:dyDescent="0.2">
      <c r="A31" s="22" t="s">
        <v>14</v>
      </c>
      <c r="B31" s="34" t="s">
        <v>24</v>
      </c>
      <c r="C31" s="36">
        <f>[6]С1.1!E20</f>
        <v>-0.113</v>
      </c>
    </row>
    <row r="32" spans="1:3" ht="30" x14ac:dyDescent="0.2">
      <c r="A32" s="22" t="s">
        <v>16</v>
      </c>
      <c r="B32" s="37" t="s">
        <v>25</v>
      </c>
      <c r="C32" s="38">
        <f>[6]С1!F13</f>
        <v>176.4</v>
      </c>
    </row>
    <row r="33" spans="1:3" x14ac:dyDescent="0.2">
      <c r="A33" s="22" t="s">
        <v>18</v>
      </c>
      <c r="B33" s="37" t="s">
        <v>26</v>
      </c>
      <c r="C33" s="39">
        <f>[6]С1!F16</f>
        <v>7000</v>
      </c>
    </row>
    <row r="34" spans="1:3" ht="14.25" x14ac:dyDescent="0.2">
      <c r="A34" s="22" t="s">
        <v>27</v>
      </c>
      <c r="B34" s="40" t="s">
        <v>28</v>
      </c>
      <c r="C34" s="41">
        <f>[6]С1!F17</f>
        <v>0.72857142857142854</v>
      </c>
    </row>
    <row r="35" spans="1:3" ht="15.75" x14ac:dyDescent="0.2">
      <c r="A35" s="42" t="s">
        <v>29</v>
      </c>
      <c r="B35" s="43" t="s">
        <v>30</v>
      </c>
      <c r="C35" s="41">
        <f>[6]С1!F20</f>
        <v>21.588411179999994</v>
      </c>
    </row>
    <row r="36" spans="1:3" ht="15.75" x14ac:dyDescent="0.2">
      <c r="A36" s="42" t="s">
        <v>31</v>
      </c>
      <c r="B36" s="44" t="s">
        <v>32</v>
      </c>
      <c r="C36" s="41">
        <f>[6]С1!F21</f>
        <v>20.818139999999996</v>
      </c>
    </row>
    <row r="37" spans="1:3" ht="14.25" x14ac:dyDescent="0.2">
      <c r="A37" s="42" t="s">
        <v>33</v>
      </c>
      <c r="B37" s="45" t="s">
        <v>34</v>
      </c>
      <c r="C37" s="41">
        <f>[6]С1!F22</f>
        <v>1.0369999999999999</v>
      </c>
    </row>
    <row r="38" spans="1:3" ht="53.25" thickBot="1" x14ac:dyDescent="0.25">
      <c r="A38" s="27" t="s">
        <v>35</v>
      </c>
      <c r="B38" s="46" t="s">
        <v>36</v>
      </c>
      <c r="C38" s="47">
        <f>[6]С1!F23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[6]С2.1!E12</f>
        <v>V</v>
      </c>
    </row>
    <row r="42" spans="1:3" ht="25.5" x14ac:dyDescent="0.2">
      <c r="A42" s="22" t="s">
        <v>41</v>
      </c>
      <c r="B42" s="34" t="s">
        <v>42</v>
      </c>
      <c r="C42" s="52" t="str">
        <f>[6]С2.1!E13</f>
        <v>6 и менее баллов</v>
      </c>
    </row>
    <row r="43" spans="1:3" ht="25.5" x14ac:dyDescent="0.2">
      <c r="A43" s="22" t="s">
        <v>43</v>
      </c>
      <c r="B43" s="34" t="s">
        <v>44</v>
      </c>
      <c r="C43" s="52" t="str">
        <f>[6]С2.1!E14</f>
        <v>от 200 до 500</v>
      </c>
    </row>
    <row r="44" spans="1:3" ht="25.5" x14ac:dyDescent="0.2">
      <c r="A44" s="22" t="s">
        <v>45</v>
      </c>
      <c r="B44" s="34" t="s">
        <v>46</v>
      </c>
      <c r="C44" s="53" t="str">
        <f>[6]С2.1!E15</f>
        <v>нет</v>
      </c>
    </row>
    <row r="45" spans="1:3" ht="30" x14ac:dyDescent="0.2">
      <c r="A45" s="22" t="s">
        <v>47</v>
      </c>
      <c r="B45" s="34" t="s">
        <v>48</v>
      </c>
      <c r="C45" s="35">
        <f>[6]С2!F18</f>
        <v>32402.627334033532</v>
      </c>
    </row>
    <row r="46" spans="1:3" ht="30" x14ac:dyDescent="0.2">
      <c r="A46" s="22" t="s">
        <v>49</v>
      </c>
      <c r="B46" s="54" t="s">
        <v>50</v>
      </c>
      <c r="C46" s="35">
        <f>IF([6]С2!F19&gt;0,[6]С2!F19,[6]С2!F20)</f>
        <v>23441.524932855718</v>
      </c>
    </row>
    <row r="47" spans="1:3" ht="25.5" x14ac:dyDescent="0.2">
      <c r="A47" s="22" t="s">
        <v>51</v>
      </c>
      <c r="B47" s="55" t="s">
        <v>52</v>
      </c>
      <c r="C47" s="35">
        <f>[6]С2.1!E19</f>
        <v>-37</v>
      </c>
    </row>
    <row r="48" spans="1:3" ht="25.5" x14ac:dyDescent="0.2">
      <c r="A48" s="22" t="s">
        <v>53</v>
      </c>
      <c r="B48" s="55" t="s">
        <v>54</v>
      </c>
      <c r="C48" s="35" t="str">
        <f>[6]С2.1!E22</f>
        <v>нет</v>
      </c>
    </row>
    <row r="49" spans="1:3" ht="38.25" x14ac:dyDescent="0.2">
      <c r="A49" s="22" t="s">
        <v>55</v>
      </c>
      <c r="B49" s="56" t="s">
        <v>56</v>
      </c>
      <c r="C49" s="35">
        <f>[6]С2.2!E10</f>
        <v>1287</v>
      </c>
    </row>
    <row r="50" spans="1:3" ht="25.5" x14ac:dyDescent="0.2">
      <c r="A50" s="22" t="s">
        <v>57</v>
      </c>
      <c r="B50" s="57" t="s">
        <v>58</v>
      </c>
      <c r="C50" s="35">
        <f>[6]С2.2!E12</f>
        <v>5.97</v>
      </c>
    </row>
    <row r="51" spans="1:3" ht="52.5" x14ac:dyDescent="0.2">
      <c r="A51" s="22" t="s">
        <v>59</v>
      </c>
      <c r="B51" s="58" t="s">
        <v>60</v>
      </c>
      <c r="C51" s="35">
        <f>[6]С2.2!E13</f>
        <v>1</v>
      </c>
    </row>
    <row r="52" spans="1:3" ht="27.75" x14ac:dyDescent="0.2">
      <c r="A52" s="22" t="s">
        <v>61</v>
      </c>
      <c r="B52" s="57" t="s">
        <v>62</v>
      </c>
      <c r="C52" s="35">
        <f>[6]С2.2!E14</f>
        <v>12104</v>
      </c>
    </row>
    <row r="53" spans="1:3" ht="25.5" x14ac:dyDescent="0.2">
      <c r="A53" s="22" t="s">
        <v>63</v>
      </c>
      <c r="B53" s="58" t="s">
        <v>64</v>
      </c>
      <c r="C53" s="36">
        <f>[6]С2.2!E15</f>
        <v>4.8000000000000001E-2</v>
      </c>
    </row>
    <row r="54" spans="1:3" x14ac:dyDescent="0.2">
      <c r="A54" s="22" t="s">
        <v>65</v>
      </c>
      <c r="B54" s="58" t="s">
        <v>66</v>
      </c>
      <c r="C54" s="35">
        <f>[6]С2.2!E16</f>
        <v>1</v>
      </c>
    </row>
    <row r="55" spans="1:3" ht="15.75" x14ac:dyDescent="0.2">
      <c r="A55" s="22" t="s">
        <v>67</v>
      </c>
      <c r="B55" s="59" t="s">
        <v>68</v>
      </c>
      <c r="C55" s="35">
        <f>[6]С2!F21</f>
        <v>1</v>
      </c>
    </row>
    <row r="56" spans="1:3" ht="30" x14ac:dyDescent="0.2">
      <c r="A56" s="60" t="s">
        <v>69</v>
      </c>
      <c r="B56" s="34" t="s">
        <v>70</v>
      </c>
      <c r="C56" s="35">
        <f>[6]С2!F13</f>
        <v>169640.22915965237</v>
      </c>
    </row>
    <row r="57" spans="1:3" ht="30" x14ac:dyDescent="0.2">
      <c r="A57" s="60" t="s">
        <v>71</v>
      </c>
      <c r="B57" s="59" t="s">
        <v>72</v>
      </c>
      <c r="C57" s="35">
        <f>[6]С2!F14</f>
        <v>113455</v>
      </c>
    </row>
    <row r="58" spans="1:3" ht="15.75" x14ac:dyDescent="0.2">
      <c r="A58" s="60" t="s">
        <v>73</v>
      </c>
      <c r="B58" s="61" t="s">
        <v>74</v>
      </c>
      <c r="C58" s="41">
        <f>[6]С2!F15</f>
        <v>1.071</v>
      </c>
    </row>
    <row r="59" spans="1:3" ht="15.75" x14ac:dyDescent="0.2">
      <c r="A59" s="60" t="s">
        <v>75</v>
      </c>
      <c r="B59" s="61" t="s">
        <v>76</v>
      </c>
      <c r="C59" s="41">
        <f>[6]С2!F16</f>
        <v>1</v>
      </c>
    </row>
    <row r="60" spans="1:3" ht="17.25" x14ac:dyDescent="0.2">
      <c r="A60" s="60" t="s">
        <v>77</v>
      </c>
      <c r="B60" s="59" t="s">
        <v>78</v>
      </c>
      <c r="C60" s="35">
        <f>[6]С2!F17</f>
        <v>1.01</v>
      </c>
    </row>
    <row r="61" spans="1:3" s="64" customFormat="1" ht="14.25" x14ac:dyDescent="0.2">
      <c r="A61" s="60" t="s">
        <v>79</v>
      </c>
      <c r="B61" s="62" t="s">
        <v>80</v>
      </c>
      <c r="C61" s="63">
        <f>[6]С2!F33</f>
        <v>10</v>
      </c>
    </row>
    <row r="62" spans="1:3" ht="30" x14ac:dyDescent="0.2">
      <c r="A62" s="60" t="s">
        <v>81</v>
      </c>
      <c r="B62" s="65" t="s">
        <v>82</v>
      </c>
      <c r="C62" s="35">
        <f>[6]С2!F26</f>
        <v>1123.6482814273334</v>
      </c>
    </row>
    <row r="63" spans="1:3" ht="17.25" x14ac:dyDescent="0.2">
      <c r="A63" s="60" t="s">
        <v>83</v>
      </c>
      <c r="B63" s="54" t="s">
        <v>84</v>
      </c>
      <c r="C63" s="35">
        <f>[6]С2!F27</f>
        <v>0.19354712999999998</v>
      </c>
    </row>
    <row r="64" spans="1:3" ht="17.25" x14ac:dyDescent="0.2">
      <c r="A64" s="60" t="s">
        <v>85</v>
      </c>
      <c r="B64" s="59" t="s">
        <v>86</v>
      </c>
      <c r="C64" s="63">
        <f>[6]С2!F28</f>
        <v>4200</v>
      </c>
    </row>
    <row r="65" spans="1:3" ht="42.75" x14ac:dyDescent="0.2">
      <c r="A65" s="60" t="s">
        <v>87</v>
      </c>
      <c r="B65" s="34" t="s">
        <v>88</v>
      </c>
      <c r="C65" s="35">
        <f>[6]С2!F22</f>
        <v>35717.748653137714</v>
      </c>
    </row>
    <row r="66" spans="1:3" ht="30" x14ac:dyDescent="0.2">
      <c r="A66" s="60" t="s">
        <v>89</v>
      </c>
      <c r="B66" s="61" t="s">
        <v>90</v>
      </c>
      <c r="C66" s="35">
        <f>[6]С2!F23</f>
        <v>1990</v>
      </c>
    </row>
    <row r="67" spans="1:3" ht="30" x14ac:dyDescent="0.2">
      <c r="A67" s="60" t="s">
        <v>91</v>
      </c>
      <c r="B67" s="54" t="s">
        <v>92</v>
      </c>
      <c r="C67" s="35">
        <f>[6]С2.1!E27</f>
        <v>14307.876789999998</v>
      </c>
    </row>
    <row r="68" spans="1:3" ht="38.25" x14ac:dyDescent="0.2">
      <c r="A68" s="60" t="s">
        <v>93</v>
      </c>
      <c r="B68" s="66" t="s">
        <v>94</v>
      </c>
      <c r="C68" s="53">
        <f>[6]С2.3!E21</f>
        <v>0</v>
      </c>
    </row>
    <row r="69" spans="1:3" ht="25.5" x14ac:dyDescent="0.2">
      <c r="A69" s="60" t="s">
        <v>95</v>
      </c>
      <c r="B69" s="67" t="s">
        <v>96</v>
      </c>
      <c r="C69" s="68">
        <f>[6]С2.3!E11</f>
        <v>9.89</v>
      </c>
    </row>
    <row r="70" spans="1:3" ht="25.5" x14ac:dyDescent="0.2">
      <c r="A70" s="60" t="s">
        <v>97</v>
      </c>
      <c r="B70" s="67" t="s">
        <v>98</v>
      </c>
      <c r="C70" s="63">
        <f>[6]С2.3!E13</f>
        <v>300</v>
      </c>
    </row>
    <row r="71" spans="1:3" ht="25.5" x14ac:dyDescent="0.2">
      <c r="A71" s="60" t="s">
        <v>99</v>
      </c>
      <c r="B71" s="66" t="s">
        <v>100</v>
      </c>
      <c r="C71" s="69">
        <f>IF([6]С2.3!E22&gt;0,[6]С2.3!E22,[6]С2.3!E14)</f>
        <v>61211</v>
      </c>
    </row>
    <row r="72" spans="1:3" ht="38.25" x14ac:dyDescent="0.2">
      <c r="A72" s="60" t="s">
        <v>101</v>
      </c>
      <c r="B72" s="66" t="s">
        <v>102</v>
      </c>
      <c r="C72" s="69">
        <f>IF([6]С2.3!E23&gt;0,[6]С2.3!E23,[6]С2.3!E15)</f>
        <v>45675</v>
      </c>
    </row>
    <row r="73" spans="1:3" ht="30" x14ac:dyDescent="0.2">
      <c r="A73" s="60" t="s">
        <v>103</v>
      </c>
      <c r="B73" s="54" t="s">
        <v>104</v>
      </c>
      <c r="C73" s="35">
        <f>[6]С2.1!E28</f>
        <v>9541.9567200000001</v>
      </c>
    </row>
    <row r="74" spans="1:3" ht="38.25" x14ac:dyDescent="0.2">
      <c r="A74" s="60" t="s">
        <v>105</v>
      </c>
      <c r="B74" s="66" t="s">
        <v>106</v>
      </c>
      <c r="C74" s="53">
        <f>[6]С2.3!E25</f>
        <v>0</v>
      </c>
    </row>
    <row r="75" spans="1:3" ht="25.5" x14ac:dyDescent="0.2">
      <c r="A75" s="60" t="s">
        <v>107</v>
      </c>
      <c r="B75" s="67" t="s">
        <v>108</v>
      </c>
      <c r="C75" s="68">
        <f>[6]С2.3!E12</f>
        <v>0.56000000000000005</v>
      </c>
    </row>
    <row r="76" spans="1:3" ht="25.5" x14ac:dyDescent="0.2">
      <c r="A76" s="60" t="s">
        <v>109</v>
      </c>
      <c r="B76" s="67" t="s">
        <v>98</v>
      </c>
      <c r="C76" s="63">
        <f>[6]С2.3!E13</f>
        <v>300</v>
      </c>
    </row>
    <row r="77" spans="1:3" ht="25.5" x14ac:dyDescent="0.2">
      <c r="A77" s="60" t="s">
        <v>110</v>
      </c>
      <c r="B77" s="70" t="s">
        <v>111</v>
      </c>
      <c r="C77" s="69">
        <f>IF([6]С2.3!E26&gt;0,[6]С2.3!E26,[6]С2.3!E16)</f>
        <v>65637</v>
      </c>
    </row>
    <row r="78" spans="1:3" ht="38.25" x14ac:dyDescent="0.2">
      <c r="A78" s="60" t="s">
        <v>112</v>
      </c>
      <c r="B78" s="70" t="s">
        <v>113</v>
      </c>
      <c r="C78" s="69">
        <f>IF([6]С2.3!E27&gt;0,[6]С2.3!E27,[6]С2.3!E17)</f>
        <v>31684</v>
      </c>
    </row>
    <row r="79" spans="1:3" ht="17.25" x14ac:dyDescent="0.2">
      <c r="A79" s="60" t="s">
        <v>114</v>
      </c>
      <c r="B79" s="34" t="s">
        <v>115</v>
      </c>
      <c r="C79" s="36">
        <f>[6]С2!F29</f>
        <v>0.128978033685065</v>
      </c>
    </row>
    <row r="80" spans="1:3" ht="30" x14ac:dyDescent="0.2">
      <c r="A80" s="60" t="s">
        <v>116</v>
      </c>
      <c r="B80" s="54" t="s">
        <v>117</v>
      </c>
      <c r="C80" s="71">
        <f>[6]С2!F30</f>
        <v>0.11668498168498169</v>
      </c>
    </row>
    <row r="81" spans="1:3" ht="17.25" x14ac:dyDescent="0.2">
      <c r="A81" s="60" t="s">
        <v>118</v>
      </c>
      <c r="B81" s="72" t="s">
        <v>119</v>
      </c>
      <c r="C81" s="36">
        <f>[6]С2!F31</f>
        <v>0.13880000000000001</v>
      </c>
    </row>
    <row r="82" spans="1:3" s="64" customFormat="1" ht="18" thickBot="1" x14ac:dyDescent="0.25">
      <c r="A82" s="73" t="s">
        <v>120</v>
      </c>
      <c r="B82" s="74" t="s">
        <v>121</v>
      </c>
      <c r="C82" s="75">
        <f>[6]С2!F32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[6]С3!F14</f>
        <v>6998.3755440420418</v>
      </c>
    </row>
    <row r="86" spans="1:3" s="64" customFormat="1" ht="42.75" x14ac:dyDescent="0.2">
      <c r="A86" s="78" t="s">
        <v>126</v>
      </c>
      <c r="B86" s="54" t="s">
        <v>127</v>
      </c>
      <c r="C86" s="79">
        <f>[6]С3!F15</f>
        <v>0.2</v>
      </c>
    </row>
    <row r="87" spans="1:3" s="64" customFormat="1" ht="14.25" x14ac:dyDescent="0.2">
      <c r="A87" s="78" t="s">
        <v>128</v>
      </c>
      <c r="B87" s="80" t="s">
        <v>129</v>
      </c>
      <c r="C87" s="63">
        <f>[6]С3!F18</f>
        <v>15</v>
      </c>
    </row>
    <row r="88" spans="1:3" s="64" customFormat="1" ht="17.25" x14ac:dyDescent="0.2">
      <c r="A88" s="78" t="s">
        <v>130</v>
      </c>
      <c r="B88" s="34" t="s">
        <v>131</v>
      </c>
      <c r="C88" s="35">
        <f>[6]С3!F19</f>
        <v>3487.1555421534131</v>
      </c>
    </row>
    <row r="89" spans="1:3" s="64" customFormat="1" ht="55.5" x14ac:dyDescent="0.2">
      <c r="A89" s="78" t="s">
        <v>132</v>
      </c>
      <c r="B89" s="54" t="s">
        <v>133</v>
      </c>
      <c r="C89" s="81">
        <f>[6]С3!F20</f>
        <v>2.1999999999999999E-2</v>
      </c>
    </row>
    <row r="90" spans="1:3" s="64" customFormat="1" ht="14.25" x14ac:dyDescent="0.2">
      <c r="A90" s="78" t="s">
        <v>134</v>
      </c>
      <c r="B90" s="59" t="s">
        <v>80</v>
      </c>
      <c r="C90" s="63">
        <f>[6]С3!F21</f>
        <v>10</v>
      </c>
    </row>
    <row r="91" spans="1:3" s="64" customFormat="1" ht="17.25" x14ac:dyDescent="0.2">
      <c r="A91" s="78" t="s">
        <v>135</v>
      </c>
      <c r="B91" s="34" t="s">
        <v>136</v>
      </c>
      <c r="C91" s="35">
        <f>[6]С3!F22</f>
        <v>3.370944844282</v>
      </c>
    </row>
    <row r="92" spans="1:3" s="64" customFormat="1" ht="55.5" x14ac:dyDescent="0.2">
      <c r="A92" s="78" t="s">
        <v>137</v>
      </c>
      <c r="B92" s="54" t="s">
        <v>138</v>
      </c>
      <c r="C92" s="81">
        <f>[6]С3!F23</f>
        <v>3.0000000000000001E-3</v>
      </c>
    </row>
    <row r="93" spans="1:3" s="64" customFormat="1" ht="27.75" thickBot="1" x14ac:dyDescent="0.25">
      <c r="A93" s="82" t="s">
        <v>139</v>
      </c>
      <c r="B93" s="83" t="s">
        <v>140</v>
      </c>
      <c r="C93" s="84">
        <f>[6]С3!F24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[6]С4!F16</f>
        <v>1652.5</v>
      </c>
    </row>
    <row r="97" spans="1:3" ht="30" x14ac:dyDescent="0.2">
      <c r="A97" s="60" t="s">
        <v>145</v>
      </c>
      <c r="B97" s="59" t="s">
        <v>146</v>
      </c>
      <c r="C97" s="35">
        <f>[6]С4!F17</f>
        <v>73547</v>
      </c>
    </row>
    <row r="98" spans="1:3" ht="17.25" x14ac:dyDescent="0.2">
      <c r="A98" s="60" t="s">
        <v>147</v>
      </c>
      <c r="B98" s="59" t="s">
        <v>148</v>
      </c>
      <c r="C98" s="41">
        <f>[6]С4!F18</f>
        <v>0.02</v>
      </c>
    </row>
    <row r="99" spans="1:3" ht="30" x14ac:dyDescent="0.2">
      <c r="A99" s="60" t="s">
        <v>149</v>
      </c>
      <c r="B99" s="59" t="s">
        <v>150</v>
      </c>
      <c r="C99" s="35">
        <f>[6]С4!F19</f>
        <v>12104</v>
      </c>
    </row>
    <row r="100" spans="1:3" ht="31.5" x14ac:dyDescent="0.2">
      <c r="A100" s="60" t="s">
        <v>151</v>
      </c>
      <c r="B100" s="59" t="s">
        <v>152</v>
      </c>
      <c r="C100" s="41">
        <f>[6]С4!F20</f>
        <v>1.4999999999999999E-2</v>
      </c>
    </row>
    <row r="101" spans="1:3" ht="30" x14ac:dyDescent="0.2">
      <c r="A101" s="60" t="s">
        <v>153</v>
      </c>
      <c r="B101" s="34" t="s">
        <v>154</v>
      </c>
      <c r="C101" s="35">
        <f>[6]С4!F21</f>
        <v>1933.1949342509995</v>
      </c>
    </row>
    <row r="102" spans="1:3" ht="24" customHeight="1" x14ac:dyDescent="0.2">
      <c r="A102" s="60" t="s">
        <v>155</v>
      </c>
      <c r="B102" s="54" t="s">
        <v>156</v>
      </c>
      <c r="C102" s="86">
        <f>IF([6]С4.2!F8="да",[6]С4.2!D21,[6]С4.2!D15)</f>
        <v>0</v>
      </c>
    </row>
    <row r="103" spans="1:3" ht="68.25" x14ac:dyDescent="0.2">
      <c r="A103" s="60" t="s">
        <v>157</v>
      </c>
      <c r="B103" s="54" t="s">
        <v>158</v>
      </c>
      <c r="C103" s="35">
        <f>[6]С4!F22</f>
        <v>3.6112641666666665</v>
      </c>
    </row>
    <row r="104" spans="1:3" ht="30" x14ac:dyDescent="0.2">
      <c r="A104" s="60" t="s">
        <v>159</v>
      </c>
      <c r="B104" s="59" t="s">
        <v>160</v>
      </c>
      <c r="C104" s="35">
        <f>[6]С4!F23</f>
        <v>180</v>
      </c>
    </row>
    <row r="105" spans="1:3" ht="14.25" x14ac:dyDescent="0.2">
      <c r="A105" s="60" t="s">
        <v>161</v>
      </c>
      <c r="B105" s="54" t="s">
        <v>162</v>
      </c>
      <c r="C105" s="35">
        <f>[6]С4!F24</f>
        <v>8497.1999999999989</v>
      </c>
    </row>
    <row r="106" spans="1:3" ht="14.25" x14ac:dyDescent="0.2">
      <c r="A106" s="60" t="s">
        <v>163</v>
      </c>
      <c r="B106" s="59" t="s">
        <v>164</v>
      </c>
      <c r="C106" s="41">
        <f>[6]С4!F25</f>
        <v>0.35</v>
      </c>
    </row>
    <row r="107" spans="1:3" ht="17.25" x14ac:dyDescent="0.2">
      <c r="A107" s="60" t="s">
        <v>165</v>
      </c>
      <c r="B107" s="34" t="s">
        <v>166</v>
      </c>
      <c r="C107" s="35">
        <f>[6]С4!F26</f>
        <v>74.642849999999996</v>
      </c>
    </row>
    <row r="108" spans="1:3" ht="25.5" x14ac:dyDescent="0.2">
      <c r="A108" s="60" t="s">
        <v>167</v>
      </c>
      <c r="B108" s="54" t="s">
        <v>94</v>
      </c>
      <c r="C108" s="86">
        <f>[6]С4.3!E16</f>
        <v>0</v>
      </c>
    </row>
    <row r="109" spans="1:3" ht="25.5" x14ac:dyDescent="0.2">
      <c r="A109" s="60" t="s">
        <v>168</v>
      </c>
      <c r="B109" s="54" t="s">
        <v>169</v>
      </c>
      <c r="C109" s="35">
        <f>[6]С4.3!E17</f>
        <v>19.91</v>
      </c>
    </row>
    <row r="110" spans="1:3" ht="38.25" x14ac:dyDescent="0.2">
      <c r="A110" s="60" t="s">
        <v>170</v>
      </c>
      <c r="B110" s="54" t="s">
        <v>106</v>
      </c>
      <c r="C110" s="86">
        <f>[6]С4.3!E18</f>
        <v>0</v>
      </c>
    </row>
    <row r="111" spans="1:3" x14ac:dyDescent="0.2">
      <c r="A111" s="60" t="s">
        <v>171</v>
      </c>
      <c r="B111" s="54" t="s">
        <v>172</v>
      </c>
      <c r="C111" s="35">
        <f>[6]С4.3!E19</f>
        <v>23.62</v>
      </c>
    </row>
    <row r="112" spans="1:3" x14ac:dyDescent="0.2">
      <c r="A112" s="60" t="s">
        <v>173</v>
      </c>
      <c r="B112" s="59" t="s">
        <v>174</v>
      </c>
      <c r="C112" s="35">
        <f>[6]С4.3!E11</f>
        <v>1871</v>
      </c>
    </row>
    <row r="113" spans="1:3" x14ac:dyDescent="0.2">
      <c r="A113" s="60" t="s">
        <v>175</v>
      </c>
      <c r="B113" s="59" t="s">
        <v>176</v>
      </c>
      <c r="C113" s="53">
        <f>[6]С4.3!E12</f>
        <v>1636</v>
      </c>
    </row>
    <row r="114" spans="1:3" x14ac:dyDescent="0.2">
      <c r="A114" s="60" t="s">
        <v>177</v>
      </c>
      <c r="B114" s="59" t="s">
        <v>178</v>
      </c>
      <c r="C114" s="53">
        <f>[6]С4.3!E13</f>
        <v>204</v>
      </c>
    </row>
    <row r="115" spans="1:3" ht="30" x14ac:dyDescent="0.2">
      <c r="A115" s="60" t="s">
        <v>179</v>
      </c>
      <c r="B115" s="34" t="s">
        <v>180</v>
      </c>
      <c r="C115" s="35">
        <f>[6]С4!F27</f>
        <v>776.44759830395003</v>
      </c>
    </row>
    <row r="116" spans="1:3" ht="25.5" x14ac:dyDescent="0.2">
      <c r="A116" s="60" t="s">
        <v>181</v>
      </c>
      <c r="B116" s="54" t="s">
        <v>182</v>
      </c>
      <c r="C116" s="35">
        <f>[6]С4!F28</f>
        <v>596.34992189243474</v>
      </c>
    </row>
    <row r="117" spans="1:3" ht="42.75" x14ac:dyDescent="0.2">
      <c r="A117" s="60" t="s">
        <v>183</v>
      </c>
      <c r="B117" s="54" t="s">
        <v>184</v>
      </c>
      <c r="C117" s="35">
        <f>[6]С4!F29</f>
        <v>180.09767641151529</v>
      </c>
    </row>
    <row r="118" spans="1:3" ht="30" x14ac:dyDescent="0.2">
      <c r="A118" s="60" t="s">
        <v>185</v>
      </c>
      <c r="B118" s="40" t="s">
        <v>186</v>
      </c>
      <c r="C118" s="35">
        <f>[6]С4!F30</f>
        <v>2178.7941985146972</v>
      </c>
    </row>
    <row r="119" spans="1:3" ht="42.75" x14ac:dyDescent="0.2">
      <c r="A119" s="60" t="s">
        <v>187</v>
      </c>
      <c r="B119" s="87" t="s">
        <v>188</v>
      </c>
      <c r="C119" s="35">
        <f>[6]С4!F33</f>
        <v>1481.3166075538477</v>
      </c>
    </row>
    <row r="120" spans="1:3" ht="30" x14ac:dyDescent="0.2">
      <c r="A120" s="60" t="s">
        <v>189</v>
      </c>
      <c r="B120" s="88" t="s">
        <v>190</v>
      </c>
      <c r="C120" s="35">
        <f>[6]С4!F35</f>
        <v>17.040680999999999</v>
      </c>
    </row>
    <row r="121" spans="1:3" ht="14.25" x14ac:dyDescent="0.2">
      <c r="A121" s="60" t="s">
        <v>191</v>
      </c>
      <c r="B121" s="57" t="s">
        <v>192</v>
      </c>
      <c r="C121" s="35">
        <f>[6]С4!F36</f>
        <v>14319.9</v>
      </c>
    </row>
    <row r="122" spans="1:3" ht="28.5" thickBot="1" x14ac:dyDescent="0.25">
      <c r="A122" s="73" t="s">
        <v>193</v>
      </c>
      <c r="B122" s="89" t="s">
        <v>194</v>
      </c>
      <c r="C122" s="84">
        <f>[6]С4!F37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[6]С5!F17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[6]С2!F37</f>
        <v>20.818139999999996</v>
      </c>
    </row>
    <row r="136" spans="1:4" ht="14.25" x14ac:dyDescent="0.2">
      <c r="A136" s="60" t="s">
        <v>216</v>
      </c>
      <c r="B136" s="102" t="s">
        <v>217</v>
      </c>
      <c r="C136" s="35">
        <f>[6]С2!F38</f>
        <v>7</v>
      </c>
    </row>
    <row r="137" spans="1:4" ht="17.25" x14ac:dyDescent="0.2">
      <c r="A137" s="60" t="s">
        <v>218</v>
      </c>
      <c r="B137" s="102" t="s">
        <v>219</v>
      </c>
      <c r="C137" s="35">
        <f>[6]С2!F40</f>
        <v>0.97</v>
      </c>
    </row>
    <row r="138" spans="1:4" ht="15" thickBot="1" x14ac:dyDescent="0.25">
      <c r="A138" s="73" t="s">
        <v>220</v>
      </c>
      <c r="B138" s="103" t="s">
        <v>221</v>
      </c>
      <c r="C138" s="47">
        <f>[6]С2!F42</f>
        <v>0.35</v>
      </c>
    </row>
    <row r="139" spans="1:4" s="90" customFormat="1" ht="13.5" thickBot="1" x14ac:dyDescent="0.25">
      <c r="A139" s="48"/>
      <c r="B139" s="76"/>
      <c r="C139" s="15"/>
    </row>
    <row r="140" spans="1:4" ht="30" x14ac:dyDescent="0.2">
      <c r="A140" s="85" t="s">
        <v>222</v>
      </c>
      <c r="B140" s="104" t="s">
        <v>223</v>
      </c>
      <c r="C140" s="105">
        <f>[6]С2!F35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[6]С2.5!$E$11</f>
        <v>-2.9000000000000026E-2</v>
      </c>
      <c r="D143" s="90"/>
    </row>
    <row r="144" spans="1:4" x14ac:dyDescent="0.2">
      <c r="A144" s="107"/>
      <c r="B144" s="112">
        <f>B143+1</f>
        <v>2021</v>
      </c>
      <c r="C144" s="113">
        <f>[6]С2.5!$F$11</f>
        <v>0.245</v>
      </c>
      <c r="D144" s="90"/>
    </row>
    <row r="145" spans="1:4" x14ac:dyDescent="0.2">
      <c r="A145" s="107"/>
      <c r="B145" s="112">
        <f t="shared" ref="B145:B208" si="0">B144+1</f>
        <v>2022</v>
      </c>
      <c r="C145" s="113">
        <f>[6]С2.5!$G$11</f>
        <v>0.121</v>
      </c>
      <c r="D145" s="90"/>
    </row>
    <row r="146" spans="1:4" ht="13.5" thickBot="1" x14ac:dyDescent="0.25">
      <c r="A146" s="107"/>
      <c r="B146" s="114">
        <f t="shared" si="0"/>
        <v>2023</v>
      </c>
      <c r="C146" s="115">
        <f>[6]С2.5!$H$11</f>
        <v>0.02</v>
      </c>
      <c r="D146" s="90"/>
    </row>
    <row r="147" spans="1:4" hidden="1" x14ac:dyDescent="0.2">
      <c r="A147" s="107"/>
      <c r="B147" s="116">
        <f t="shared" si="0"/>
        <v>2024</v>
      </c>
      <c r="C147" s="117">
        <f>[6]С2.5!$I$11</f>
        <v>-2.93E-2</v>
      </c>
      <c r="D147" s="90"/>
    </row>
    <row r="148" spans="1:4" hidden="1" x14ac:dyDescent="0.2">
      <c r="A148" s="107"/>
      <c r="B148" s="112">
        <f t="shared" si="0"/>
        <v>2025</v>
      </c>
      <c r="C148" s="113">
        <f>[6]С2.5!$J$11</f>
        <v>0.21215960863291</v>
      </c>
      <c r="D148" s="90"/>
    </row>
    <row r="149" spans="1:4" hidden="1" x14ac:dyDescent="0.2">
      <c r="A149" s="107"/>
      <c r="B149" s="112">
        <f t="shared" si="0"/>
        <v>2026</v>
      </c>
      <c r="C149" s="113">
        <f>[6]С2.5!$K$11</f>
        <v>3.5813361771260002E-2</v>
      </c>
      <c r="D149" s="90"/>
    </row>
    <row r="150" spans="1:4" hidden="1" x14ac:dyDescent="0.2">
      <c r="A150" s="107"/>
      <c r="B150" s="112">
        <f t="shared" si="0"/>
        <v>2027</v>
      </c>
      <c r="C150" s="113">
        <f>[6]С2.5!$L$11</f>
        <v>3.2682303599220003E-2</v>
      </c>
      <c r="D150" s="90"/>
    </row>
    <row r="151" spans="1:4" hidden="1" x14ac:dyDescent="0.2">
      <c r="A151" s="107"/>
      <c r="B151" s="112">
        <f t="shared" si="0"/>
        <v>2028</v>
      </c>
      <c r="C151" s="113">
        <f>[6]С2.5!$M$11</f>
        <v>0</v>
      </c>
      <c r="D151" s="90"/>
    </row>
    <row r="152" spans="1:4" hidden="1" x14ac:dyDescent="0.2">
      <c r="A152" s="107"/>
      <c r="B152" s="112">
        <f t="shared" si="0"/>
        <v>2029</v>
      </c>
      <c r="C152" s="113">
        <f>[6]С2.5!$N$11</f>
        <v>0</v>
      </c>
      <c r="D152" s="90"/>
    </row>
    <row r="153" spans="1:4" hidden="1" x14ac:dyDescent="0.2">
      <c r="A153" s="107"/>
      <c r="B153" s="112">
        <f t="shared" si="0"/>
        <v>2030</v>
      </c>
      <c r="C153" s="113">
        <f>[6]С2.5!$O$11</f>
        <v>0</v>
      </c>
      <c r="D153" s="90"/>
    </row>
    <row r="154" spans="1:4" hidden="1" x14ac:dyDescent="0.2">
      <c r="A154" s="107"/>
      <c r="B154" s="112">
        <f t="shared" si="0"/>
        <v>2031</v>
      </c>
      <c r="C154" s="113">
        <f>[6]С2.5!$P$11</f>
        <v>0</v>
      </c>
      <c r="D154" s="90"/>
    </row>
    <row r="155" spans="1:4" hidden="1" x14ac:dyDescent="0.2">
      <c r="A155" s="90"/>
      <c r="B155" s="112">
        <f t="shared" si="0"/>
        <v>2032</v>
      </c>
      <c r="C155" s="113">
        <f>[6]С2.5!$Q$11</f>
        <v>0</v>
      </c>
      <c r="D155" s="90"/>
    </row>
    <row r="156" spans="1:4" hidden="1" x14ac:dyDescent="0.2">
      <c r="A156" s="90"/>
      <c r="B156" s="112">
        <f t="shared" si="0"/>
        <v>2033</v>
      </c>
      <c r="C156" s="113">
        <f>[6]С2.5!$R$11</f>
        <v>0</v>
      </c>
      <c r="D156" s="90"/>
    </row>
    <row r="157" spans="1:4" hidden="1" x14ac:dyDescent="0.2">
      <c r="B157" s="112">
        <f t="shared" si="0"/>
        <v>2034</v>
      </c>
      <c r="C157" s="113">
        <f>[6]С2.5!$S$11</f>
        <v>0</v>
      </c>
    </row>
    <row r="158" spans="1:4" hidden="1" x14ac:dyDescent="0.2">
      <c r="B158" s="112">
        <f t="shared" si="0"/>
        <v>2035</v>
      </c>
      <c r="C158" s="113">
        <f>[6]С2.5!$T$11</f>
        <v>0</v>
      </c>
    </row>
    <row r="159" spans="1:4" hidden="1" x14ac:dyDescent="0.2">
      <c r="B159" s="112">
        <f t="shared" si="0"/>
        <v>2036</v>
      </c>
      <c r="C159" s="113">
        <f>[6]С2.5!$U$11</f>
        <v>0</v>
      </c>
    </row>
    <row r="160" spans="1:4" hidden="1" x14ac:dyDescent="0.2">
      <c r="B160" s="112">
        <f t="shared" si="0"/>
        <v>2037</v>
      </c>
      <c r="C160" s="113">
        <f>[6]С2.5!$V$11</f>
        <v>0</v>
      </c>
    </row>
    <row r="161" spans="2:3" hidden="1" x14ac:dyDescent="0.2">
      <c r="B161" s="112">
        <f t="shared" si="0"/>
        <v>2038</v>
      </c>
      <c r="C161" s="113">
        <f>[6]С2.5!$W$11</f>
        <v>0</v>
      </c>
    </row>
    <row r="162" spans="2:3" hidden="1" x14ac:dyDescent="0.2">
      <c r="B162" s="112">
        <f t="shared" si="0"/>
        <v>2039</v>
      </c>
      <c r="C162" s="113">
        <f>[6]С2.5!$X$11</f>
        <v>0</v>
      </c>
    </row>
    <row r="163" spans="2:3" hidden="1" x14ac:dyDescent="0.2">
      <c r="B163" s="112">
        <f t="shared" si="0"/>
        <v>2040</v>
      </c>
      <c r="C163" s="113">
        <f>[6]С2.5!$Y$11</f>
        <v>0</v>
      </c>
    </row>
    <row r="164" spans="2:3" hidden="1" x14ac:dyDescent="0.2">
      <c r="B164" s="112">
        <f t="shared" si="0"/>
        <v>2041</v>
      </c>
      <c r="C164" s="113">
        <f>[6]С2.5!$Z$11</f>
        <v>0</v>
      </c>
    </row>
    <row r="165" spans="2:3" hidden="1" x14ac:dyDescent="0.2">
      <c r="B165" s="112">
        <f t="shared" si="0"/>
        <v>2042</v>
      </c>
      <c r="C165" s="113">
        <f>[6]С2.5!$AA$11</f>
        <v>0</v>
      </c>
    </row>
    <row r="166" spans="2:3" hidden="1" x14ac:dyDescent="0.2">
      <c r="B166" s="112">
        <f t="shared" si="0"/>
        <v>2043</v>
      </c>
      <c r="C166" s="113">
        <f>[6]С2.5!$AB$11</f>
        <v>0</v>
      </c>
    </row>
    <row r="167" spans="2:3" hidden="1" x14ac:dyDescent="0.2">
      <c r="B167" s="112">
        <f t="shared" si="0"/>
        <v>2044</v>
      </c>
      <c r="C167" s="113">
        <f>[6]С2.5!$AC$11</f>
        <v>0</v>
      </c>
    </row>
    <row r="168" spans="2:3" hidden="1" x14ac:dyDescent="0.2">
      <c r="B168" s="112">
        <f t="shared" si="0"/>
        <v>2045</v>
      </c>
      <c r="C168" s="113">
        <f>[6]С2.5!$AD$11</f>
        <v>0</v>
      </c>
    </row>
    <row r="169" spans="2:3" hidden="1" x14ac:dyDescent="0.2">
      <c r="B169" s="112">
        <f t="shared" si="0"/>
        <v>2046</v>
      </c>
      <c r="C169" s="113">
        <f>[6]С2.5!$AE$11</f>
        <v>0</v>
      </c>
    </row>
    <row r="170" spans="2:3" hidden="1" x14ac:dyDescent="0.2">
      <c r="B170" s="112">
        <f t="shared" si="0"/>
        <v>2047</v>
      </c>
      <c r="C170" s="113">
        <f>[6]С2.5!$AF$11</f>
        <v>0</v>
      </c>
    </row>
    <row r="171" spans="2:3" hidden="1" x14ac:dyDescent="0.2">
      <c r="B171" s="112">
        <f t="shared" si="0"/>
        <v>2048</v>
      </c>
      <c r="C171" s="113">
        <f>[6]С2.5!$AG$11</f>
        <v>0</v>
      </c>
    </row>
    <row r="172" spans="2:3" hidden="1" x14ac:dyDescent="0.2">
      <c r="B172" s="112">
        <f t="shared" si="0"/>
        <v>2049</v>
      </c>
      <c r="C172" s="113">
        <f>[6]С2.5!$AH$11</f>
        <v>0</v>
      </c>
    </row>
    <row r="173" spans="2:3" hidden="1" x14ac:dyDescent="0.2">
      <c r="B173" s="112">
        <f t="shared" si="0"/>
        <v>2050</v>
      </c>
      <c r="C173" s="113">
        <f>[6]С2.5!$AI$11</f>
        <v>0</v>
      </c>
    </row>
    <row r="174" spans="2:3" hidden="1" x14ac:dyDescent="0.2">
      <c r="B174" s="112">
        <f t="shared" si="0"/>
        <v>2051</v>
      </c>
      <c r="C174" s="113">
        <f>[6]С2.5!$AJ$11</f>
        <v>0</v>
      </c>
    </row>
    <row r="175" spans="2:3" hidden="1" x14ac:dyDescent="0.2">
      <c r="B175" s="112">
        <f t="shared" si="0"/>
        <v>2052</v>
      </c>
      <c r="C175" s="113">
        <f>[6]С2.5!$AK$11</f>
        <v>0</v>
      </c>
    </row>
    <row r="176" spans="2:3" hidden="1" x14ac:dyDescent="0.2">
      <c r="B176" s="112">
        <f t="shared" si="0"/>
        <v>2053</v>
      </c>
      <c r="C176" s="113">
        <f>[6]С2.5!$AL$11</f>
        <v>0</v>
      </c>
    </row>
    <row r="177" spans="2:3" hidden="1" x14ac:dyDescent="0.2">
      <c r="B177" s="112">
        <f t="shared" si="0"/>
        <v>2054</v>
      </c>
      <c r="C177" s="113">
        <f>[6]С2.5!$AM$11</f>
        <v>0</v>
      </c>
    </row>
    <row r="178" spans="2:3" hidden="1" x14ac:dyDescent="0.2">
      <c r="B178" s="112">
        <f t="shared" si="0"/>
        <v>2055</v>
      </c>
      <c r="C178" s="113">
        <f>[6]С2.5!$AN$11</f>
        <v>0</v>
      </c>
    </row>
    <row r="179" spans="2:3" hidden="1" x14ac:dyDescent="0.2">
      <c r="B179" s="112">
        <f t="shared" si="0"/>
        <v>2056</v>
      </c>
      <c r="C179" s="113">
        <f>[6]С2.5!$AO$11</f>
        <v>0</v>
      </c>
    </row>
    <row r="180" spans="2:3" hidden="1" x14ac:dyDescent="0.2">
      <c r="B180" s="112">
        <f t="shared" si="0"/>
        <v>2057</v>
      </c>
      <c r="C180" s="113">
        <f>[6]С2.5!$AP$11</f>
        <v>0</v>
      </c>
    </row>
    <row r="181" spans="2:3" hidden="1" x14ac:dyDescent="0.2">
      <c r="B181" s="112">
        <f t="shared" si="0"/>
        <v>2058</v>
      </c>
      <c r="C181" s="113">
        <f>[6]С2.5!$AQ$11</f>
        <v>0</v>
      </c>
    </row>
    <row r="182" spans="2:3" hidden="1" x14ac:dyDescent="0.2">
      <c r="B182" s="112">
        <f t="shared" si="0"/>
        <v>2059</v>
      </c>
      <c r="C182" s="113">
        <f>[6]С2.5!$AR$11</f>
        <v>0</v>
      </c>
    </row>
    <row r="183" spans="2:3" hidden="1" x14ac:dyDescent="0.2">
      <c r="B183" s="112">
        <f t="shared" si="0"/>
        <v>2060</v>
      </c>
      <c r="C183" s="113">
        <f>[6]С2.5!$AS$11</f>
        <v>0</v>
      </c>
    </row>
    <row r="184" spans="2:3" hidden="1" x14ac:dyDescent="0.2">
      <c r="B184" s="112">
        <f t="shared" si="0"/>
        <v>2061</v>
      </c>
      <c r="C184" s="113">
        <f>[6]С2.5!$AT$11</f>
        <v>0</v>
      </c>
    </row>
    <row r="185" spans="2:3" hidden="1" x14ac:dyDescent="0.2">
      <c r="B185" s="112">
        <f t="shared" si="0"/>
        <v>2062</v>
      </c>
      <c r="C185" s="113">
        <f>[6]С2.5!$AU$11</f>
        <v>0</v>
      </c>
    </row>
    <row r="186" spans="2:3" hidden="1" x14ac:dyDescent="0.2">
      <c r="B186" s="112">
        <f t="shared" si="0"/>
        <v>2063</v>
      </c>
      <c r="C186" s="113">
        <f>[6]С2.5!$AV$11</f>
        <v>0</v>
      </c>
    </row>
    <row r="187" spans="2:3" hidden="1" x14ac:dyDescent="0.2">
      <c r="B187" s="112">
        <f t="shared" si="0"/>
        <v>2064</v>
      </c>
      <c r="C187" s="113">
        <f>[6]С2.5!$AW$11</f>
        <v>0</v>
      </c>
    </row>
    <row r="188" spans="2:3" hidden="1" x14ac:dyDescent="0.2">
      <c r="B188" s="112">
        <f t="shared" si="0"/>
        <v>2065</v>
      </c>
      <c r="C188" s="113">
        <f>[6]С2.5!$AX$11</f>
        <v>0</v>
      </c>
    </row>
    <row r="189" spans="2:3" hidden="1" x14ac:dyDescent="0.2">
      <c r="B189" s="112">
        <f t="shared" si="0"/>
        <v>2066</v>
      </c>
      <c r="C189" s="113">
        <f>[6]С2.5!$AY$11</f>
        <v>0</v>
      </c>
    </row>
    <row r="190" spans="2:3" hidden="1" x14ac:dyDescent="0.2">
      <c r="B190" s="112">
        <f t="shared" si="0"/>
        <v>2067</v>
      </c>
      <c r="C190" s="113">
        <f>[6]С2.5!$AZ$11</f>
        <v>0</v>
      </c>
    </row>
    <row r="191" spans="2:3" hidden="1" x14ac:dyDescent="0.2">
      <c r="B191" s="112">
        <f t="shared" si="0"/>
        <v>2068</v>
      </c>
      <c r="C191" s="113">
        <f>[6]С2.5!$BA$11</f>
        <v>0</v>
      </c>
    </row>
    <row r="192" spans="2:3" hidden="1" x14ac:dyDescent="0.2">
      <c r="B192" s="112">
        <f t="shared" si="0"/>
        <v>2069</v>
      </c>
      <c r="C192" s="113">
        <f>[6]С2.5!$BB$11</f>
        <v>0</v>
      </c>
    </row>
    <row r="193" spans="2:3" hidden="1" x14ac:dyDescent="0.2">
      <c r="B193" s="112">
        <f t="shared" si="0"/>
        <v>2070</v>
      </c>
      <c r="C193" s="113">
        <f>[6]С2.5!$BC$11</f>
        <v>0</v>
      </c>
    </row>
    <row r="194" spans="2:3" hidden="1" x14ac:dyDescent="0.2">
      <c r="B194" s="112">
        <f t="shared" si="0"/>
        <v>2071</v>
      </c>
      <c r="C194" s="113">
        <f>[6]С2.5!$BD$11</f>
        <v>0</v>
      </c>
    </row>
    <row r="195" spans="2:3" hidden="1" x14ac:dyDescent="0.2">
      <c r="B195" s="112">
        <f t="shared" si="0"/>
        <v>2072</v>
      </c>
      <c r="C195" s="113">
        <f>[6]С2.5!$BE$11</f>
        <v>0</v>
      </c>
    </row>
    <row r="196" spans="2:3" hidden="1" x14ac:dyDescent="0.2">
      <c r="B196" s="112">
        <f t="shared" si="0"/>
        <v>2073</v>
      </c>
      <c r="C196" s="113">
        <f>[6]С2.5!$BF$11</f>
        <v>0</v>
      </c>
    </row>
    <row r="197" spans="2:3" hidden="1" x14ac:dyDescent="0.2">
      <c r="B197" s="112">
        <f t="shared" si="0"/>
        <v>2074</v>
      </c>
      <c r="C197" s="113">
        <f>[6]С2.5!$BG$11</f>
        <v>0</v>
      </c>
    </row>
    <row r="198" spans="2:3" hidden="1" x14ac:dyDescent="0.2">
      <c r="B198" s="112">
        <f t="shared" si="0"/>
        <v>2075</v>
      </c>
      <c r="C198" s="113">
        <f>[6]С2.5!$BH$11</f>
        <v>0</v>
      </c>
    </row>
    <row r="199" spans="2:3" hidden="1" x14ac:dyDescent="0.2">
      <c r="B199" s="112">
        <f t="shared" si="0"/>
        <v>2076</v>
      </c>
      <c r="C199" s="113">
        <f>[6]С2.5!$BI$11</f>
        <v>0</v>
      </c>
    </row>
    <row r="200" spans="2:3" hidden="1" x14ac:dyDescent="0.2">
      <c r="B200" s="112">
        <f t="shared" si="0"/>
        <v>2077</v>
      </c>
      <c r="C200" s="113">
        <f>[6]С2.5!$BJ$11</f>
        <v>0</v>
      </c>
    </row>
    <row r="201" spans="2:3" hidden="1" x14ac:dyDescent="0.2">
      <c r="B201" s="112">
        <f t="shared" si="0"/>
        <v>2078</v>
      </c>
      <c r="C201" s="113">
        <f>[6]С2.5!$BK$11</f>
        <v>0</v>
      </c>
    </row>
    <row r="202" spans="2:3" hidden="1" x14ac:dyDescent="0.2">
      <c r="B202" s="112">
        <f t="shared" si="0"/>
        <v>2079</v>
      </c>
      <c r="C202" s="113">
        <f>[6]С2.5!$BL$11</f>
        <v>0</v>
      </c>
    </row>
    <row r="203" spans="2:3" hidden="1" x14ac:dyDescent="0.2">
      <c r="B203" s="112">
        <f t="shared" si="0"/>
        <v>2080</v>
      </c>
      <c r="C203" s="113">
        <f>[6]С2.5!$BM$11</f>
        <v>0</v>
      </c>
    </row>
    <row r="204" spans="2:3" hidden="1" x14ac:dyDescent="0.2">
      <c r="B204" s="112">
        <f t="shared" si="0"/>
        <v>2081</v>
      </c>
      <c r="C204" s="113">
        <f>[6]С2.5!$BN$11</f>
        <v>0</v>
      </c>
    </row>
    <row r="205" spans="2:3" hidden="1" x14ac:dyDescent="0.2">
      <c r="B205" s="112">
        <f t="shared" si="0"/>
        <v>2082</v>
      </c>
      <c r="C205" s="113">
        <f>[6]С2.5!$BO$11</f>
        <v>0</v>
      </c>
    </row>
    <row r="206" spans="2:3" hidden="1" x14ac:dyDescent="0.2">
      <c r="B206" s="112">
        <f t="shared" si="0"/>
        <v>2083</v>
      </c>
      <c r="C206" s="113">
        <f>[6]С2.5!$BP$11</f>
        <v>0</v>
      </c>
    </row>
    <row r="207" spans="2:3" hidden="1" x14ac:dyDescent="0.2">
      <c r="B207" s="112">
        <f t="shared" si="0"/>
        <v>2084</v>
      </c>
      <c r="C207" s="113">
        <f>[6]С2.5!$BQ$11</f>
        <v>0</v>
      </c>
    </row>
    <row r="208" spans="2:3" hidden="1" x14ac:dyDescent="0.2">
      <c r="B208" s="112">
        <f t="shared" si="0"/>
        <v>2085</v>
      </c>
      <c r="C208" s="113">
        <f>[6]С2.5!$BR$11</f>
        <v>0</v>
      </c>
    </row>
    <row r="209" spans="2:3" hidden="1" x14ac:dyDescent="0.2">
      <c r="B209" s="112">
        <f t="shared" ref="B209:B223" si="1">B208+1</f>
        <v>2086</v>
      </c>
      <c r="C209" s="113">
        <f>[6]С2.5!$BS$11</f>
        <v>0</v>
      </c>
    </row>
    <row r="210" spans="2:3" hidden="1" x14ac:dyDescent="0.2">
      <c r="B210" s="112">
        <f t="shared" si="1"/>
        <v>2087</v>
      </c>
      <c r="C210" s="113">
        <f>[6]С2.5!$BT$11</f>
        <v>0</v>
      </c>
    </row>
    <row r="211" spans="2:3" hidden="1" x14ac:dyDescent="0.2">
      <c r="B211" s="112">
        <f t="shared" si="1"/>
        <v>2088</v>
      </c>
      <c r="C211" s="113">
        <f>[6]С2.5!$BU$11</f>
        <v>0</v>
      </c>
    </row>
    <row r="212" spans="2:3" hidden="1" x14ac:dyDescent="0.2">
      <c r="B212" s="112">
        <f t="shared" si="1"/>
        <v>2089</v>
      </c>
      <c r="C212" s="113">
        <f>[6]С2.5!$BV$11</f>
        <v>0</v>
      </c>
    </row>
    <row r="213" spans="2:3" hidden="1" x14ac:dyDescent="0.2">
      <c r="B213" s="112">
        <f t="shared" si="1"/>
        <v>2090</v>
      </c>
      <c r="C213" s="113">
        <f>[6]С2.5!$BW$11</f>
        <v>0</v>
      </c>
    </row>
    <row r="214" spans="2:3" hidden="1" x14ac:dyDescent="0.2">
      <c r="B214" s="112">
        <f t="shared" si="1"/>
        <v>2091</v>
      </c>
      <c r="C214" s="113">
        <f>[6]С2.5!$BX$11</f>
        <v>0</v>
      </c>
    </row>
    <row r="215" spans="2:3" hidden="1" x14ac:dyDescent="0.2">
      <c r="B215" s="112">
        <f t="shared" si="1"/>
        <v>2092</v>
      </c>
      <c r="C215" s="113">
        <f>[6]С2.5!$BY$11</f>
        <v>0</v>
      </c>
    </row>
    <row r="216" spans="2:3" hidden="1" x14ac:dyDescent="0.2">
      <c r="B216" s="112">
        <f t="shared" si="1"/>
        <v>2093</v>
      </c>
      <c r="C216" s="113">
        <f>[6]С2.5!$BZ$11</f>
        <v>0</v>
      </c>
    </row>
    <row r="217" spans="2:3" hidden="1" x14ac:dyDescent="0.2">
      <c r="B217" s="112">
        <f t="shared" si="1"/>
        <v>2094</v>
      </c>
      <c r="C217" s="113">
        <f>[6]С2.5!$CA$11</f>
        <v>0</v>
      </c>
    </row>
    <row r="218" spans="2:3" hidden="1" x14ac:dyDescent="0.2">
      <c r="B218" s="112">
        <f t="shared" si="1"/>
        <v>2095</v>
      </c>
      <c r="C218" s="113">
        <f>[6]С2.5!$CB$11</f>
        <v>0</v>
      </c>
    </row>
    <row r="219" spans="2:3" hidden="1" x14ac:dyDescent="0.2">
      <c r="B219" s="112">
        <f t="shared" si="1"/>
        <v>2096</v>
      </c>
      <c r="C219" s="113">
        <f>[6]С2.5!$CC$11</f>
        <v>0</v>
      </c>
    </row>
    <row r="220" spans="2:3" hidden="1" x14ac:dyDescent="0.2">
      <c r="B220" s="112">
        <f t="shared" si="1"/>
        <v>2097</v>
      </c>
      <c r="C220" s="113">
        <f>[6]С2.5!$CD$11</f>
        <v>0</v>
      </c>
    </row>
    <row r="221" spans="2:3" hidden="1" x14ac:dyDescent="0.2">
      <c r="B221" s="112">
        <f t="shared" si="1"/>
        <v>2098</v>
      </c>
      <c r="C221" s="113">
        <f>[6]С2.5!$CE$11</f>
        <v>0</v>
      </c>
    </row>
    <row r="222" spans="2:3" hidden="1" x14ac:dyDescent="0.2">
      <c r="B222" s="112">
        <f t="shared" si="1"/>
        <v>2099</v>
      </c>
      <c r="C222" s="113">
        <f>[6]С2.5!$CF$11</f>
        <v>0</v>
      </c>
    </row>
    <row r="223" spans="2:3" ht="13.5" hidden="1" thickBot="1" x14ac:dyDescent="0.25">
      <c r="B223" s="114">
        <f t="shared" si="1"/>
        <v>2100</v>
      </c>
      <c r="C223" s="115">
        <f>[6]С2.5!$CG$11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Button 1">
              <controlPr defaultSize="0" print="0" autoFill="0" autoPict="0" macro="[6]!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[7]И1!D13</f>
        <v>Субъект Российской Федерации</v>
      </c>
      <c r="C4" s="10" t="str">
        <f>[7]И1!E13</f>
        <v>Новосибирская область</v>
      </c>
    </row>
    <row r="5" spans="1:3" ht="38.25" x14ac:dyDescent="0.2">
      <c r="A5" s="8"/>
      <c r="B5" s="9" t="str">
        <f>[7]И1!D14</f>
        <v>Тип муниципального образования (выберите из списка)</v>
      </c>
      <c r="C5" s="10" t="str">
        <f>[7]И1!E14</f>
        <v>село Колыбелька, Краснозерский муниципальный район</v>
      </c>
    </row>
    <row r="6" spans="1:3" x14ac:dyDescent="0.2">
      <c r="A6" s="8"/>
      <c r="B6" s="9" t="str">
        <f>IF([7]И1!E15="","",[7]И1!D15)</f>
        <v/>
      </c>
      <c r="C6" s="10" t="str">
        <f>IF([7]И1!E15="","",[7]И1!E15)</f>
        <v/>
      </c>
    </row>
    <row r="7" spans="1:3" x14ac:dyDescent="0.2">
      <c r="A7" s="8"/>
      <c r="B7" s="9" t="str">
        <f>[7]И1!D16</f>
        <v>Код ОКТМО</v>
      </c>
      <c r="C7" s="11" t="str">
        <f>[7]И1!E16</f>
        <v xml:space="preserve"> (50627410101)</v>
      </c>
    </row>
    <row r="8" spans="1:3" x14ac:dyDescent="0.2">
      <c r="A8" s="8"/>
      <c r="B8" s="12" t="str">
        <f>[7]И1!D17</f>
        <v>Система теплоснабжения</v>
      </c>
      <c r="C8" s="13">
        <f>[7]И1!E17</f>
        <v>0</v>
      </c>
    </row>
    <row r="9" spans="1:3" x14ac:dyDescent="0.2">
      <c r="A9" s="8"/>
      <c r="B9" s="9" t="str">
        <f>[7]И1!D8</f>
        <v>Период регулирования (i)-й</v>
      </c>
      <c r="C9" s="14">
        <f>[7]И1!E8</f>
        <v>2023</v>
      </c>
    </row>
    <row r="10" spans="1:3" x14ac:dyDescent="0.2">
      <c r="A10" s="8"/>
      <c r="B10" s="9" t="str">
        <f>[7]И1!D9</f>
        <v>Период регулирования (i-1)-й</v>
      </c>
      <c r="C10" s="14">
        <f>[7]И1!E9</f>
        <v>2022</v>
      </c>
    </row>
    <row r="11" spans="1:3" x14ac:dyDescent="0.2">
      <c r="A11" s="8"/>
      <c r="B11" s="9" t="str">
        <f>[7]И1!D10</f>
        <v>Период регулирования (i-2)-й</v>
      </c>
      <c r="C11" s="14">
        <f>[7]И1!E10</f>
        <v>2021</v>
      </c>
    </row>
    <row r="12" spans="1:3" x14ac:dyDescent="0.2">
      <c r="A12" s="8"/>
      <c r="B12" s="9" t="str">
        <f>[7]И1!D11</f>
        <v>Базовый год (б)</v>
      </c>
      <c r="C12" s="14">
        <f>[7]И1!E11</f>
        <v>2019</v>
      </c>
    </row>
    <row r="13" spans="1:3" ht="38.25" x14ac:dyDescent="0.2">
      <c r="A13" s="8"/>
      <c r="B13" s="9" t="str">
        <f>[7]И1!D18</f>
        <v>Вид топлива, использование которого преобладает в системе теплоснабжения</v>
      </c>
      <c r="C13" s="15" t="str">
        <f>[7]С1.1!E13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4084.1160357569856</v>
      </c>
    </row>
    <row r="18" spans="1:3" ht="42.75" x14ac:dyDescent="0.2">
      <c r="A18" s="22" t="s">
        <v>8</v>
      </c>
      <c r="B18" s="25" t="s">
        <v>9</v>
      </c>
      <c r="C18" s="26">
        <f>[7]С1!F12</f>
        <v>998.0910383948808</v>
      </c>
    </row>
    <row r="19" spans="1:3" ht="42.75" x14ac:dyDescent="0.2">
      <c r="A19" s="22" t="s">
        <v>10</v>
      </c>
      <c r="B19" s="25" t="s">
        <v>11</v>
      </c>
      <c r="C19" s="26">
        <f>[7]С2!F12</f>
        <v>2106.0579468653982</v>
      </c>
    </row>
    <row r="20" spans="1:3" ht="30" x14ac:dyDescent="0.2">
      <c r="A20" s="22" t="s">
        <v>12</v>
      </c>
      <c r="B20" s="25" t="s">
        <v>13</v>
      </c>
      <c r="C20" s="26">
        <f>[7]С3!F12</f>
        <v>503.83473408478085</v>
      </c>
    </row>
    <row r="21" spans="1:3" ht="42.75" x14ac:dyDescent="0.2">
      <c r="A21" s="22" t="s">
        <v>14</v>
      </c>
      <c r="B21" s="25" t="s">
        <v>15</v>
      </c>
      <c r="C21" s="26">
        <f>[7]С4!F12</f>
        <v>396.05160982845564</v>
      </c>
    </row>
    <row r="22" spans="1:3" ht="30" x14ac:dyDescent="0.2">
      <c r="A22" s="22" t="s">
        <v>16</v>
      </c>
      <c r="B22" s="25" t="s">
        <v>17</v>
      </c>
      <c r="C22" s="26">
        <f>[7]С5!F12</f>
        <v>80.080706583470317</v>
      </c>
    </row>
    <row r="23" spans="1:3" ht="43.5" thickBot="1" x14ac:dyDescent="0.25">
      <c r="A23" s="27" t="s">
        <v>18</v>
      </c>
      <c r="B23" s="106" t="s">
        <v>19</v>
      </c>
      <c r="C23" s="29" t="str">
        <f>[7]С6!F12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[7]С1.1!E16</f>
        <v>5100</v>
      </c>
    </row>
    <row r="29" spans="1:3" ht="42.75" x14ac:dyDescent="0.2">
      <c r="A29" s="22" t="s">
        <v>10</v>
      </c>
      <c r="B29" s="34" t="s">
        <v>22</v>
      </c>
      <c r="C29" s="35">
        <f>[7]С1.1!E27</f>
        <v>2683.7</v>
      </c>
    </row>
    <row r="30" spans="1:3" ht="17.25" x14ac:dyDescent="0.2">
      <c r="A30" s="22" t="s">
        <v>12</v>
      </c>
      <c r="B30" s="34" t="s">
        <v>23</v>
      </c>
      <c r="C30" s="36">
        <f>[7]С1.1!E19</f>
        <v>0.59499999999999997</v>
      </c>
    </row>
    <row r="31" spans="1:3" ht="17.25" x14ac:dyDescent="0.2">
      <c r="A31" s="22" t="s">
        <v>14</v>
      </c>
      <c r="B31" s="34" t="s">
        <v>24</v>
      </c>
      <c r="C31" s="36">
        <f>[7]С1.1!E20</f>
        <v>-0.113</v>
      </c>
    </row>
    <row r="32" spans="1:3" ht="30" x14ac:dyDescent="0.2">
      <c r="A32" s="22" t="s">
        <v>16</v>
      </c>
      <c r="B32" s="37" t="s">
        <v>25</v>
      </c>
      <c r="C32" s="38">
        <f>[7]С1!F13</f>
        <v>176.4</v>
      </c>
    </row>
    <row r="33" spans="1:3" x14ac:dyDescent="0.2">
      <c r="A33" s="22" t="s">
        <v>18</v>
      </c>
      <c r="B33" s="37" t="s">
        <v>26</v>
      </c>
      <c r="C33" s="39">
        <f>[7]С1!F16</f>
        <v>7000</v>
      </c>
    </row>
    <row r="34" spans="1:3" ht="14.25" x14ac:dyDescent="0.2">
      <c r="A34" s="22" t="s">
        <v>27</v>
      </c>
      <c r="B34" s="40" t="s">
        <v>28</v>
      </c>
      <c r="C34" s="41">
        <f>[7]С1!F17</f>
        <v>0.72857142857142854</v>
      </c>
    </row>
    <row r="35" spans="1:3" ht="15.75" x14ac:dyDescent="0.2">
      <c r="A35" s="42" t="s">
        <v>29</v>
      </c>
      <c r="B35" s="43" t="s">
        <v>30</v>
      </c>
      <c r="C35" s="41">
        <f>[7]С1!F20</f>
        <v>21.588411179999994</v>
      </c>
    </row>
    <row r="36" spans="1:3" ht="15.75" x14ac:dyDescent="0.2">
      <c r="A36" s="42" t="s">
        <v>31</v>
      </c>
      <c r="B36" s="44" t="s">
        <v>32</v>
      </c>
      <c r="C36" s="41">
        <f>[7]С1!F21</f>
        <v>20.818139999999996</v>
      </c>
    </row>
    <row r="37" spans="1:3" ht="14.25" x14ac:dyDescent="0.2">
      <c r="A37" s="42" t="s">
        <v>33</v>
      </c>
      <c r="B37" s="45" t="s">
        <v>34</v>
      </c>
      <c r="C37" s="41">
        <f>[7]С1!F22</f>
        <v>1.0369999999999999</v>
      </c>
    </row>
    <row r="38" spans="1:3" ht="53.25" thickBot="1" x14ac:dyDescent="0.25">
      <c r="A38" s="27" t="s">
        <v>35</v>
      </c>
      <c r="B38" s="46" t="s">
        <v>36</v>
      </c>
      <c r="C38" s="47">
        <f>[7]С1!F23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[7]С2.1!E12</f>
        <v>V</v>
      </c>
    </row>
    <row r="42" spans="1:3" ht="25.5" x14ac:dyDescent="0.2">
      <c r="A42" s="22" t="s">
        <v>41</v>
      </c>
      <c r="B42" s="34" t="s">
        <v>42</v>
      </c>
      <c r="C42" s="52" t="str">
        <f>[7]С2.1!E13</f>
        <v>6 и менее баллов</v>
      </c>
    </row>
    <row r="43" spans="1:3" ht="25.5" x14ac:dyDescent="0.2">
      <c r="A43" s="22" t="s">
        <v>43</v>
      </c>
      <c r="B43" s="34" t="s">
        <v>44</v>
      </c>
      <c r="C43" s="52" t="str">
        <f>[7]С2.1!E14</f>
        <v>от 200 до 500</v>
      </c>
    </row>
    <row r="44" spans="1:3" ht="25.5" x14ac:dyDescent="0.2">
      <c r="A44" s="22" t="s">
        <v>45</v>
      </c>
      <c r="B44" s="34" t="s">
        <v>46</v>
      </c>
      <c r="C44" s="53" t="str">
        <f>[7]С2.1!E15</f>
        <v>нет</v>
      </c>
    </row>
    <row r="45" spans="1:3" ht="30" x14ac:dyDescent="0.2">
      <c r="A45" s="22" t="s">
        <v>47</v>
      </c>
      <c r="B45" s="34" t="s">
        <v>48</v>
      </c>
      <c r="C45" s="35">
        <f>[7]С2!F18</f>
        <v>32402.627334033532</v>
      </c>
    </row>
    <row r="46" spans="1:3" ht="30" x14ac:dyDescent="0.2">
      <c r="A46" s="22" t="s">
        <v>49</v>
      </c>
      <c r="B46" s="54" t="s">
        <v>50</v>
      </c>
      <c r="C46" s="35">
        <f>IF([7]С2!F19&gt;0,[7]С2!F19,[7]С2!F20)</f>
        <v>23441.524932855718</v>
      </c>
    </row>
    <row r="47" spans="1:3" ht="25.5" x14ac:dyDescent="0.2">
      <c r="A47" s="22" t="s">
        <v>51</v>
      </c>
      <c r="B47" s="55" t="s">
        <v>52</v>
      </c>
      <c r="C47" s="35">
        <f>[7]С2.1!E19</f>
        <v>-37</v>
      </c>
    </row>
    <row r="48" spans="1:3" ht="25.5" x14ac:dyDescent="0.2">
      <c r="A48" s="22" t="s">
        <v>53</v>
      </c>
      <c r="B48" s="55" t="s">
        <v>54</v>
      </c>
      <c r="C48" s="35" t="str">
        <f>[7]С2.1!E22</f>
        <v>нет</v>
      </c>
    </row>
    <row r="49" spans="1:3" ht="38.25" x14ac:dyDescent="0.2">
      <c r="A49" s="22" t="s">
        <v>55</v>
      </c>
      <c r="B49" s="56" t="s">
        <v>56</v>
      </c>
      <c r="C49" s="35">
        <f>[7]С2.2!E10</f>
        <v>1287</v>
      </c>
    </row>
    <row r="50" spans="1:3" ht="25.5" x14ac:dyDescent="0.2">
      <c r="A50" s="22" t="s">
        <v>57</v>
      </c>
      <c r="B50" s="57" t="s">
        <v>58</v>
      </c>
      <c r="C50" s="35">
        <f>[7]С2.2!E12</f>
        <v>5.97</v>
      </c>
    </row>
    <row r="51" spans="1:3" ht="52.5" x14ac:dyDescent="0.2">
      <c r="A51" s="22" t="s">
        <v>59</v>
      </c>
      <c r="B51" s="58" t="s">
        <v>60</v>
      </c>
      <c r="C51" s="35">
        <f>[7]С2.2!E13</f>
        <v>1</v>
      </c>
    </row>
    <row r="52" spans="1:3" ht="27.75" x14ac:dyDescent="0.2">
      <c r="A52" s="22" t="s">
        <v>61</v>
      </c>
      <c r="B52" s="57" t="s">
        <v>62</v>
      </c>
      <c r="C52" s="35">
        <f>[7]С2.2!E14</f>
        <v>12104</v>
      </c>
    </row>
    <row r="53" spans="1:3" ht="25.5" x14ac:dyDescent="0.2">
      <c r="A53" s="22" t="s">
        <v>63</v>
      </c>
      <c r="B53" s="58" t="s">
        <v>64</v>
      </c>
      <c r="C53" s="36">
        <f>[7]С2.2!E15</f>
        <v>4.8000000000000001E-2</v>
      </c>
    </row>
    <row r="54" spans="1:3" x14ac:dyDescent="0.2">
      <c r="A54" s="22" t="s">
        <v>65</v>
      </c>
      <c r="B54" s="58" t="s">
        <v>66</v>
      </c>
      <c r="C54" s="35">
        <f>[7]С2.2!E16</f>
        <v>1</v>
      </c>
    </row>
    <row r="55" spans="1:3" ht="15.75" x14ac:dyDescent="0.2">
      <c r="A55" s="22" t="s">
        <v>67</v>
      </c>
      <c r="B55" s="59" t="s">
        <v>68</v>
      </c>
      <c r="C55" s="35">
        <f>[7]С2!F21</f>
        <v>1</v>
      </c>
    </row>
    <row r="56" spans="1:3" ht="30" x14ac:dyDescent="0.2">
      <c r="A56" s="60" t="s">
        <v>69</v>
      </c>
      <c r="B56" s="34" t="s">
        <v>70</v>
      </c>
      <c r="C56" s="35">
        <f>[7]С2!F13</f>
        <v>169640.22915965237</v>
      </c>
    </row>
    <row r="57" spans="1:3" ht="30" x14ac:dyDescent="0.2">
      <c r="A57" s="60" t="s">
        <v>71</v>
      </c>
      <c r="B57" s="59" t="s">
        <v>72</v>
      </c>
      <c r="C57" s="35">
        <f>[7]С2!F14</f>
        <v>113455</v>
      </c>
    </row>
    <row r="58" spans="1:3" ht="15.75" x14ac:dyDescent="0.2">
      <c r="A58" s="60" t="s">
        <v>73</v>
      </c>
      <c r="B58" s="61" t="s">
        <v>74</v>
      </c>
      <c r="C58" s="41">
        <f>[7]С2!F15</f>
        <v>1.071</v>
      </c>
    </row>
    <row r="59" spans="1:3" ht="15.75" x14ac:dyDescent="0.2">
      <c r="A59" s="60" t="s">
        <v>75</v>
      </c>
      <c r="B59" s="61" t="s">
        <v>76</v>
      </c>
      <c r="C59" s="41">
        <f>[7]С2!F16</f>
        <v>1</v>
      </c>
    </row>
    <row r="60" spans="1:3" ht="17.25" x14ac:dyDescent="0.2">
      <c r="A60" s="60" t="s">
        <v>77</v>
      </c>
      <c r="B60" s="59" t="s">
        <v>78</v>
      </c>
      <c r="C60" s="35">
        <f>[7]С2!F17</f>
        <v>1.01</v>
      </c>
    </row>
    <row r="61" spans="1:3" s="64" customFormat="1" ht="14.25" x14ac:dyDescent="0.2">
      <c r="A61" s="60" t="s">
        <v>79</v>
      </c>
      <c r="B61" s="62" t="s">
        <v>80</v>
      </c>
      <c r="C61" s="63">
        <f>[7]С2!F33</f>
        <v>10</v>
      </c>
    </row>
    <row r="62" spans="1:3" ht="30" x14ac:dyDescent="0.2">
      <c r="A62" s="60" t="s">
        <v>81</v>
      </c>
      <c r="B62" s="65" t="s">
        <v>82</v>
      </c>
      <c r="C62" s="35">
        <f>[7]С2!F26</f>
        <v>1123.6482814273334</v>
      </c>
    </row>
    <row r="63" spans="1:3" ht="17.25" x14ac:dyDescent="0.2">
      <c r="A63" s="60" t="s">
        <v>83</v>
      </c>
      <c r="B63" s="54" t="s">
        <v>84</v>
      </c>
      <c r="C63" s="35">
        <f>[7]С2!F27</f>
        <v>0.19354712999999998</v>
      </c>
    </row>
    <row r="64" spans="1:3" ht="17.25" x14ac:dyDescent="0.2">
      <c r="A64" s="60" t="s">
        <v>85</v>
      </c>
      <c r="B64" s="59" t="s">
        <v>86</v>
      </c>
      <c r="C64" s="63">
        <f>[7]С2!F28</f>
        <v>4200</v>
      </c>
    </row>
    <row r="65" spans="1:3" ht="42.75" x14ac:dyDescent="0.2">
      <c r="A65" s="60" t="s">
        <v>87</v>
      </c>
      <c r="B65" s="34" t="s">
        <v>88</v>
      </c>
      <c r="C65" s="35">
        <f>[7]С2!F22</f>
        <v>35717.748653137714</v>
      </c>
    </row>
    <row r="66" spans="1:3" ht="30" x14ac:dyDescent="0.2">
      <c r="A66" s="60" t="s">
        <v>89</v>
      </c>
      <c r="B66" s="61" t="s">
        <v>90</v>
      </c>
      <c r="C66" s="35">
        <f>[7]С2!F23</f>
        <v>1990</v>
      </c>
    </row>
    <row r="67" spans="1:3" ht="30" x14ac:dyDescent="0.2">
      <c r="A67" s="60" t="s">
        <v>91</v>
      </c>
      <c r="B67" s="54" t="s">
        <v>92</v>
      </c>
      <c r="C67" s="35">
        <f>[7]С2.1!E27</f>
        <v>14307.876789999998</v>
      </c>
    </row>
    <row r="68" spans="1:3" ht="38.25" x14ac:dyDescent="0.2">
      <c r="A68" s="60" t="s">
        <v>93</v>
      </c>
      <c r="B68" s="66" t="s">
        <v>94</v>
      </c>
      <c r="C68" s="53">
        <f>[7]С2.3!E21</f>
        <v>0</v>
      </c>
    </row>
    <row r="69" spans="1:3" ht="25.5" x14ac:dyDescent="0.2">
      <c r="A69" s="60" t="s">
        <v>95</v>
      </c>
      <c r="B69" s="67" t="s">
        <v>96</v>
      </c>
      <c r="C69" s="68">
        <f>[7]С2.3!E11</f>
        <v>9.89</v>
      </c>
    </row>
    <row r="70" spans="1:3" ht="25.5" x14ac:dyDescent="0.2">
      <c r="A70" s="60" t="s">
        <v>97</v>
      </c>
      <c r="B70" s="67" t="s">
        <v>98</v>
      </c>
      <c r="C70" s="63">
        <f>[7]С2.3!E13</f>
        <v>300</v>
      </c>
    </row>
    <row r="71" spans="1:3" ht="25.5" x14ac:dyDescent="0.2">
      <c r="A71" s="60" t="s">
        <v>99</v>
      </c>
      <c r="B71" s="66" t="s">
        <v>100</v>
      </c>
      <c r="C71" s="69">
        <f>IF([7]С2.3!E22&gt;0,[7]С2.3!E22,[7]С2.3!E14)</f>
        <v>61211</v>
      </c>
    </row>
    <row r="72" spans="1:3" ht="38.25" x14ac:dyDescent="0.2">
      <c r="A72" s="60" t="s">
        <v>101</v>
      </c>
      <c r="B72" s="66" t="s">
        <v>102</v>
      </c>
      <c r="C72" s="69">
        <f>IF([7]С2.3!E23&gt;0,[7]С2.3!E23,[7]С2.3!E15)</f>
        <v>45675</v>
      </c>
    </row>
    <row r="73" spans="1:3" ht="30" x14ac:dyDescent="0.2">
      <c r="A73" s="60" t="s">
        <v>103</v>
      </c>
      <c r="B73" s="54" t="s">
        <v>104</v>
      </c>
      <c r="C73" s="35">
        <f>[7]С2.1!E28</f>
        <v>9541.9567200000001</v>
      </c>
    </row>
    <row r="74" spans="1:3" ht="38.25" x14ac:dyDescent="0.2">
      <c r="A74" s="60" t="s">
        <v>105</v>
      </c>
      <c r="B74" s="66" t="s">
        <v>106</v>
      </c>
      <c r="C74" s="53">
        <f>[7]С2.3!E25</f>
        <v>0</v>
      </c>
    </row>
    <row r="75" spans="1:3" ht="25.5" x14ac:dyDescent="0.2">
      <c r="A75" s="60" t="s">
        <v>107</v>
      </c>
      <c r="B75" s="67" t="s">
        <v>108</v>
      </c>
      <c r="C75" s="68">
        <f>[7]С2.3!E12</f>
        <v>0.56000000000000005</v>
      </c>
    </row>
    <row r="76" spans="1:3" ht="25.5" x14ac:dyDescent="0.2">
      <c r="A76" s="60" t="s">
        <v>109</v>
      </c>
      <c r="B76" s="67" t="s">
        <v>98</v>
      </c>
      <c r="C76" s="63">
        <f>[7]С2.3!E13</f>
        <v>300</v>
      </c>
    </row>
    <row r="77" spans="1:3" ht="25.5" x14ac:dyDescent="0.2">
      <c r="A77" s="60" t="s">
        <v>110</v>
      </c>
      <c r="B77" s="70" t="s">
        <v>111</v>
      </c>
      <c r="C77" s="69">
        <f>IF([7]С2.3!E26&gt;0,[7]С2.3!E26,[7]С2.3!E16)</f>
        <v>65637</v>
      </c>
    </row>
    <row r="78" spans="1:3" ht="38.25" x14ac:dyDescent="0.2">
      <c r="A78" s="60" t="s">
        <v>112</v>
      </c>
      <c r="B78" s="70" t="s">
        <v>113</v>
      </c>
      <c r="C78" s="69">
        <f>IF([7]С2.3!E27&gt;0,[7]С2.3!E27,[7]С2.3!E17)</f>
        <v>31684</v>
      </c>
    </row>
    <row r="79" spans="1:3" ht="17.25" x14ac:dyDescent="0.2">
      <c r="A79" s="60" t="s">
        <v>114</v>
      </c>
      <c r="B79" s="34" t="s">
        <v>115</v>
      </c>
      <c r="C79" s="36">
        <f>[7]С2!F29</f>
        <v>0.128978033685065</v>
      </c>
    </row>
    <row r="80" spans="1:3" ht="30" x14ac:dyDescent="0.2">
      <c r="A80" s="60" t="s">
        <v>116</v>
      </c>
      <c r="B80" s="54" t="s">
        <v>117</v>
      </c>
      <c r="C80" s="71">
        <f>[7]С2!F30</f>
        <v>0.11668498168498169</v>
      </c>
    </row>
    <row r="81" spans="1:3" ht="17.25" x14ac:dyDescent="0.2">
      <c r="A81" s="60" t="s">
        <v>118</v>
      </c>
      <c r="B81" s="72" t="s">
        <v>119</v>
      </c>
      <c r="C81" s="36">
        <f>[7]С2!F31</f>
        <v>0.13880000000000001</v>
      </c>
    </row>
    <row r="82" spans="1:3" s="64" customFormat="1" ht="18" thickBot="1" x14ac:dyDescent="0.25">
      <c r="A82" s="73" t="s">
        <v>120</v>
      </c>
      <c r="B82" s="74" t="s">
        <v>121</v>
      </c>
      <c r="C82" s="75">
        <f>[7]С2!F32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[7]С3!F14</f>
        <v>6998.3755440420418</v>
      </c>
    </row>
    <row r="86" spans="1:3" s="64" customFormat="1" ht="42.75" x14ac:dyDescent="0.2">
      <c r="A86" s="78" t="s">
        <v>126</v>
      </c>
      <c r="B86" s="54" t="s">
        <v>127</v>
      </c>
      <c r="C86" s="79">
        <f>[7]С3!F15</f>
        <v>0.2</v>
      </c>
    </row>
    <row r="87" spans="1:3" s="64" customFormat="1" ht="14.25" x14ac:dyDescent="0.2">
      <c r="A87" s="78" t="s">
        <v>128</v>
      </c>
      <c r="B87" s="80" t="s">
        <v>129</v>
      </c>
      <c r="C87" s="63">
        <f>[7]С3!F18</f>
        <v>15</v>
      </c>
    </row>
    <row r="88" spans="1:3" s="64" customFormat="1" ht="17.25" x14ac:dyDescent="0.2">
      <c r="A88" s="78" t="s">
        <v>130</v>
      </c>
      <c r="B88" s="34" t="s">
        <v>131</v>
      </c>
      <c r="C88" s="35">
        <f>[7]С3!F19</f>
        <v>3487.1555421534131</v>
      </c>
    </row>
    <row r="89" spans="1:3" s="64" customFormat="1" ht="55.5" x14ac:dyDescent="0.2">
      <c r="A89" s="78" t="s">
        <v>132</v>
      </c>
      <c r="B89" s="54" t="s">
        <v>133</v>
      </c>
      <c r="C89" s="81">
        <f>[7]С3!F20</f>
        <v>2.1999999999999999E-2</v>
      </c>
    </row>
    <row r="90" spans="1:3" s="64" customFormat="1" ht="14.25" x14ac:dyDescent="0.2">
      <c r="A90" s="78" t="s">
        <v>134</v>
      </c>
      <c r="B90" s="59" t="s">
        <v>80</v>
      </c>
      <c r="C90" s="63">
        <f>[7]С3!F21</f>
        <v>10</v>
      </c>
    </row>
    <row r="91" spans="1:3" s="64" customFormat="1" ht="17.25" x14ac:dyDescent="0.2">
      <c r="A91" s="78" t="s">
        <v>135</v>
      </c>
      <c r="B91" s="34" t="s">
        <v>136</v>
      </c>
      <c r="C91" s="35">
        <f>[7]С3!F22</f>
        <v>3.370944844282</v>
      </c>
    </row>
    <row r="92" spans="1:3" s="64" customFormat="1" ht="55.5" x14ac:dyDescent="0.2">
      <c r="A92" s="78" t="s">
        <v>137</v>
      </c>
      <c r="B92" s="54" t="s">
        <v>138</v>
      </c>
      <c r="C92" s="81">
        <f>[7]С3!F23</f>
        <v>3.0000000000000001E-3</v>
      </c>
    </row>
    <row r="93" spans="1:3" s="64" customFormat="1" ht="27.75" thickBot="1" x14ac:dyDescent="0.25">
      <c r="A93" s="82" t="s">
        <v>139</v>
      </c>
      <c r="B93" s="83" t="s">
        <v>140</v>
      </c>
      <c r="C93" s="84">
        <f>[7]С3!F24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[7]С4!F16</f>
        <v>1652.5</v>
      </c>
    </row>
    <row r="97" spans="1:3" ht="30" x14ac:dyDescent="0.2">
      <c r="A97" s="60" t="s">
        <v>145</v>
      </c>
      <c r="B97" s="59" t="s">
        <v>146</v>
      </c>
      <c r="C97" s="35">
        <f>[7]С4!F17</f>
        <v>73547</v>
      </c>
    </row>
    <row r="98" spans="1:3" ht="17.25" x14ac:dyDescent="0.2">
      <c r="A98" s="60" t="s">
        <v>147</v>
      </c>
      <c r="B98" s="59" t="s">
        <v>148</v>
      </c>
      <c r="C98" s="41">
        <f>[7]С4!F18</f>
        <v>0.02</v>
      </c>
    </row>
    <row r="99" spans="1:3" ht="30" x14ac:dyDescent="0.2">
      <c r="A99" s="60" t="s">
        <v>149</v>
      </c>
      <c r="B99" s="59" t="s">
        <v>150</v>
      </c>
      <c r="C99" s="35">
        <f>[7]С4!F19</f>
        <v>12104</v>
      </c>
    </row>
    <row r="100" spans="1:3" ht="31.5" x14ac:dyDescent="0.2">
      <c r="A100" s="60" t="s">
        <v>151</v>
      </c>
      <c r="B100" s="59" t="s">
        <v>152</v>
      </c>
      <c r="C100" s="41">
        <f>[7]С4!F20</f>
        <v>1.4999999999999999E-2</v>
      </c>
    </row>
    <row r="101" spans="1:3" ht="30" x14ac:dyDescent="0.2">
      <c r="A101" s="60" t="s">
        <v>153</v>
      </c>
      <c r="B101" s="34" t="s">
        <v>154</v>
      </c>
      <c r="C101" s="35">
        <f>[7]С4!F21</f>
        <v>1933.1949342509995</v>
      </c>
    </row>
    <row r="102" spans="1:3" ht="24" customHeight="1" x14ac:dyDescent="0.2">
      <c r="A102" s="60" t="s">
        <v>155</v>
      </c>
      <c r="B102" s="54" t="s">
        <v>156</v>
      </c>
      <c r="C102" s="86">
        <f>IF([7]С4.2!F8="да",[7]С4.2!D21,[7]С4.2!D15)</f>
        <v>0</v>
      </c>
    </row>
    <row r="103" spans="1:3" ht="68.25" x14ac:dyDescent="0.2">
      <c r="A103" s="60" t="s">
        <v>157</v>
      </c>
      <c r="B103" s="54" t="s">
        <v>158</v>
      </c>
      <c r="C103" s="35">
        <f>[7]С4!F22</f>
        <v>3.6112641666666665</v>
      </c>
    </row>
    <row r="104" spans="1:3" ht="30" x14ac:dyDescent="0.2">
      <c r="A104" s="60" t="s">
        <v>159</v>
      </c>
      <c r="B104" s="59" t="s">
        <v>160</v>
      </c>
      <c r="C104" s="35">
        <f>[7]С4!F23</f>
        <v>180</v>
      </c>
    </row>
    <row r="105" spans="1:3" ht="14.25" x14ac:dyDescent="0.2">
      <c r="A105" s="60" t="s">
        <v>161</v>
      </c>
      <c r="B105" s="54" t="s">
        <v>162</v>
      </c>
      <c r="C105" s="35">
        <f>[7]С4!F24</f>
        <v>8497.1999999999989</v>
      </c>
    </row>
    <row r="106" spans="1:3" ht="14.25" x14ac:dyDescent="0.2">
      <c r="A106" s="60" t="s">
        <v>163</v>
      </c>
      <c r="B106" s="59" t="s">
        <v>164</v>
      </c>
      <c r="C106" s="41">
        <f>[7]С4!F25</f>
        <v>0.35</v>
      </c>
    </row>
    <row r="107" spans="1:3" ht="17.25" x14ac:dyDescent="0.2">
      <c r="A107" s="60" t="s">
        <v>165</v>
      </c>
      <c r="B107" s="34" t="s">
        <v>166</v>
      </c>
      <c r="C107" s="35">
        <f>[7]С4!F26</f>
        <v>35.504730000000002</v>
      </c>
    </row>
    <row r="108" spans="1:3" ht="25.5" x14ac:dyDescent="0.2">
      <c r="A108" s="60" t="s">
        <v>167</v>
      </c>
      <c r="B108" s="54" t="s">
        <v>94</v>
      </c>
      <c r="C108" s="86">
        <f>[7]С4.3!E16</f>
        <v>0</v>
      </c>
    </row>
    <row r="109" spans="1:3" ht="25.5" x14ac:dyDescent="0.2">
      <c r="A109" s="60" t="s">
        <v>168</v>
      </c>
      <c r="B109" s="54" t="s">
        <v>169</v>
      </c>
      <c r="C109" s="35">
        <f>[7]С4.3!E17</f>
        <v>8.75</v>
      </c>
    </row>
    <row r="110" spans="1:3" ht="38.25" x14ac:dyDescent="0.2">
      <c r="A110" s="60" t="s">
        <v>170</v>
      </c>
      <c r="B110" s="54" t="s">
        <v>106</v>
      </c>
      <c r="C110" s="86">
        <f>[7]С4.3!E18</f>
        <v>0</v>
      </c>
    </row>
    <row r="111" spans="1:3" x14ac:dyDescent="0.2">
      <c r="A111" s="60" t="s">
        <v>171</v>
      </c>
      <c r="B111" s="54" t="s">
        <v>172</v>
      </c>
      <c r="C111" s="35">
        <f>[7]С4.3!E19</f>
        <v>23.62</v>
      </c>
    </row>
    <row r="112" spans="1:3" x14ac:dyDescent="0.2">
      <c r="A112" s="60" t="s">
        <v>173</v>
      </c>
      <c r="B112" s="59" t="s">
        <v>174</v>
      </c>
      <c r="C112" s="35">
        <f>[7]С4.3!E11</f>
        <v>1871</v>
      </c>
    </row>
    <row r="113" spans="1:3" x14ac:dyDescent="0.2">
      <c r="A113" s="60" t="s">
        <v>175</v>
      </c>
      <c r="B113" s="59" t="s">
        <v>176</v>
      </c>
      <c r="C113" s="53">
        <f>[7]С4.3!E12</f>
        <v>1636</v>
      </c>
    </row>
    <row r="114" spans="1:3" x14ac:dyDescent="0.2">
      <c r="A114" s="60" t="s">
        <v>177</v>
      </c>
      <c r="B114" s="59" t="s">
        <v>178</v>
      </c>
      <c r="C114" s="53">
        <f>[7]С4.3!E13</f>
        <v>204</v>
      </c>
    </row>
    <row r="115" spans="1:3" ht="30" x14ac:dyDescent="0.2">
      <c r="A115" s="60" t="s">
        <v>179</v>
      </c>
      <c r="B115" s="34" t="s">
        <v>180</v>
      </c>
      <c r="C115" s="35">
        <f>[7]С4!F27</f>
        <v>776.44759830395003</v>
      </c>
    </row>
    <row r="116" spans="1:3" ht="25.5" x14ac:dyDescent="0.2">
      <c r="A116" s="60" t="s">
        <v>181</v>
      </c>
      <c r="B116" s="54" t="s">
        <v>182</v>
      </c>
      <c r="C116" s="35">
        <f>[7]С4!F28</f>
        <v>596.34992189243474</v>
      </c>
    </row>
    <row r="117" spans="1:3" ht="42.75" x14ac:dyDescent="0.2">
      <c r="A117" s="60" t="s">
        <v>183</v>
      </c>
      <c r="B117" s="54" t="s">
        <v>184</v>
      </c>
      <c r="C117" s="35">
        <f>[7]С4!F29</f>
        <v>180.09767641151529</v>
      </c>
    </row>
    <row r="118" spans="1:3" ht="30" x14ac:dyDescent="0.2">
      <c r="A118" s="60" t="s">
        <v>185</v>
      </c>
      <c r="B118" s="40" t="s">
        <v>186</v>
      </c>
      <c r="C118" s="35">
        <f>[7]С4!F30</f>
        <v>2166.3012181693721</v>
      </c>
    </row>
    <row r="119" spans="1:3" ht="42.75" x14ac:dyDescent="0.2">
      <c r="A119" s="60" t="s">
        <v>187</v>
      </c>
      <c r="B119" s="87" t="s">
        <v>188</v>
      </c>
      <c r="C119" s="35">
        <f>[7]С4!F33</f>
        <v>1471.5286089035001</v>
      </c>
    </row>
    <row r="120" spans="1:3" ht="30" x14ac:dyDescent="0.2">
      <c r="A120" s="60" t="s">
        <v>189</v>
      </c>
      <c r="B120" s="88" t="s">
        <v>190</v>
      </c>
      <c r="C120" s="35">
        <f>[7]С4!F35</f>
        <v>17.040680999999999</v>
      </c>
    </row>
    <row r="121" spans="1:3" ht="14.25" x14ac:dyDescent="0.2">
      <c r="A121" s="60" t="s">
        <v>191</v>
      </c>
      <c r="B121" s="57" t="s">
        <v>192</v>
      </c>
      <c r="C121" s="35">
        <f>[7]С4!F36</f>
        <v>14319.9</v>
      </c>
    </row>
    <row r="122" spans="1:3" ht="28.5" thickBot="1" x14ac:dyDescent="0.25">
      <c r="A122" s="73" t="s">
        <v>193</v>
      </c>
      <c r="B122" s="89" t="s">
        <v>194</v>
      </c>
      <c r="C122" s="84">
        <f>[7]С4!F37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[7]С5!F17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[7]С2!F37</f>
        <v>20.818139999999996</v>
      </c>
    </row>
    <row r="136" spans="1:4" ht="14.25" x14ac:dyDescent="0.2">
      <c r="A136" s="60" t="s">
        <v>216</v>
      </c>
      <c r="B136" s="102" t="s">
        <v>217</v>
      </c>
      <c r="C136" s="35">
        <f>[7]С2!F38</f>
        <v>7</v>
      </c>
    </row>
    <row r="137" spans="1:4" ht="17.25" x14ac:dyDescent="0.2">
      <c r="A137" s="60" t="s">
        <v>218</v>
      </c>
      <c r="B137" s="102" t="s">
        <v>219</v>
      </c>
      <c r="C137" s="35">
        <f>[7]С2!F40</f>
        <v>0.97</v>
      </c>
    </row>
    <row r="138" spans="1:4" ht="15" thickBot="1" x14ac:dyDescent="0.25">
      <c r="A138" s="73" t="s">
        <v>220</v>
      </c>
      <c r="B138" s="103" t="s">
        <v>221</v>
      </c>
      <c r="C138" s="47">
        <f>[7]С2!F42</f>
        <v>0.35</v>
      </c>
    </row>
    <row r="139" spans="1:4" s="90" customFormat="1" ht="13.5" thickBot="1" x14ac:dyDescent="0.25">
      <c r="A139" s="48"/>
      <c r="B139" s="76"/>
      <c r="C139" s="15"/>
    </row>
    <row r="140" spans="1:4" ht="30" x14ac:dyDescent="0.2">
      <c r="A140" s="85" t="s">
        <v>222</v>
      </c>
      <c r="B140" s="104" t="s">
        <v>223</v>
      </c>
      <c r="C140" s="105">
        <f>[7]С2!F35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[7]С2.5!$E$11</f>
        <v>-2.9000000000000026E-2</v>
      </c>
      <c r="D143" s="90"/>
    </row>
    <row r="144" spans="1:4" x14ac:dyDescent="0.2">
      <c r="A144" s="107"/>
      <c r="B144" s="112">
        <f>B143+1</f>
        <v>2021</v>
      </c>
      <c r="C144" s="113">
        <f>[7]С2.5!$F$11</f>
        <v>0.245</v>
      </c>
      <c r="D144" s="90"/>
    </row>
    <row r="145" spans="1:4" x14ac:dyDescent="0.2">
      <c r="A145" s="107"/>
      <c r="B145" s="112">
        <f t="shared" ref="B145:B208" si="0">B144+1</f>
        <v>2022</v>
      </c>
      <c r="C145" s="113">
        <f>[7]С2.5!$G$11</f>
        <v>0.121</v>
      </c>
      <c r="D145" s="90"/>
    </row>
    <row r="146" spans="1:4" ht="13.5" thickBot="1" x14ac:dyDescent="0.25">
      <c r="A146" s="107"/>
      <c r="B146" s="114">
        <f t="shared" si="0"/>
        <v>2023</v>
      </c>
      <c r="C146" s="115">
        <f>[7]С2.5!$H$11</f>
        <v>0.02</v>
      </c>
      <c r="D146" s="90"/>
    </row>
    <row r="147" spans="1:4" hidden="1" x14ac:dyDescent="0.2">
      <c r="A147" s="107"/>
      <c r="B147" s="116">
        <f t="shared" si="0"/>
        <v>2024</v>
      </c>
      <c r="C147" s="117">
        <f>[7]С2.5!$I$11</f>
        <v>-2.93E-2</v>
      </c>
      <c r="D147" s="90"/>
    </row>
    <row r="148" spans="1:4" hidden="1" x14ac:dyDescent="0.2">
      <c r="A148" s="107"/>
      <c r="B148" s="112">
        <f t="shared" si="0"/>
        <v>2025</v>
      </c>
      <c r="C148" s="113">
        <f>[7]С2.5!$J$11</f>
        <v>0.21215960863291</v>
      </c>
      <c r="D148" s="90"/>
    </row>
    <row r="149" spans="1:4" hidden="1" x14ac:dyDescent="0.2">
      <c r="A149" s="107"/>
      <c r="B149" s="112">
        <f t="shared" si="0"/>
        <v>2026</v>
      </c>
      <c r="C149" s="113">
        <f>[7]С2.5!$K$11</f>
        <v>3.5813361771260002E-2</v>
      </c>
      <c r="D149" s="90"/>
    </row>
    <row r="150" spans="1:4" hidden="1" x14ac:dyDescent="0.2">
      <c r="A150" s="107"/>
      <c r="B150" s="112">
        <f t="shared" si="0"/>
        <v>2027</v>
      </c>
      <c r="C150" s="113">
        <f>[7]С2.5!$L$11</f>
        <v>3.2682303599220003E-2</v>
      </c>
      <c r="D150" s="90"/>
    </row>
    <row r="151" spans="1:4" hidden="1" x14ac:dyDescent="0.2">
      <c r="A151" s="107"/>
      <c r="B151" s="112">
        <f t="shared" si="0"/>
        <v>2028</v>
      </c>
      <c r="C151" s="113">
        <f>[7]С2.5!$M$11</f>
        <v>0</v>
      </c>
      <c r="D151" s="90"/>
    </row>
    <row r="152" spans="1:4" hidden="1" x14ac:dyDescent="0.2">
      <c r="A152" s="107"/>
      <c r="B152" s="112">
        <f t="shared" si="0"/>
        <v>2029</v>
      </c>
      <c r="C152" s="113">
        <f>[7]С2.5!$N$11</f>
        <v>0</v>
      </c>
      <c r="D152" s="90"/>
    </row>
    <row r="153" spans="1:4" hidden="1" x14ac:dyDescent="0.2">
      <c r="A153" s="107"/>
      <c r="B153" s="112">
        <f t="shared" si="0"/>
        <v>2030</v>
      </c>
      <c r="C153" s="113">
        <f>[7]С2.5!$O$11</f>
        <v>0</v>
      </c>
      <c r="D153" s="90"/>
    </row>
    <row r="154" spans="1:4" hidden="1" x14ac:dyDescent="0.2">
      <c r="A154" s="107"/>
      <c r="B154" s="112">
        <f t="shared" si="0"/>
        <v>2031</v>
      </c>
      <c r="C154" s="113">
        <f>[7]С2.5!$P$11</f>
        <v>0</v>
      </c>
      <c r="D154" s="90"/>
    </row>
    <row r="155" spans="1:4" hidden="1" x14ac:dyDescent="0.2">
      <c r="A155" s="90"/>
      <c r="B155" s="112">
        <f t="shared" si="0"/>
        <v>2032</v>
      </c>
      <c r="C155" s="113">
        <f>[7]С2.5!$Q$11</f>
        <v>0</v>
      </c>
      <c r="D155" s="90"/>
    </row>
    <row r="156" spans="1:4" hidden="1" x14ac:dyDescent="0.2">
      <c r="A156" s="90"/>
      <c r="B156" s="112">
        <f t="shared" si="0"/>
        <v>2033</v>
      </c>
      <c r="C156" s="113">
        <f>[7]С2.5!$R$11</f>
        <v>0</v>
      </c>
      <c r="D156" s="90"/>
    </row>
    <row r="157" spans="1:4" hidden="1" x14ac:dyDescent="0.2">
      <c r="B157" s="112">
        <f t="shared" si="0"/>
        <v>2034</v>
      </c>
      <c r="C157" s="113">
        <f>[7]С2.5!$S$11</f>
        <v>0</v>
      </c>
    </row>
    <row r="158" spans="1:4" hidden="1" x14ac:dyDescent="0.2">
      <c r="B158" s="112">
        <f t="shared" si="0"/>
        <v>2035</v>
      </c>
      <c r="C158" s="113">
        <f>[7]С2.5!$T$11</f>
        <v>0</v>
      </c>
    </row>
    <row r="159" spans="1:4" hidden="1" x14ac:dyDescent="0.2">
      <c r="B159" s="112">
        <f t="shared" si="0"/>
        <v>2036</v>
      </c>
      <c r="C159" s="113">
        <f>[7]С2.5!$U$11</f>
        <v>0</v>
      </c>
    </row>
    <row r="160" spans="1:4" hidden="1" x14ac:dyDescent="0.2">
      <c r="B160" s="112">
        <f t="shared" si="0"/>
        <v>2037</v>
      </c>
      <c r="C160" s="113">
        <f>[7]С2.5!$V$11</f>
        <v>0</v>
      </c>
    </row>
    <row r="161" spans="2:3" hidden="1" x14ac:dyDescent="0.2">
      <c r="B161" s="112">
        <f t="shared" si="0"/>
        <v>2038</v>
      </c>
      <c r="C161" s="113">
        <f>[7]С2.5!$W$11</f>
        <v>0</v>
      </c>
    </row>
    <row r="162" spans="2:3" hidden="1" x14ac:dyDescent="0.2">
      <c r="B162" s="112">
        <f t="shared" si="0"/>
        <v>2039</v>
      </c>
      <c r="C162" s="113">
        <f>[7]С2.5!$X$11</f>
        <v>0</v>
      </c>
    </row>
    <row r="163" spans="2:3" hidden="1" x14ac:dyDescent="0.2">
      <c r="B163" s="112">
        <f t="shared" si="0"/>
        <v>2040</v>
      </c>
      <c r="C163" s="113">
        <f>[7]С2.5!$Y$11</f>
        <v>0</v>
      </c>
    </row>
    <row r="164" spans="2:3" hidden="1" x14ac:dyDescent="0.2">
      <c r="B164" s="112">
        <f t="shared" si="0"/>
        <v>2041</v>
      </c>
      <c r="C164" s="113">
        <f>[7]С2.5!$Z$11</f>
        <v>0</v>
      </c>
    </row>
    <row r="165" spans="2:3" hidden="1" x14ac:dyDescent="0.2">
      <c r="B165" s="112">
        <f t="shared" si="0"/>
        <v>2042</v>
      </c>
      <c r="C165" s="113">
        <f>[7]С2.5!$AA$11</f>
        <v>0</v>
      </c>
    </row>
    <row r="166" spans="2:3" hidden="1" x14ac:dyDescent="0.2">
      <c r="B166" s="112">
        <f t="shared" si="0"/>
        <v>2043</v>
      </c>
      <c r="C166" s="113">
        <f>[7]С2.5!$AB$11</f>
        <v>0</v>
      </c>
    </row>
    <row r="167" spans="2:3" hidden="1" x14ac:dyDescent="0.2">
      <c r="B167" s="112">
        <f t="shared" si="0"/>
        <v>2044</v>
      </c>
      <c r="C167" s="113">
        <f>[7]С2.5!$AC$11</f>
        <v>0</v>
      </c>
    </row>
    <row r="168" spans="2:3" hidden="1" x14ac:dyDescent="0.2">
      <c r="B168" s="112">
        <f t="shared" si="0"/>
        <v>2045</v>
      </c>
      <c r="C168" s="113">
        <f>[7]С2.5!$AD$11</f>
        <v>0</v>
      </c>
    </row>
    <row r="169" spans="2:3" hidden="1" x14ac:dyDescent="0.2">
      <c r="B169" s="112">
        <f t="shared" si="0"/>
        <v>2046</v>
      </c>
      <c r="C169" s="113">
        <f>[7]С2.5!$AE$11</f>
        <v>0</v>
      </c>
    </row>
    <row r="170" spans="2:3" hidden="1" x14ac:dyDescent="0.2">
      <c r="B170" s="112">
        <f t="shared" si="0"/>
        <v>2047</v>
      </c>
      <c r="C170" s="113">
        <f>[7]С2.5!$AF$11</f>
        <v>0</v>
      </c>
    </row>
    <row r="171" spans="2:3" hidden="1" x14ac:dyDescent="0.2">
      <c r="B171" s="112">
        <f t="shared" si="0"/>
        <v>2048</v>
      </c>
      <c r="C171" s="113">
        <f>[7]С2.5!$AG$11</f>
        <v>0</v>
      </c>
    </row>
    <row r="172" spans="2:3" hidden="1" x14ac:dyDescent="0.2">
      <c r="B172" s="112">
        <f t="shared" si="0"/>
        <v>2049</v>
      </c>
      <c r="C172" s="113">
        <f>[7]С2.5!$AH$11</f>
        <v>0</v>
      </c>
    </row>
    <row r="173" spans="2:3" hidden="1" x14ac:dyDescent="0.2">
      <c r="B173" s="112">
        <f t="shared" si="0"/>
        <v>2050</v>
      </c>
      <c r="C173" s="113">
        <f>[7]С2.5!$AI$11</f>
        <v>0</v>
      </c>
    </row>
    <row r="174" spans="2:3" hidden="1" x14ac:dyDescent="0.2">
      <c r="B174" s="112">
        <f t="shared" si="0"/>
        <v>2051</v>
      </c>
      <c r="C174" s="113">
        <f>[7]С2.5!$AJ$11</f>
        <v>0</v>
      </c>
    </row>
    <row r="175" spans="2:3" hidden="1" x14ac:dyDescent="0.2">
      <c r="B175" s="112">
        <f t="shared" si="0"/>
        <v>2052</v>
      </c>
      <c r="C175" s="113">
        <f>[7]С2.5!$AK$11</f>
        <v>0</v>
      </c>
    </row>
    <row r="176" spans="2:3" hidden="1" x14ac:dyDescent="0.2">
      <c r="B176" s="112">
        <f t="shared" si="0"/>
        <v>2053</v>
      </c>
      <c r="C176" s="113">
        <f>[7]С2.5!$AL$11</f>
        <v>0</v>
      </c>
    </row>
    <row r="177" spans="2:3" hidden="1" x14ac:dyDescent="0.2">
      <c r="B177" s="112">
        <f t="shared" si="0"/>
        <v>2054</v>
      </c>
      <c r="C177" s="113">
        <f>[7]С2.5!$AM$11</f>
        <v>0</v>
      </c>
    </row>
    <row r="178" spans="2:3" hidden="1" x14ac:dyDescent="0.2">
      <c r="B178" s="112">
        <f t="shared" si="0"/>
        <v>2055</v>
      </c>
      <c r="C178" s="113">
        <f>[7]С2.5!$AN$11</f>
        <v>0</v>
      </c>
    </row>
    <row r="179" spans="2:3" hidden="1" x14ac:dyDescent="0.2">
      <c r="B179" s="112">
        <f t="shared" si="0"/>
        <v>2056</v>
      </c>
      <c r="C179" s="113">
        <f>[7]С2.5!$AO$11</f>
        <v>0</v>
      </c>
    </row>
    <row r="180" spans="2:3" hidden="1" x14ac:dyDescent="0.2">
      <c r="B180" s="112">
        <f t="shared" si="0"/>
        <v>2057</v>
      </c>
      <c r="C180" s="113">
        <f>[7]С2.5!$AP$11</f>
        <v>0</v>
      </c>
    </row>
    <row r="181" spans="2:3" hidden="1" x14ac:dyDescent="0.2">
      <c r="B181" s="112">
        <f t="shared" si="0"/>
        <v>2058</v>
      </c>
      <c r="C181" s="113">
        <f>[7]С2.5!$AQ$11</f>
        <v>0</v>
      </c>
    </row>
    <row r="182" spans="2:3" hidden="1" x14ac:dyDescent="0.2">
      <c r="B182" s="112">
        <f t="shared" si="0"/>
        <v>2059</v>
      </c>
      <c r="C182" s="113">
        <f>[7]С2.5!$AR$11</f>
        <v>0</v>
      </c>
    </row>
    <row r="183" spans="2:3" hidden="1" x14ac:dyDescent="0.2">
      <c r="B183" s="112">
        <f t="shared" si="0"/>
        <v>2060</v>
      </c>
      <c r="C183" s="113">
        <f>[7]С2.5!$AS$11</f>
        <v>0</v>
      </c>
    </row>
    <row r="184" spans="2:3" hidden="1" x14ac:dyDescent="0.2">
      <c r="B184" s="112">
        <f t="shared" si="0"/>
        <v>2061</v>
      </c>
      <c r="C184" s="113">
        <f>[7]С2.5!$AT$11</f>
        <v>0</v>
      </c>
    </row>
    <row r="185" spans="2:3" hidden="1" x14ac:dyDescent="0.2">
      <c r="B185" s="112">
        <f t="shared" si="0"/>
        <v>2062</v>
      </c>
      <c r="C185" s="113">
        <f>[7]С2.5!$AU$11</f>
        <v>0</v>
      </c>
    </row>
    <row r="186" spans="2:3" hidden="1" x14ac:dyDescent="0.2">
      <c r="B186" s="112">
        <f t="shared" si="0"/>
        <v>2063</v>
      </c>
      <c r="C186" s="113">
        <f>[7]С2.5!$AV$11</f>
        <v>0</v>
      </c>
    </row>
    <row r="187" spans="2:3" hidden="1" x14ac:dyDescent="0.2">
      <c r="B187" s="112">
        <f t="shared" si="0"/>
        <v>2064</v>
      </c>
      <c r="C187" s="113">
        <f>[7]С2.5!$AW$11</f>
        <v>0</v>
      </c>
    </row>
    <row r="188" spans="2:3" hidden="1" x14ac:dyDescent="0.2">
      <c r="B188" s="112">
        <f t="shared" si="0"/>
        <v>2065</v>
      </c>
      <c r="C188" s="113">
        <f>[7]С2.5!$AX$11</f>
        <v>0</v>
      </c>
    </row>
    <row r="189" spans="2:3" hidden="1" x14ac:dyDescent="0.2">
      <c r="B189" s="112">
        <f t="shared" si="0"/>
        <v>2066</v>
      </c>
      <c r="C189" s="113">
        <f>[7]С2.5!$AY$11</f>
        <v>0</v>
      </c>
    </row>
    <row r="190" spans="2:3" hidden="1" x14ac:dyDescent="0.2">
      <c r="B190" s="112">
        <f t="shared" si="0"/>
        <v>2067</v>
      </c>
      <c r="C190" s="113">
        <f>[7]С2.5!$AZ$11</f>
        <v>0</v>
      </c>
    </row>
    <row r="191" spans="2:3" hidden="1" x14ac:dyDescent="0.2">
      <c r="B191" s="112">
        <f t="shared" si="0"/>
        <v>2068</v>
      </c>
      <c r="C191" s="113">
        <f>[7]С2.5!$BA$11</f>
        <v>0</v>
      </c>
    </row>
    <row r="192" spans="2:3" hidden="1" x14ac:dyDescent="0.2">
      <c r="B192" s="112">
        <f t="shared" si="0"/>
        <v>2069</v>
      </c>
      <c r="C192" s="113">
        <f>[7]С2.5!$BB$11</f>
        <v>0</v>
      </c>
    </row>
    <row r="193" spans="2:3" hidden="1" x14ac:dyDescent="0.2">
      <c r="B193" s="112">
        <f t="shared" si="0"/>
        <v>2070</v>
      </c>
      <c r="C193" s="113">
        <f>[7]С2.5!$BC$11</f>
        <v>0</v>
      </c>
    </row>
    <row r="194" spans="2:3" hidden="1" x14ac:dyDescent="0.2">
      <c r="B194" s="112">
        <f t="shared" si="0"/>
        <v>2071</v>
      </c>
      <c r="C194" s="113">
        <f>[7]С2.5!$BD$11</f>
        <v>0</v>
      </c>
    </row>
    <row r="195" spans="2:3" hidden="1" x14ac:dyDescent="0.2">
      <c r="B195" s="112">
        <f t="shared" si="0"/>
        <v>2072</v>
      </c>
      <c r="C195" s="113">
        <f>[7]С2.5!$BE$11</f>
        <v>0</v>
      </c>
    </row>
    <row r="196" spans="2:3" hidden="1" x14ac:dyDescent="0.2">
      <c r="B196" s="112">
        <f t="shared" si="0"/>
        <v>2073</v>
      </c>
      <c r="C196" s="113">
        <f>[7]С2.5!$BF$11</f>
        <v>0</v>
      </c>
    </row>
    <row r="197" spans="2:3" hidden="1" x14ac:dyDescent="0.2">
      <c r="B197" s="112">
        <f t="shared" si="0"/>
        <v>2074</v>
      </c>
      <c r="C197" s="113">
        <f>[7]С2.5!$BG$11</f>
        <v>0</v>
      </c>
    </row>
    <row r="198" spans="2:3" hidden="1" x14ac:dyDescent="0.2">
      <c r="B198" s="112">
        <f t="shared" si="0"/>
        <v>2075</v>
      </c>
      <c r="C198" s="113">
        <f>[7]С2.5!$BH$11</f>
        <v>0</v>
      </c>
    </row>
    <row r="199" spans="2:3" hidden="1" x14ac:dyDescent="0.2">
      <c r="B199" s="112">
        <f t="shared" si="0"/>
        <v>2076</v>
      </c>
      <c r="C199" s="113">
        <f>[7]С2.5!$BI$11</f>
        <v>0</v>
      </c>
    </row>
    <row r="200" spans="2:3" hidden="1" x14ac:dyDescent="0.2">
      <c r="B200" s="112">
        <f t="shared" si="0"/>
        <v>2077</v>
      </c>
      <c r="C200" s="113">
        <f>[7]С2.5!$BJ$11</f>
        <v>0</v>
      </c>
    </row>
    <row r="201" spans="2:3" hidden="1" x14ac:dyDescent="0.2">
      <c r="B201" s="112">
        <f t="shared" si="0"/>
        <v>2078</v>
      </c>
      <c r="C201" s="113">
        <f>[7]С2.5!$BK$11</f>
        <v>0</v>
      </c>
    </row>
    <row r="202" spans="2:3" hidden="1" x14ac:dyDescent="0.2">
      <c r="B202" s="112">
        <f t="shared" si="0"/>
        <v>2079</v>
      </c>
      <c r="C202" s="113">
        <f>[7]С2.5!$BL$11</f>
        <v>0</v>
      </c>
    </row>
    <row r="203" spans="2:3" hidden="1" x14ac:dyDescent="0.2">
      <c r="B203" s="112">
        <f t="shared" si="0"/>
        <v>2080</v>
      </c>
      <c r="C203" s="113">
        <f>[7]С2.5!$BM$11</f>
        <v>0</v>
      </c>
    </row>
    <row r="204" spans="2:3" hidden="1" x14ac:dyDescent="0.2">
      <c r="B204" s="112">
        <f t="shared" si="0"/>
        <v>2081</v>
      </c>
      <c r="C204" s="113">
        <f>[7]С2.5!$BN$11</f>
        <v>0</v>
      </c>
    </row>
    <row r="205" spans="2:3" hidden="1" x14ac:dyDescent="0.2">
      <c r="B205" s="112">
        <f t="shared" si="0"/>
        <v>2082</v>
      </c>
      <c r="C205" s="113">
        <f>[7]С2.5!$BO$11</f>
        <v>0</v>
      </c>
    </row>
    <row r="206" spans="2:3" hidden="1" x14ac:dyDescent="0.2">
      <c r="B206" s="112">
        <f t="shared" si="0"/>
        <v>2083</v>
      </c>
      <c r="C206" s="113">
        <f>[7]С2.5!$BP$11</f>
        <v>0</v>
      </c>
    </row>
    <row r="207" spans="2:3" hidden="1" x14ac:dyDescent="0.2">
      <c r="B207" s="112">
        <f t="shared" si="0"/>
        <v>2084</v>
      </c>
      <c r="C207" s="113">
        <f>[7]С2.5!$BQ$11</f>
        <v>0</v>
      </c>
    </row>
    <row r="208" spans="2:3" hidden="1" x14ac:dyDescent="0.2">
      <c r="B208" s="112">
        <f t="shared" si="0"/>
        <v>2085</v>
      </c>
      <c r="C208" s="113">
        <f>[7]С2.5!$BR$11</f>
        <v>0</v>
      </c>
    </row>
    <row r="209" spans="2:3" hidden="1" x14ac:dyDescent="0.2">
      <c r="B209" s="112">
        <f t="shared" ref="B209:B223" si="1">B208+1</f>
        <v>2086</v>
      </c>
      <c r="C209" s="113">
        <f>[7]С2.5!$BS$11</f>
        <v>0</v>
      </c>
    </row>
    <row r="210" spans="2:3" hidden="1" x14ac:dyDescent="0.2">
      <c r="B210" s="112">
        <f t="shared" si="1"/>
        <v>2087</v>
      </c>
      <c r="C210" s="113">
        <f>[7]С2.5!$BT$11</f>
        <v>0</v>
      </c>
    </row>
    <row r="211" spans="2:3" hidden="1" x14ac:dyDescent="0.2">
      <c r="B211" s="112">
        <f t="shared" si="1"/>
        <v>2088</v>
      </c>
      <c r="C211" s="113">
        <f>[7]С2.5!$BU$11</f>
        <v>0</v>
      </c>
    </row>
    <row r="212" spans="2:3" hidden="1" x14ac:dyDescent="0.2">
      <c r="B212" s="112">
        <f t="shared" si="1"/>
        <v>2089</v>
      </c>
      <c r="C212" s="113">
        <f>[7]С2.5!$BV$11</f>
        <v>0</v>
      </c>
    </row>
    <row r="213" spans="2:3" hidden="1" x14ac:dyDescent="0.2">
      <c r="B213" s="112">
        <f t="shared" si="1"/>
        <v>2090</v>
      </c>
      <c r="C213" s="113">
        <f>[7]С2.5!$BW$11</f>
        <v>0</v>
      </c>
    </row>
    <row r="214" spans="2:3" hidden="1" x14ac:dyDescent="0.2">
      <c r="B214" s="112">
        <f t="shared" si="1"/>
        <v>2091</v>
      </c>
      <c r="C214" s="113">
        <f>[7]С2.5!$BX$11</f>
        <v>0</v>
      </c>
    </row>
    <row r="215" spans="2:3" hidden="1" x14ac:dyDescent="0.2">
      <c r="B215" s="112">
        <f t="shared" si="1"/>
        <v>2092</v>
      </c>
      <c r="C215" s="113">
        <f>[7]С2.5!$BY$11</f>
        <v>0</v>
      </c>
    </row>
    <row r="216" spans="2:3" hidden="1" x14ac:dyDescent="0.2">
      <c r="B216" s="112">
        <f t="shared" si="1"/>
        <v>2093</v>
      </c>
      <c r="C216" s="113">
        <f>[7]С2.5!$BZ$11</f>
        <v>0</v>
      </c>
    </row>
    <row r="217" spans="2:3" hidden="1" x14ac:dyDescent="0.2">
      <c r="B217" s="112">
        <f t="shared" si="1"/>
        <v>2094</v>
      </c>
      <c r="C217" s="113">
        <f>[7]С2.5!$CA$11</f>
        <v>0</v>
      </c>
    </row>
    <row r="218" spans="2:3" hidden="1" x14ac:dyDescent="0.2">
      <c r="B218" s="112">
        <f t="shared" si="1"/>
        <v>2095</v>
      </c>
      <c r="C218" s="113">
        <f>[7]С2.5!$CB$11</f>
        <v>0</v>
      </c>
    </row>
    <row r="219" spans="2:3" hidden="1" x14ac:dyDescent="0.2">
      <c r="B219" s="112">
        <f t="shared" si="1"/>
        <v>2096</v>
      </c>
      <c r="C219" s="113">
        <f>[7]С2.5!$CC$11</f>
        <v>0</v>
      </c>
    </row>
    <row r="220" spans="2:3" hidden="1" x14ac:dyDescent="0.2">
      <c r="B220" s="112">
        <f t="shared" si="1"/>
        <v>2097</v>
      </c>
      <c r="C220" s="113">
        <f>[7]С2.5!$CD$11</f>
        <v>0</v>
      </c>
    </row>
    <row r="221" spans="2:3" hidden="1" x14ac:dyDescent="0.2">
      <c r="B221" s="112">
        <f t="shared" si="1"/>
        <v>2098</v>
      </c>
      <c r="C221" s="113">
        <f>[7]С2.5!$CE$11</f>
        <v>0</v>
      </c>
    </row>
    <row r="222" spans="2:3" hidden="1" x14ac:dyDescent="0.2">
      <c r="B222" s="112">
        <f t="shared" si="1"/>
        <v>2099</v>
      </c>
      <c r="C222" s="113">
        <f>[7]С2.5!$CF$11</f>
        <v>0</v>
      </c>
    </row>
    <row r="223" spans="2:3" ht="13.5" hidden="1" thickBot="1" x14ac:dyDescent="0.25">
      <c r="B223" s="114">
        <f t="shared" si="1"/>
        <v>2100</v>
      </c>
      <c r="C223" s="115">
        <f>[7]С2.5!$CG$11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Button 1">
              <controlPr defaultSize="0" print="0" autoFill="0" autoPict="0" macro="[7]!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[8]И1!D13</f>
        <v>Субъект Российской Федерации</v>
      </c>
      <c r="C4" s="10" t="str">
        <f>[8]И1!E13</f>
        <v>Новосибирская область</v>
      </c>
    </row>
    <row r="5" spans="1:3" ht="38.25" x14ac:dyDescent="0.2">
      <c r="A5" s="8"/>
      <c r="B5" s="9" t="str">
        <f>[8]И1!D14</f>
        <v>Тип муниципального образования (выберите из списка)</v>
      </c>
      <c r="C5" s="10" t="str">
        <f>[8]И1!E14</f>
        <v>село Конево, Краснозерский муниципальный район</v>
      </c>
    </row>
    <row r="6" spans="1:3" x14ac:dyDescent="0.2">
      <c r="A6" s="8"/>
      <c r="B6" s="9" t="str">
        <f>IF([8]И1!E15="","",[8]И1!D15)</f>
        <v/>
      </c>
      <c r="C6" s="10" t="str">
        <f>IF([8]И1!E15="","",[8]И1!E15)</f>
        <v/>
      </c>
    </row>
    <row r="7" spans="1:3" x14ac:dyDescent="0.2">
      <c r="A7" s="8"/>
      <c r="B7" s="9" t="str">
        <f>[8]И1!D16</f>
        <v>Код ОКТМО</v>
      </c>
      <c r="C7" s="11" t="str">
        <f>[8]И1!E16</f>
        <v xml:space="preserve"> (50627413101)</v>
      </c>
    </row>
    <row r="8" spans="1:3" x14ac:dyDescent="0.2">
      <c r="A8" s="8"/>
      <c r="B8" s="12" t="str">
        <f>[8]И1!D17</f>
        <v>Система теплоснабжения</v>
      </c>
      <c r="C8" s="13">
        <f>[8]И1!E17</f>
        <v>0</v>
      </c>
    </row>
    <row r="9" spans="1:3" x14ac:dyDescent="0.2">
      <c r="A9" s="8"/>
      <c r="B9" s="9" t="str">
        <f>[8]И1!D8</f>
        <v>Период регулирования (i)-й</v>
      </c>
      <c r="C9" s="14">
        <f>[8]И1!E8</f>
        <v>2023</v>
      </c>
    </row>
    <row r="10" spans="1:3" x14ac:dyDescent="0.2">
      <c r="A10" s="8"/>
      <c r="B10" s="9" t="str">
        <f>[8]И1!D9</f>
        <v>Период регулирования (i-1)-й</v>
      </c>
      <c r="C10" s="14">
        <f>[8]И1!E9</f>
        <v>2022</v>
      </c>
    </row>
    <row r="11" spans="1:3" x14ac:dyDescent="0.2">
      <c r="A11" s="8"/>
      <c r="B11" s="9" t="str">
        <f>[8]И1!D10</f>
        <v>Период регулирования (i-2)-й</v>
      </c>
      <c r="C11" s="14">
        <f>[8]И1!E10</f>
        <v>2021</v>
      </c>
    </row>
    <row r="12" spans="1:3" x14ac:dyDescent="0.2">
      <c r="A12" s="8"/>
      <c r="B12" s="9" t="str">
        <f>[8]И1!D11</f>
        <v>Базовый год (б)</v>
      </c>
      <c r="C12" s="14">
        <f>[8]И1!E11</f>
        <v>2019</v>
      </c>
    </row>
    <row r="13" spans="1:3" ht="38.25" x14ac:dyDescent="0.2">
      <c r="A13" s="8"/>
      <c r="B13" s="9" t="str">
        <f>[8]И1!D18</f>
        <v>Вид топлива, использование которого преобладает в системе теплоснабжения</v>
      </c>
      <c r="C13" s="15" t="str">
        <f>[8]С1.1!E13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4150.2043843414885</v>
      </c>
    </row>
    <row r="18" spans="1:3" ht="42.75" x14ac:dyDescent="0.2">
      <c r="A18" s="22" t="s">
        <v>8</v>
      </c>
      <c r="B18" s="25" t="s">
        <v>9</v>
      </c>
      <c r="C18" s="26">
        <f>[8]С1!F12</f>
        <v>1056.2203484150468</v>
      </c>
    </row>
    <row r="19" spans="1:3" ht="42.75" x14ac:dyDescent="0.2">
      <c r="A19" s="22" t="s">
        <v>10</v>
      </c>
      <c r="B19" s="25" t="s">
        <v>11</v>
      </c>
      <c r="C19" s="26">
        <f>[8]С2!F12</f>
        <v>2106.0579468653982</v>
      </c>
    </row>
    <row r="20" spans="1:3" ht="30" x14ac:dyDescent="0.2">
      <c r="A20" s="22" t="s">
        <v>12</v>
      </c>
      <c r="B20" s="25" t="s">
        <v>13</v>
      </c>
      <c r="C20" s="26">
        <f>[8]С3!F12</f>
        <v>503.83473408478085</v>
      </c>
    </row>
    <row r="21" spans="1:3" ht="42.75" x14ac:dyDescent="0.2">
      <c r="A21" s="22" t="s">
        <v>14</v>
      </c>
      <c r="B21" s="25" t="s">
        <v>15</v>
      </c>
      <c r="C21" s="26">
        <f>[8]С4!F12</f>
        <v>402.71479842054771</v>
      </c>
    </row>
    <row r="22" spans="1:3" ht="30" x14ac:dyDescent="0.2">
      <c r="A22" s="22" t="s">
        <v>16</v>
      </c>
      <c r="B22" s="25" t="s">
        <v>17</v>
      </c>
      <c r="C22" s="26">
        <f>[8]С5!F12</f>
        <v>81.376556555715467</v>
      </c>
    </row>
    <row r="23" spans="1:3" ht="43.5" thickBot="1" x14ac:dyDescent="0.25">
      <c r="A23" s="27" t="s">
        <v>18</v>
      </c>
      <c r="B23" s="106" t="s">
        <v>19</v>
      </c>
      <c r="C23" s="29" t="str">
        <f>[8]С6!F12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[8]С1.1!E16</f>
        <v>5100</v>
      </c>
    </row>
    <row r="29" spans="1:3" ht="42.75" x14ac:dyDescent="0.2">
      <c r="A29" s="22" t="s">
        <v>10</v>
      </c>
      <c r="B29" s="34" t="s">
        <v>22</v>
      </c>
      <c r="C29" s="35">
        <f>[8]С1.1!E27</f>
        <v>2840</v>
      </c>
    </row>
    <row r="30" spans="1:3" ht="17.25" x14ac:dyDescent="0.2">
      <c r="A30" s="22" t="s">
        <v>12</v>
      </c>
      <c r="B30" s="34" t="s">
        <v>23</v>
      </c>
      <c r="C30" s="36">
        <f>[8]С1.1!E19</f>
        <v>0.59499999999999997</v>
      </c>
    </row>
    <row r="31" spans="1:3" ht="17.25" x14ac:dyDescent="0.2">
      <c r="A31" s="22" t="s">
        <v>14</v>
      </c>
      <c r="B31" s="34" t="s">
        <v>24</v>
      </c>
      <c r="C31" s="36">
        <f>[8]С1.1!E20</f>
        <v>-0.113</v>
      </c>
    </row>
    <row r="32" spans="1:3" ht="30" x14ac:dyDescent="0.2">
      <c r="A32" s="22" t="s">
        <v>16</v>
      </c>
      <c r="B32" s="37" t="s">
        <v>25</v>
      </c>
      <c r="C32" s="38">
        <f>[8]С1!F13</f>
        <v>176.4</v>
      </c>
    </row>
    <row r="33" spans="1:3" x14ac:dyDescent="0.2">
      <c r="A33" s="22" t="s">
        <v>18</v>
      </c>
      <c r="B33" s="37" t="s">
        <v>26</v>
      </c>
      <c r="C33" s="39">
        <f>[8]С1!F16</f>
        <v>7000</v>
      </c>
    </row>
    <row r="34" spans="1:3" ht="14.25" x14ac:dyDescent="0.2">
      <c r="A34" s="22" t="s">
        <v>27</v>
      </c>
      <c r="B34" s="40" t="s">
        <v>28</v>
      </c>
      <c r="C34" s="41">
        <f>[8]С1!F17</f>
        <v>0.72857142857142854</v>
      </c>
    </row>
    <row r="35" spans="1:3" ht="15.75" x14ac:dyDescent="0.2">
      <c r="A35" s="42" t="s">
        <v>29</v>
      </c>
      <c r="B35" s="43" t="s">
        <v>30</v>
      </c>
      <c r="C35" s="41">
        <f>[8]С1!F20</f>
        <v>21.588411179999994</v>
      </c>
    </row>
    <row r="36" spans="1:3" ht="15.75" x14ac:dyDescent="0.2">
      <c r="A36" s="42" t="s">
        <v>31</v>
      </c>
      <c r="B36" s="44" t="s">
        <v>32</v>
      </c>
      <c r="C36" s="41">
        <f>[8]С1!F21</f>
        <v>20.818139999999996</v>
      </c>
    </row>
    <row r="37" spans="1:3" ht="14.25" x14ac:dyDescent="0.2">
      <c r="A37" s="42" t="s">
        <v>33</v>
      </c>
      <c r="B37" s="45" t="s">
        <v>34</v>
      </c>
      <c r="C37" s="41">
        <f>[8]С1!F22</f>
        <v>1.0369999999999999</v>
      </c>
    </row>
    <row r="38" spans="1:3" ht="53.25" thickBot="1" x14ac:dyDescent="0.25">
      <c r="A38" s="27" t="s">
        <v>35</v>
      </c>
      <c r="B38" s="46" t="s">
        <v>36</v>
      </c>
      <c r="C38" s="47">
        <f>[8]С1!F23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[8]С2.1!E12</f>
        <v>V</v>
      </c>
    </row>
    <row r="42" spans="1:3" ht="25.5" x14ac:dyDescent="0.2">
      <c r="A42" s="22" t="s">
        <v>41</v>
      </c>
      <c r="B42" s="34" t="s">
        <v>42</v>
      </c>
      <c r="C42" s="52" t="str">
        <f>[8]С2.1!E13</f>
        <v>6 и менее баллов</v>
      </c>
    </row>
    <row r="43" spans="1:3" ht="25.5" x14ac:dyDescent="0.2">
      <c r="A43" s="22" t="s">
        <v>43</v>
      </c>
      <c r="B43" s="34" t="s">
        <v>44</v>
      </c>
      <c r="C43" s="52" t="str">
        <f>[8]С2.1!E14</f>
        <v>от 200 до 500</v>
      </c>
    </row>
    <row r="44" spans="1:3" ht="25.5" x14ac:dyDescent="0.2">
      <c r="A44" s="22" t="s">
        <v>45</v>
      </c>
      <c r="B44" s="34" t="s">
        <v>46</v>
      </c>
      <c r="C44" s="53" t="str">
        <f>[8]С2.1!E15</f>
        <v>нет</v>
      </c>
    </row>
    <row r="45" spans="1:3" ht="30" x14ac:dyDescent="0.2">
      <c r="A45" s="22" t="s">
        <v>47</v>
      </c>
      <c r="B45" s="34" t="s">
        <v>48</v>
      </c>
      <c r="C45" s="35">
        <f>[8]С2!F18</f>
        <v>32402.627334033532</v>
      </c>
    </row>
    <row r="46" spans="1:3" ht="30" x14ac:dyDescent="0.2">
      <c r="A46" s="22" t="s">
        <v>49</v>
      </c>
      <c r="B46" s="54" t="s">
        <v>50</v>
      </c>
      <c r="C46" s="35">
        <f>IF([8]С2!F19&gt;0,[8]С2!F19,[8]С2!F20)</f>
        <v>23441.524932855718</v>
      </c>
    </row>
    <row r="47" spans="1:3" ht="25.5" x14ac:dyDescent="0.2">
      <c r="A47" s="22" t="s">
        <v>51</v>
      </c>
      <c r="B47" s="55" t="s">
        <v>52</v>
      </c>
      <c r="C47" s="35">
        <f>[8]С2.1!E19</f>
        <v>-37</v>
      </c>
    </row>
    <row r="48" spans="1:3" ht="25.5" x14ac:dyDescent="0.2">
      <c r="A48" s="22" t="s">
        <v>53</v>
      </c>
      <c r="B48" s="55" t="s">
        <v>54</v>
      </c>
      <c r="C48" s="35" t="str">
        <f>[8]С2.1!E22</f>
        <v>нет</v>
      </c>
    </row>
    <row r="49" spans="1:3" ht="38.25" x14ac:dyDescent="0.2">
      <c r="A49" s="22" t="s">
        <v>55</v>
      </c>
      <c r="B49" s="56" t="s">
        <v>56</v>
      </c>
      <c r="C49" s="35">
        <f>[8]С2.2!E10</f>
        <v>1287</v>
      </c>
    </row>
    <row r="50" spans="1:3" ht="25.5" x14ac:dyDescent="0.2">
      <c r="A50" s="22" t="s">
        <v>57</v>
      </c>
      <c r="B50" s="57" t="s">
        <v>58</v>
      </c>
      <c r="C50" s="35">
        <f>[8]С2.2!E12</f>
        <v>5.97</v>
      </c>
    </row>
    <row r="51" spans="1:3" ht="52.5" x14ac:dyDescent="0.2">
      <c r="A51" s="22" t="s">
        <v>59</v>
      </c>
      <c r="B51" s="58" t="s">
        <v>60</v>
      </c>
      <c r="C51" s="35">
        <f>[8]С2.2!E13</f>
        <v>1</v>
      </c>
    </row>
    <row r="52" spans="1:3" ht="27.75" x14ac:dyDescent="0.2">
      <c r="A52" s="22" t="s">
        <v>61</v>
      </c>
      <c r="B52" s="57" t="s">
        <v>62</v>
      </c>
      <c r="C52" s="35">
        <f>[8]С2.2!E14</f>
        <v>12104</v>
      </c>
    </row>
    <row r="53" spans="1:3" ht="25.5" x14ac:dyDescent="0.2">
      <c r="A53" s="22" t="s">
        <v>63</v>
      </c>
      <c r="B53" s="58" t="s">
        <v>64</v>
      </c>
      <c r="C53" s="36">
        <f>[8]С2.2!E15</f>
        <v>4.8000000000000001E-2</v>
      </c>
    </row>
    <row r="54" spans="1:3" x14ac:dyDescent="0.2">
      <c r="A54" s="22" t="s">
        <v>65</v>
      </c>
      <c r="B54" s="58" t="s">
        <v>66</v>
      </c>
      <c r="C54" s="35">
        <f>[8]С2.2!E16</f>
        <v>1</v>
      </c>
    </row>
    <row r="55" spans="1:3" ht="15.75" x14ac:dyDescent="0.2">
      <c r="A55" s="22" t="s">
        <v>67</v>
      </c>
      <c r="B55" s="59" t="s">
        <v>68</v>
      </c>
      <c r="C55" s="35">
        <f>[8]С2!F21</f>
        <v>1</v>
      </c>
    </row>
    <row r="56" spans="1:3" ht="30" x14ac:dyDescent="0.2">
      <c r="A56" s="60" t="s">
        <v>69</v>
      </c>
      <c r="B56" s="34" t="s">
        <v>70</v>
      </c>
      <c r="C56" s="35">
        <f>[8]С2!F13</f>
        <v>169640.22915965237</v>
      </c>
    </row>
    <row r="57" spans="1:3" ht="30" x14ac:dyDescent="0.2">
      <c r="A57" s="60" t="s">
        <v>71</v>
      </c>
      <c r="B57" s="59" t="s">
        <v>72</v>
      </c>
      <c r="C57" s="35">
        <f>[8]С2!F14</f>
        <v>113455</v>
      </c>
    </row>
    <row r="58" spans="1:3" ht="15.75" x14ac:dyDescent="0.2">
      <c r="A58" s="60" t="s">
        <v>73</v>
      </c>
      <c r="B58" s="61" t="s">
        <v>74</v>
      </c>
      <c r="C58" s="41">
        <f>[8]С2!F15</f>
        <v>1.071</v>
      </c>
    </row>
    <row r="59" spans="1:3" ht="15.75" x14ac:dyDescent="0.2">
      <c r="A59" s="60" t="s">
        <v>75</v>
      </c>
      <c r="B59" s="61" t="s">
        <v>76</v>
      </c>
      <c r="C59" s="41">
        <f>[8]С2!F16</f>
        <v>1</v>
      </c>
    </row>
    <row r="60" spans="1:3" ht="17.25" x14ac:dyDescent="0.2">
      <c r="A60" s="60" t="s">
        <v>77</v>
      </c>
      <c r="B60" s="59" t="s">
        <v>78</v>
      </c>
      <c r="C60" s="35">
        <f>[8]С2!F17</f>
        <v>1.01</v>
      </c>
    </row>
    <row r="61" spans="1:3" s="64" customFormat="1" ht="14.25" x14ac:dyDescent="0.2">
      <c r="A61" s="60" t="s">
        <v>79</v>
      </c>
      <c r="B61" s="62" t="s">
        <v>80</v>
      </c>
      <c r="C61" s="63">
        <f>[8]С2!F33</f>
        <v>10</v>
      </c>
    </row>
    <row r="62" spans="1:3" ht="30" x14ac:dyDescent="0.2">
      <c r="A62" s="60" t="s">
        <v>81</v>
      </c>
      <c r="B62" s="65" t="s">
        <v>82</v>
      </c>
      <c r="C62" s="35">
        <f>[8]С2!F26</f>
        <v>1123.6482814273334</v>
      </c>
    </row>
    <row r="63" spans="1:3" ht="17.25" x14ac:dyDescent="0.2">
      <c r="A63" s="60" t="s">
        <v>83</v>
      </c>
      <c r="B63" s="54" t="s">
        <v>84</v>
      </c>
      <c r="C63" s="35">
        <f>[8]С2!F27</f>
        <v>0.19354712999999998</v>
      </c>
    </row>
    <row r="64" spans="1:3" ht="17.25" x14ac:dyDescent="0.2">
      <c r="A64" s="60" t="s">
        <v>85</v>
      </c>
      <c r="B64" s="59" t="s">
        <v>86</v>
      </c>
      <c r="C64" s="63">
        <f>[8]С2!F28</f>
        <v>4200</v>
      </c>
    </row>
    <row r="65" spans="1:3" ht="42.75" x14ac:dyDescent="0.2">
      <c r="A65" s="60" t="s">
        <v>87</v>
      </c>
      <c r="B65" s="34" t="s">
        <v>88</v>
      </c>
      <c r="C65" s="35">
        <f>[8]С2!F22</f>
        <v>35717.748653137714</v>
      </c>
    </row>
    <row r="66" spans="1:3" ht="30" x14ac:dyDescent="0.2">
      <c r="A66" s="60" t="s">
        <v>89</v>
      </c>
      <c r="B66" s="61" t="s">
        <v>90</v>
      </c>
      <c r="C66" s="35">
        <f>[8]С2!F23</f>
        <v>1990</v>
      </c>
    </row>
    <row r="67" spans="1:3" ht="30" x14ac:dyDescent="0.2">
      <c r="A67" s="60" t="s">
        <v>91</v>
      </c>
      <c r="B67" s="54" t="s">
        <v>92</v>
      </c>
      <c r="C67" s="35">
        <f>[8]С2.1!E27</f>
        <v>14307.876789999998</v>
      </c>
    </row>
    <row r="68" spans="1:3" ht="38.25" x14ac:dyDescent="0.2">
      <c r="A68" s="60" t="s">
        <v>93</v>
      </c>
      <c r="B68" s="66" t="s">
        <v>94</v>
      </c>
      <c r="C68" s="53">
        <f>[8]С2.3!E21</f>
        <v>0</v>
      </c>
    </row>
    <row r="69" spans="1:3" ht="25.5" x14ac:dyDescent="0.2">
      <c r="A69" s="60" t="s">
        <v>95</v>
      </c>
      <c r="B69" s="67" t="s">
        <v>96</v>
      </c>
      <c r="C69" s="68">
        <f>[8]С2.3!E11</f>
        <v>9.89</v>
      </c>
    </row>
    <row r="70" spans="1:3" ht="25.5" x14ac:dyDescent="0.2">
      <c r="A70" s="60" t="s">
        <v>97</v>
      </c>
      <c r="B70" s="67" t="s">
        <v>98</v>
      </c>
      <c r="C70" s="63">
        <f>[8]С2.3!E13</f>
        <v>300</v>
      </c>
    </row>
    <row r="71" spans="1:3" ht="25.5" x14ac:dyDescent="0.2">
      <c r="A71" s="60" t="s">
        <v>99</v>
      </c>
      <c r="B71" s="66" t="s">
        <v>100</v>
      </c>
      <c r="C71" s="69">
        <f>IF([8]С2.3!E22&gt;0,[8]С2.3!E22,[8]С2.3!E14)</f>
        <v>61211</v>
      </c>
    </row>
    <row r="72" spans="1:3" ht="38.25" x14ac:dyDescent="0.2">
      <c r="A72" s="60" t="s">
        <v>101</v>
      </c>
      <c r="B72" s="66" t="s">
        <v>102</v>
      </c>
      <c r="C72" s="69">
        <f>IF([8]С2.3!E23&gt;0,[8]С2.3!E23,[8]С2.3!E15)</f>
        <v>45675</v>
      </c>
    </row>
    <row r="73" spans="1:3" ht="30" x14ac:dyDescent="0.2">
      <c r="A73" s="60" t="s">
        <v>103</v>
      </c>
      <c r="B73" s="54" t="s">
        <v>104</v>
      </c>
      <c r="C73" s="35">
        <f>[8]С2.1!E28</f>
        <v>9541.9567200000001</v>
      </c>
    </row>
    <row r="74" spans="1:3" ht="38.25" x14ac:dyDescent="0.2">
      <c r="A74" s="60" t="s">
        <v>105</v>
      </c>
      <c r="B74" s="66" t="s">
        <v>106</v>
      </c>
      <c r="C74" s="53">
        <f>[8]С2.3!E25</f>
        <v>0</v>
      </c>
    </row>
    <row r="75" spans="1:3" ht="25.5" x14ac:dyDescent="0.2">
      <c r="A75" s="60" t="s">
        <v>107</v>
      </c>
      <c r="B75" s="67" t="s">
        <v>108</v>
      </c>
      <c r="C75" s="68">
        <f>[8]С2.3!E12</f>
        <v>0.56000000000000005</v>
      </c>
    </row>
    <row r="76" spans="1:3" ht="25.5" x14ac:dyDescent="0.2">
      <c r="A76" s="60" t="s">
        <v>109</v>
      </c>
      <c r="B76" s="67" t="s">
        <v>98</v>
      </c>
      <c r="C76" s="63">
        <f>[8]С2.3!E13</f>
        <v>300</v>
      </c>
    </row>
    <row r="77" spans="1:3" ht="25.5" x14ac:dyDescent="0.2">
      <c r="A77" s="60" t="s">
        <v>110</v>
      </c>
      <c r="B77" s="70" t="s">
        <v>111</v>
      </c>
      <c r="C77" s="69">
        <f>IF([8]С2.3!E26&gt;0,[8]С2.3!E26,[8]С2.3!E16)</f>
        <v>65637</v>
      </c>
    </row>
    <row r="78" spans="1:3" ht="38.25" x14ac:dyDescent="0.2">
      <c r="A78" s="60" t="s">
        <v>112</v>
      </c>
      <c r="B78" s="70" t="s">
        <v>113</v>
      </c>
      <c r="C78" s="69">
        <f>IF([8]С2.3!E27&gt;0,[8]С2.3!E27,[8]С2.3!E17)</f>
        <v>31684</v>
      </c>
    </row>
    <row r="79" spans="1:3" ht="17.25" x14ac:dyDescent="0.2">
      <c r="A79" s="60" t="s">
        <v>114</v>
      </c>
      <c r="B79" s="34" t="s">
        <v>115</v>
      </c>
      <c r="C79" s="36">
        <f>[8]С2!F29</f>
        <v>0.128978033685065</v>
      </c>
    </row>
    <row r="80" spans="1:3" ht="30" x14ac:dyDescent="0.2">
      <c r="A80" s="60" t="s">
        <v>116</v>
      </c>
      <c r="B80" s="54" t="s">
        <v>117</v>
      </c>
      <c r="C80" s="71">
        <f>[8]С2!F30</f>
        <v>0.11668498168498169</v>
      </c>
    </row>
    <row r="81" spans="1:3" ht="17.25" x14ac:dyDescent="0.2">
      <c r="A81" s="60" t="s">
        <v>118</v>
      </c>
      <c r="B81" s="72" t="s">
        <v>119</v>
      </c>
      <c r="C81" s="36">
        <f>[8]С2!F31</f>
        <v>0.13880000000000001</v>
      </c>
    </row>
    <row r="82" spans="1:3" s="64" customFormat="1" ht="18" thickBot="1" x14ac:dyDescent="0.25">
      <c r="A82" s="73" t="s">
        <v>120</v>
      </c>
      <c r="B82" s="74" t="s">
        <v>121</v>
      </c>
      <c r="C82" s="75">
        <f>[8]С2!F32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[8]С3!F14</f>
        <v>6998.3755440420418</v>
      </c>
    </row>
    <row r="86" spans="1:3" s="64" customFormat="1" ht="42.75" x14ac:dyDescent="0.2">
      <c r="A86" s="78" t="s">
        <v>126</v>
      </c>
      <c r="B86" s="54" t="s">
        <v>127</v>
      </c>
      <c r="C86" s="79">
        <f>[8]С3!F15</f>
        <v>0.2</v>
      </c>
    </row>
    <row r="87" spans="1:3" s="64" customFormat="1" ht="14.25" x14ac:dyDescent="0.2">
      <c r="A87" s="78" t="s">
        <v>128</v>
      </c>
      <c r="B87" s="80" t="s">
        <v>129</v>
      </c>
      <c r="C87" s="63">
        <f>[8]С3!F18</f>
        <v>15</v>
      </c>
    </row>
    <row r="88" spans="1:3" s="64" customFormat="1" ht="17.25" x14ac:dyDescent="0.2">
      <c r="A88" s="78" t="s">
        <v>130</v>
      </c>
      <c r="B88" s="34" t="s">
        <v>131</v>
      </c>
      <c r="C88" s="35">
        <f>[8]С3!F19</f>
        <v>3487.1555421534131</v>
      </c>
    </row>
    <row r="89" spans="1:3" s="64" customFormat="1" ht="55.5" x14ac:dyDescent="0.2">
      <c r="A89" s="78" t="s">
        <v>132</v>
      </c>
      <c r="B89" s="54" t="s">
        <v>133</v>
      </c>
      <c r="C89" s="81">
        <f>[8]С3!F20</f>
        <v>2.1999999999999999E-2</v>
      </c>
    </row>
    <row r="90" spans="1:3" s="64" customFormat="1" ht="14.25" x14ac:dyDescent="0.2">
      <c r="A90" s="78" t="s">
        <v>134</v>
      </c>
      <c r="B90" s="59" t="s">
        <v>80</v>
      </c>
      <c r="C90" s="63">
        <f>[8]С3!F21</f>
        <v>10</v>
      </c>
    </row>
    <row r="91" spans="1:3" s="64" customFormat="1" ht="17.25" x14ac:dyDescent="0.2">
      <c r="A91" s="78" t="s">
        <v>135</v>
      </c>
      <c r="B91" s="34" t="s">
        <v>136</v>
      </c>
      <c r="C91" s="35">
        <f>[8]С3!F22</f>
        <v>3.370944844282</v>
      </c>
    </row>
    <row r="92" spans="1:3" s="64" customFormat="1" ht="55.5" x14ac:dyDescent="0.2">
      <c r="A92" s="78" t="s">
        <v>137</v>
      </c>
      <c r="B92" s="54" t="s">
        <v>138</v>
      </c>
      <c r="C92" s="81">
        <f>[8]С3!F23</f>
        <v>3.0000000000000001E-3</v>
      </c>
    </row>
    <row r="93" spans="1:3" s="64" customFormat="1" ht="27.75" thickBot="1" x14ac:dyDescent="0.25">
      <c r="A93" s="82" t="s">
        <v>139</v>
      </c>
      <c r="B93" s="83" t="s">
        <v>140</v>
      </c>
      <c r="C93" s="84">
        <f>[8]С3!F24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[8]С4!F16</f>
        <v>1652.5</v>
      </c>
    </row>
    <row r="97" spans="1:3" ht="30" x14ac:dyDescent="0.2">
      <c r="A97" s="60" t="s">
        <v>145</v>
      </c>
      <c r="B97" s="59" t="s">
        <v>146</v>
      </c>
      <c r="C97" s="35">
        <f>[8]С4!F17</f>
        <v>73547</v>
      </c>
    </row>
    <row r="98" spans="1:3" ht="17.25" x14ac:dyDescent="0.2">
      <c r="A98" s="60" t="s">
        <v>147</v>
      </c>
      <c r="B98" s="59" t="s">
        <v>148</v>
      </c>
      <c r="C98" s="41">
        <f>[8]С4!F18</f>
        <v>0.02</v>
      </c>
    </row>
    <row r="99" spans="1:3" ht="30" x14ac:dyDescent="0.2">
      <c r="A99" s="60" t="s">
        <v>149</v>
      </c>
      <c r="B99" s="59" t="s">
        <v>150</v>
      </c>
      <c r="C99" s="35">
        <f>[8]С4!F19</f>
        <v>12104</v>
      </c>
    </row>
    <row r="100" spans="1:3" ht="31.5" x14ac:dyDescent="0.2">
      <c r="A100" s="60" t="s">
        <v>151</v>
      </c>
      <c r="B100" s="59" t="s">
        <v>152</v>
      </c>
      <c r="C100" s="41">
        <f>[8]С4!F20</f>
        <v>1.4999999999999999E-2</v>
      </c>
    </row>
    <row r="101" spans="1:3" ht="30" x14ac:dyDescent="0.2">
      <c r="A101" s="60" t="s">
        <v>153</v>
      </c>
      <c r="B101" s="34" t="s">
        <v>154</v>
      </c>
      <c r="C101" s="35">
        <f>[8]С4!F21</f>
        <v>1933.1949342509995</v>
      </c>
    </row>
    <row r="102" spans="1:3" ht="24" customHeight="1" x14ac:dyDescent="0.2">
      <c r="A102" s="60" t="s">
        <v>155</v>
      </c>
      <c r="B102" s="54" t="s">
        <v>156</v>
      </c>
      <c r="C102" s="86">
        <f>IF([8]С4.2!F8="да",[8]С4.2!D21,[8]С4.2!D15)</f>
        <v>0</v>
      </c>
    </row>
    <row r="103" spans="1:3" ht="68.25" x14ac:dyDescent="0.2">
      <c r="A103" s="60" t="s">
        <v>157</v>
      </c>
      <c r="B103" s="54" t="s">
        <v>158</v>
      </c>
      <c r="C103" s="35">
        <f>[8]С4!F22</f>
        <v>3.6112641666666665</v>
      </c>
    </row>
    <row r="104" spans="1:3" ht="30" x14ac:dyDescent="0.2">
      <c r="A104" s="60" t="s">
        <v>159</v>
      </c>
      <c r="B104" s="59" t="s">
        <v>160</v>
      </c>
      <c r="C104" s="35">
        <f>[8]С4!F23</f>
        <v>180</v>
      </c>
    </row>
    <row r="105" spans="1:3" ht="14.25" x14ac:dyDescent="0.2">
      <c r="A105" s="60" t="s">
        <v>161</v>
      </c>
      <c r="B105" s="54" t="s">
        <v>162</v>
      </c>
      <c r="C105" s="35">
        <f>[8]С4!F24</f>
        <v>8497.1999999999989</v>
      </c>
    </row>
    <row r="106" spans="1:3" ht="14.25" x14ac:dyDescent="0.2">
      <c r="A106" s="60" t="s">
        <v>163</v>
      </c>
      <c r="B106" s="59" t="s">
        <v>164</v>
      </c>
      <c r="C106" s="41">
        <f>[8]С4!F25</f>
        <v>0.35</v>
      </c>
    </row>
    <row r="107" spans="1:3" ht="17.25" x14ac:dyDescent="0.2">
      <c r="A107" s="60" t="s">
        <v>165</v>
      </c>
      <c r="B107" s="34" t="s">
        <v>166</v>
      </c>
      <c r="C107" s="35">
        <f>[8]С4!F26</f>
        <v>72.713999999999999</v>
      </c>
    </row>
    <row r="108" spans="1:3" ht="25.5" x14ac:dyDescent="0.2">
      <c r="A108" s="60" t="s">
        <v>167</v>
      </c>
      <c r="B108" s="54" t="s">
        <v>94</v>
      </c>
      <c r="C108" s="86">
        <f>[8]С4.3!E16</f>
        <v>0</v>
      </c>
    </row>
    <row r="109" spans="1:3" ht="25.5" x14ac:dyDescent="0.2">
      <c r="A109" s="60" t="s">
        <v>168</v>
      </c>
      <c r="B109" s="54" t="s">
        <v>169</v>
      </c>
      <c r="C109" s="35">
        <f>[8]С4.3!E17</f>
        <v>19.36</v>
      </c>
    </row>
    <row r="110" spans="1:3" ht="38.25" x14ac:dyDescent="0.2">
      <c r="A110" s="60" t="s">
        <v>170</v>
      </c>
      <c r="B110" s="54" t="s">
        <v>106</v>
      </c>
      <c r="C110" s="86">
        <f>[8]С4.3!E18</f>
        <v>0</v>
      </c>
    </row>
    <row r="111" spans="1:3" x14ac:dyDescent="0.2">
      <c r="A111" s="60" t="s">
        <v>171</v>
      </c>
      <c r="B111" s="54" t="s">
        <v>172</v>
      </c>
      <c r="C111" s="35">
        <f>[8]С4.3!E19</f>
        <v>23.62</v>
      </c>
    </row>
    <row r="112" spans="1:3" x14ac:dyDescent="0.2">
      <c r="A112" s="60" t="s">
        <v>173</v>
      </c>
      <c r="B112" s="59" t="s">
        <v>174</v>
      </c>
      <c r="C112" s="35">
        <f>[8]С4.3!E11</f>
        <v>1871</v>
      </c>
    </row>
    <row r="113" spans="1:3" x14ac:dyDescent="0.2">
      <c r="A113" s="60" t="s">
        <v>175</v>
      </c>
      <c r="B113" s="59" t="s">
        <v>176</v>
      </c>
      <c r="C113" s="53">
        <f>[8]С4.3!E12</f>
        <v>1636</v>
      </c>
    </row>
    <row r="114" spans="1:3" x14ac:dyDescent="0.2">
      <c r="A114" s="60" t="s">
        <v>177</v>
      </c>
      <c r="B114" s="59" t="s">
        <v>178</v>
      </c>
      <c r="C114" s="53">
        <f>[8]С4.3!E13</f>
        <v>204</v>
      </c>
    </row>
    <row r="115" spans="1:3" ht="30" x14ac:dyDescent="0.2">
      <c r="A115" s="60" t="s">
        <v>179</v>
      </c>
      <c r="B115" s="34" t="s">
        <v>180</v>
      </c>
      <c r="C115" s="35">
        <f>[8]С4!F27</f>
        <v>776.44759830395003</v>
      </c>
    </row>
    <row r="116" spans="1:3" ht="25.5" x14ac:dyDescent="0.2">
      <c r="A116" s="60" t="s">
        <v>181</v>
      </c>
      <c r="B116" s="54" t="s">
        <v>182</v>
      </c>
      <c r="C116" s="35">
        <f>[8]С4!F28</f>
        <v>596.34992189243474</v>
      </c>
    </row>
    <row r="117" spans="1:3" ht="42.75" x14ac:dyDescent="0.2">
      <c r="A117" s="60" t="s">
        <v>183</v>
      </c>
      <c r="B117" s="54" t="s">
        <v>184</v>
      </c>
      <c r="C117" s="35">
        <f>[8]С4!F29</f>
        <v>180.09767641151529</v>
      </c>
    </row>
    <row r="118" spans="1:3" ht="30" x14ac:dyDescent="0.2">
      <c r="A118" s="60" t="s">
        <v>185</v>
      </c>
      <c r="B118" s="40" t="s">
        <v>186</v>
      </c>
      <c r="C118" s="35">
        <f>[8]С4!F30</f>
        <v>2253.5829778218044</v>
      </c>
    </row>
    <row r="119" spans="1:3" ht="42.75" x14ac:dyDescent="0.2">
      <c r="A119" s="60" t="s">
        <v>187</v>
      </c>
      <c r="B119" s="87" t="s">
        <v>188</v>
      </c>
      <c r="C119" s="35">
        <f>[8]С4!F33</f>
        <v>1556.2386968907254</v>
      </c>
    </row>
    <row r="120" spans="1:3" ht="30" x14ac:dyDescent="0.2">
      <c r="A120" s="60" t="s">
        <v>189</v>
      </c>
      <c r="B120" s="88" t="s">
        <v>190</v>
      </c>
      <c r="C120" s="35">
        <f>[8]С4!F35</f>
        <v>17.040680999999999</v>
      </c>
    </row>
    <row r="121" spans="1:3" ht="14.25" x14ac:dyDescent="0.2">
      <c r="A121" s="60" t="s">
        <v>191</v>
      </c>
      <c r="B121" s="57" t="s">
        <v>192</v>
      </c>
      <c r="C121" s="35">
        <f>[8]С4!F36</f>
        <v>14319.9</v>
      </c>
    </row>
    <row r="122" spans="1:3" ht="28.5" thickBot="1" x14ac:dyDescent="0.25">
      <c r="A122" s="73" t="s">
        <v>193</v>
      </c>
      <c r="B122" s="89" t="s">
        <v>194</v>
      </c>
      <c r="C122" s="84">
        <f>[8]С4!F37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[8]С5!F17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[8]С2!F37</f>
        <v>20.818139999999996</v>
      </c>
    </row>
    <row r="136" spans="1:4" ht="14.25" x14ac:dyDescent="0.2">
      <c r="A136" s="60" t="s">
        <v>216</v>
      </c>
      <c r="B136" s="102" t="s">
        <v>217</v>
      </c>
      <c r="C136" s="35">
        <f>[8]С2!F38</f>
        <v>7</v>
      </c>
    </row>
    <row r="137" spans="1:4" ht="17.25" x14ac:dyDescent="0.2">
      <c r="A137" s="60" t="s">
        <v>218</v>
      </c>
      <c r="B137" s="102" t="s">
        <v>219</v>
      </c>
      <c r="C137" s="35">
        <f>[8]С2!F40</f>
        <v>0.97</v>
      </c>
    </row>
    <row r="138" spans="1:4" ht="15" thickBot="1" x14ac:dyDescent="0.25">
      <c r="A138" s="73" t="s">
        <v>220</v>
      </c>
      <c r="B138" s="103" t="s">
        <v>221</v>
      </c>
      <c r="C138" s="47">
        <f>[8]С2!F42</f>
        <v>0.35</v>
      </c>
    </row>
    <row r="139" spans="1:4" s="90" customFormat="1" ht="13.5" thickBot="1" x14ac:dyDescent="0.25">
      <c r="A139" s="48"/>
      <c r="B139" s="76"/>
      <c r="C139" s="15"/>
    </row>
    <row r="140" spans="1:4" ht="30" x14ac:dyDescent="0.2">
      <c r="A140" s="85" t="s">
        <v>222</v>
      </c>
      <c r="B140" s="104" t="s">
        <v>223</v>
      </c>
      <c r="C140" s="105">
        <f>[8]С2!F35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[8]С2.5!$E$11</f>
        <v>-2.9000000000000026E-2</v>
      </c>
      <c r="D143" s="90"/>
    </row>
    <row r="144" spans="1:4" x14ac:dyDescent="0.2">
      <c r="A144" s="107"/>
      <c r="B144" s="112">
        <f>B143+1</f>
        <v>2021</v>
      </c>
      <c r="C144" s="113">
        <f>[8]С2.5!$F$11</f>
        <v>0.245</v>
      </c>
      <c r="D144" s="90"/>
    </row>
    <row r="145" spans="1:4" x14ac:dyDescent="0.2">
      <c r="A145" s="107"/>
      <c r="B145" s="112">
        <f t="shared" ref="B145:B208" si="0">B144+1</f>
        <v>2022</v>
      </c>
      <c r="C145" s="113">
        <f>[8]С2.5!$G$11</f>
        <v>0.121</v>
      </c>
      <c r="D145" s="90"/>
    </row>
    <row r="146" spans="1:4" ht="13.5" thickBot="1" x14ac:dyDescent="0.25">
      <c r="A146" s="107"/>
      <c r="B146" s="114">
        <f t="shared" si="0"/>
        <v>2023</v>
      </c>
      <c r="C146" s="115">
        <f>[8]С2.5!$H$11</f>
        <v>0.02</v>
      </c>
      <c r="D146" s="90"/>
    </row>
    <row r="147" spans="1:4" hidden="1" x14ac:dyDescent="0.2">
      <c r="A147" s="107"/>
      <c r="B147" s="116">
        <f t="shared" si="0"/>
        <v>2024</v>
      </c>
      <c r="C147" s="117">
        <f>[8]С2.5!$I$11</f>
        <v>-2.93E-2</v>
      </c>
      <c r="D147" s="90"/>
    </row>
    <row r="148" spans="1:4" hidden="1" x14ac:dyDescent="0.2">
      <c r="A148" s="107"/>
      <c r="B148" s="112">
        <f t="shared" si="0"/>
        <v>2025</v>
      </c>
      <c r="C148" s="113">
        <f>[8]С2.5!$J$11</f>
        <v>0.21215960863291</v>
      </c>
      <c r="D148" s="90"/>
    </row>
    <row r="149" spans="1:4" hidden="1" x14ac:dyDescent="0.2">
      <c r="A149" s="107"/>
      <c r="B149" s="112">
        <f t="shared" si="0"/>
        <v>2026</v>
      </c>
      <c r="C149" s="113">
        <f>[8]С2.5!$K$11</f>
        <v>3.5813361771260002E-2</v>
      </c>
      <c r="D149" s="90"/>
    </row>
    <row r="150" spans="1:4" hidden="1" x14ac:dyDescent="0.2">
      <c r="A150" s="107"/>
      <c r="B150" s="112">
        <f t="shared" si="0"/>
        <v>2027</v>
      </c>
      <c r="C150" s="113">
        <f>[8]С2.5!$L$11</f>
        <v>3.2682303599220003E-2</v>
      </c>
      <c r="D150" s="90"/>
    </row>
    <row r="151" spans="1:4" hidden="1" x14ac:dyDescent="0.2">
      <c r="A151" s="107"/>
      <c r="B151" s="112">
        <f t="shared" si="0"/>
        <v>2028</v>
      </c>
      <c r="C151" s="113">
        <f>[8]С2.5!$M$11</f>
        <v>0</v>
      </c>
      <c r="D151" s="90"/>
    </row>
    <row r="152" spans="1:4" hidden="1" x14ac:dyDescent="0.2">
      <c r="A152" s="107"/>
      <c r="B152" s="112">
        <f t="shared" si="0"/>
        <v>2029</v>
      </c>
      <c r="C152" s="113">
        <f>[8]С2.5!$N$11</f>
        <v>0</v>
      </c>
      <c r="D152" s="90"/>
    </row>
    <row r="153" spans="1:4" hidden="1" x14ac:dyDescent="0.2">
      <c r="A153" s="107"/>
      <c r="B153" s="112">
        <f t="shared" si="0"/>
        <v>2030</v>
      </c>
      <c r="C153" s="113">
        <f>[8]С2.5!$O$11</f>
        <v>0</v>
      </c>
      <c r="D153" s="90"/>
    </row>
    <row r="154" spans="1:4" hidden="1" x14ac:dyDescent="0.2">
      <c r="A154" s="107"/>
      <c r="B154" s="112">
        <f t="shared" si="0"/>
        <v>2031</v>
      </c>
      <c r="C154" s="113">
        <f>[8]С2.5!$P$11</f>
        <v>0</v>
      </c>
      <c r="D154" s="90"/>
    </row>
    <row r="155" spans="1:4" hidden="1" x14ac:dyDescent="0.2">
      <c r="A155" s="90"/>
      <c r="B155" s="112">
        <f t="shared" si="0"/>
        <v>2032</v>
      </c>
      <c r="C155" s="113">
        <f>[8]С2.5!$Q$11</f>
        <v>0</v>
      </c>
      <c r="D155" s="90"/>
    </row>
    <row r="156" spans="1:4" hidden="1" x14ac:dyDescent="0.2">
      <c r="A156" s="90"/>
      <c r="B156" s="112">
        <f t="shared" si="0"/>
        <v>2033</v>
      </c>
      <c r="C156" s="113">
        <f>[8]С2.5!$R$11</f>
        <v>0</v>
      </c>
      <c r="D156" s="90"/>
    </row>
    <row r="157" spans="1:4" hidden="1" x14ac:dyDescent="0.2">
      <c r="B157" s="112">
        <f t="shared" si="0"/>
        <v>2034</v>
      </c>
      <c r="C157" s="113">
        <f>[8]С2.5!$S$11</f>
        <v>0</v>
      </c>
    </row>
    <row r="158" spans="1:4" hidden="1" x14ac:dyDescent="0.2">
      <c r="B158" s="112">
        <f t="shared" si="0"/>
        <v>2035</v>
      </c>
      <c r="C158" s="113">
        <f>[8]С2.5!$T$11</f>
        <v>0</v>
      </c>
    </row>
    <row r="159" spans="1:4" hidden="1" x14ac:dyDescent="0.2">
      <c r="B159" s="112">
        <f t="shared" si="0"/>
        <v>2036</v>
      </c>
      <c r="C159" s="113">
        <f>[8]С2.5!$U$11</f>
        <v>0</v>
      </c>
    </row>
    <row r="160" spans="1:4" hidden="1" x14ac:dyDescent="0.2">
      <c r="B160" s="112">
        <f t="shared" si="0"/>
        <v>2037</v>
      </c>
      <c r="C160" s="113">
        <f>[8]С2.5!$V$11</f>
        <v>0</v>
      </c>
    </row>
    <row r="161" spans="2:3" hidden="1" x14ac:dyDescent="0.2">
      <c r="B161" s="112">
        <f t="shared" si="0"/>
        <v>2038</v>
      </c>
      <c r="C161" s="113">
        <f>[8]С2.5!$W$11</f>
        <v>0</v>
      </c>
    </row>
    <row r="162" spans="2:3" hidden="1" x14ac:dyDescent="0.2">
      <c r="B162" s="112">
        <f t="shared" si="0"/>
        <v>2039</v>
      </c>
      <c r="C162" s="113">
        <f>[8]С2.5!$X$11</f>
        <v>0</v>
      </c>
    </row>
    <row r="163" spans="2:3" hidden="1" x14ac:dyDescent="0.2">
      <c r="B163" s="112">
        <f t="shared" si="0"/>
        <v>2040</v>
      </c>
      <c r="C163" s="113">
        <f>[8]С2.5!$Y$11</f>
        <v>0</v>
      </c>
    </row>
    <row r="164" spans="2:3" hidden="1" x14ac:dyDescent="0.2">
      <c r="B164" s="112">
        <f t="shared" si="0"/>
        <v>2041</v>
      </c>
      <c r="C164" s="113">
        <f>[8]С2.5!$Z$11</f>
        <v>0</v>
      </c>
    </row>
    <row r="165" spans="2:3" hidden="1" x14ac:dyDescent="0.2">
      <c r="B165" s="112">
        <f t="shared" si="0"/>
        <v>2042</v>
      </c>
      <c r="C165" s="113">
        <f>[8]С2.5!$AA$11</f>
        <v>0</v>
      </c>
    </row>
    <row r="166" spans="2:3" hidden="1" x14ac:dyDescent="0.2">
      <c r="B166" s="112">
        <f t="shared" si="0"/>
        <v>2043</v>
      </c>
      <c r="C166" s="113">
        <f>[8]С2.5!$AB$11</f>
        <v>0</v>
      </c>
    </row>
    <row r="167" spans="2:3" hidden="1" x14ac:dyDescent="0.2">
      <c r="B167" s="112">
        <f t="shared" si="0"/>
        <v>2044</v>
      </c>
      <c r="C167" s="113">
        <f>[8]С2.5!$AC$11</f>
        <v>0</v>
      </c>
    </row>
    <row r="168" spans="2:3" hidden="1" x14ac:dyDescent="0.2">
      <c r="B168" s="112">
        <f t="shared" si="0"/>
        <v>2045</v>
      </c>
      <c r="C168" s="113">
        <f>[8]С2.5!$AD$11</f>
        <v>0</v>
      </c>
    </row>
    <row r="169" spans="2:3" hidden="1" x14ac:dyDescent="0.2">
      <c r="B169" s="112">
        <f t="shared" si="0"/>
        <v>2046</v>
      </c>
      <c r="C169" s="113">
        <f>[8]С2.5!$AE$11</f>
        <v>0</v>
      </c>
    </row>
    <row r="170" spans="2:3" hidden="1" x14ac:dyDescent="0.2">
      <c r="B170" s="112">
        <f t="shared" si="0"/>
        <v>2047</v>
      </c>
      <c r="C170" s="113">
        <f>[8]С2.5!$AF$11</f>
        <v>0</v>
      </c>
    </row>
    <row r="171" spans="2:3" hidden="1" x14ac:dyDescent="0.2">
      <c r="B171" s="112">
        <f t="shared" si="0"/>
        <v>2048</v>
      </c>
      <c r="C171" s="113">
        <f>[8]С2.5!$AG$11</f>
        <v>0</v>
      </c>
    </row>
    <row r="172" spans="2:3" hidden="1" x14ac:dyDescent="0.2">
      <c r="B172" s="112">
        <f t="shared" si="0"/>
        <v>2049</v>
      </c>
      <c r="C172" s="113">
        <f>[8]С2.5!$AH$11</f>
        <v>0</v>
      </c>
    </row>
    <row r="173" spans="2:3" hidden="1" x14ac:dyDescent="0.2">
      <c r="B173" s="112">
        <f t="shared" si="0"/>
        <v>2050</v>
      </c>
      <c r="C173" s="113">
        <f>[8]С2.5!$AI$11</f>
        <v>0</v>
      </c>
    </row>
    <row r="174" spans="2:3" hidden="1" x14ac:dyDescent="0.2">
      <c r="B174" s="112">
        <f t="shared" si="0"/>
        <v>2051</v>
      </c>
      <c r="C174" s="113">
        <f>[8]С2.5!$AJ$11</f>
        <v>0</v>
      </c>
    </row>
    <row r="175" spans="2:3" hidden="1" x14ac:dyDescent="0.2">
      <c r="B175" s="112">
        <f t="shared" si="0"/>
        <v>2052</v>
      </c>
      <c r="C175" s="113">
        <f>[8]С2.5!$AK$11</f>
        <v>0</v>
      </c>
    </row>
    <row r="176" spans="2:3" hidden="1" x14ac:dyDescent="0.2">
      <c r="B176" s="112">
        <f t="shared" si="0"/>
        <v>2053</v>
      </c>
      <c r="C176" s="113">
        <f>[8]С2.5!$AL$11</f>
        <v>0</v>
      </c>
    </row>
    <row r="177" spans="2:3" hidden="1" x14ac:dyDescent="0.2">
      <c r="B177" s="112">
        <f t="shared" si="0"/>
        <v>2054</v>
      </c>
      <c r="C177" s="113">
        <f>[8]С2.5!$AM$11</f>
        <v>0</v>
      </c>
    </row>
    <row r="178" spans="2:3" hidden="1" x14ac:dyDescent="0.2">
      <c r="B178" s="112">
        <f t="shared" si="0"/>
        <v>2055</v>
      </c>
      <c r="C178" s="113">
        <f>[8]С2.5!$AN$11</f>
        <v>0</v>
      </c>
    </row>
    <row r="179" spans="2:3" hidden="1" x14ac:dyDescent="0.2">
      <c r="B179" s="112">
        <f t="shared" si="0"/>
        <v>2056</v>
      </c>
      <c r="C179" s="113">
        <f>[8]С2.5!$AO$11</f>
        <v>0</v>
      </c>
    </row>
    <row r="180" spans="2:3" hidden="1" x14ac:dyDescent="0.2">
      <c r="B180" s="112">
        <f t="shared" si="0"/>
        <v>2057</v>
      </c>
      <c r="C180" s="113">
        <f>[8]С2.5!$AP$11</f>
        <v>0</v>
      </c>
    </row>
    <row r="181" spans="2:3" hidden="1" x14ac:dyDescent="0.2">
      <c r="B181" s="112">
        <f t="shared" si="0"/>
        <v>2058</v>
      </c>
      <c r="C181" s="113">
        <f>[8]С2.5!$AQ$11</f>
        <v>0</v>
      </c>
    </row>
    <row r="182" spans="2:3" hidden="1" x14ac:dyDescent="0.2">
      <c r="B182" s="112">
        <f t="shared" si="0"/>
        <v>2059</v>
      </c>
      <c r="C182" s="113">
        <f>[8]С2.5!$AR$11</f>
        <v>0</v>
      </c>
    </row>
    <row r="183" spans="2:3" hidden="1" x14ac:dyDescent="0.2">
      <c r="B183" s="112">
        <f t="shared" si="0"/>
        <v>2060</v>
      </c>
      <c r="C183" s="113">
        <f>[8]С2.5!$AS$11</f>
        <v>0</v>
      </c>
    </row>
    <row r="184" spans="2:3" hidden="1" x14ac:dyDescent="0.2">
      <c r="B184" s="112">
        <f t="shared" si="0"/>
        <v>2061</v>
      </c>
      <c r="C184" s="113">
        <f>[8]С2.5!$AT$11</f>
        <v>0</v>
      </c>
    </row>
    <row r="185" spans="2:3" hidden="1" x14ac:dyDescent="0.2">
      <c r="B185" s="112">
        <f t="shared" si="0"/>
        <v>2062</v>
      </c>
      <c r="C185" s="113">
        <f>[8]С2.5!$AU$11</f>
        <v>0</v>
      </c>
    </row>
    <row r="186" spans="2:3" hidden="1" x14ac:dyDescent="0.2">
      <c r="B186" s="112">
        <f t="shared" si="0"/>
        <v>2063</v>
      </c>
      <c r="C186" s="113">
        <f>[8]С2.5!$AV$11</f>
        <v>0</v>
      </c>
    </row>
    <row r="187" spans="2:3" hidden="1" x14ac:dyDescent="0.2">
      <c r="B187" s="112">
        <f t="shared" si="0"/>
        <v>2064</v>
      </c>
      <c r="C187" s="113">
        <f>[8]С2.5!$AW$11</f>
        <v>0</v>
      </c>
    </row>
    <row r="188" spans="2:3" hidden="1" x14ac:dyDescent="0.2">
      <c r="B188" s="112">
        <f t="shared" si="0"/>
        <v>2065</v>
      </c>
      <c r="C188" s="113">
        <f>[8]С2.5!$AX$11</f>
        <v>0</v>
      </c>
    </row>
    <row r="189" spans="2:3" hidden="1" x14ac:dyDescent="0.2">
      <c r="B189" s="112">
        <f t="shared" si="0"/>
        <v>2066</v>
      </c>
      <c r="C189" s="113">
        <f>[8]С2.5!$AY$11</f>
        <v>0</v>
      </c>
    </row>
    <row r="190" spans="2:3" hidden="1" x14ac:dyDescent="0.2">
      <c r="B190" s="112">
        <f t="shared" si="0"/>
        <v>2067</v>
      </c>
      <c r="C190" s="113">
        <f>[8]С2.5!$AZ$11</f>
        <v>0</v>
      </c>
    </row>
    <row r="191" spans="2:3" hidden="1" x14ac:dyDescent="0.2">
      <c r="B191" s="112">
        <f t="shared" si="0"/>
        <v>2068</v>
      </c>
      <c r="C191" s="113">
        <f>[8]С2.5!$BA$11</f>
        <v>0</v>
      </c>
    </row>
    <row r="192" spans="2:3" hidden="1" x14ac:dyDescent="0.2">
      <c r="B192" s="112">
        <f t="shared" si="0"/>
        <v>2069</v>
      </c>
      <c r="C192" s="113">
        <f>[8]С2.5!$BB$11</f>
        <v>0</v>
      </c>
    </row>
    <row r="193" spans="2:3" hidden="1" x14ac:dyDescent="0.2">
      <c r="B193" s="112">
        <f t="shared" si="0"/>
        <v>2070</v>
      </c>
      <c r="C193" s="113">
        <f>[8]С2.5!$BC$11</f>
        <v>0</v>
      </c>
    </row>
    <row r="194" spans="2:3" hidden="1" x14ac:dyDescent="0.2">
      <c r="B194" s="112">
        <f t="shared" si="0"/>
        <v>2071</v>
      </c>
      <c r="C194" s="113">
        <f>[8]С2.5!$BD$11</f>
        <v>0</v>
      </c>
    </row>
    <row r="195" spans="2:3" hidden="1" x14ac:dyDescent="0.2">
      <c r="B195" s="112">
        <f t="shared" si="0"/>
        <v>2072</v>
      </c>
      <c r="C195" s="113">
        <f>[8]С2.5!$BE$11</f>
        <v>0</v>
      </c>
    </row>
    <row r="196" spans="2:3" hidden="1" x14ac:dyDescent="0.2">
      <c r="B196" s="112">
        <f t="shared" si="0"/>
        <v>2073</v>
      </c>
      <c r="C196" s="113">
        <f>[8]С2.5!$BF$11</f>
        <v>0</v>
      </c>
    </row>
    <row r="197" spans="2:3" hidden="1" x14ac:dyDescent="0.2">
      <c r="B197" s="112">
        <f t="shared" si="0"/>
        <v>2074</v>
      </c>
      <c r="C197" s="113">
        <f>[8]С2.5!$BG$11</f>
        <v>0</v>
      </c>
    </row>
    <row r="198" spans="2:3" hidden="1" x14ac:dyDescent="0.2">
      <c r="B198" s="112">
        <f t="shared" si="0"/>
        <v>2075</v>
      </c>
      <c r="C198" s="113">
        <f>[8]С2.5!$BH$11</f>
        <v>0</v>
      </c>
    </row>
    <row r="199" spans="2:3" hidden="1" x14ac:dyDescent="0.2">
      <c r="B199" s="112">
        <f t="shared" si="0"/>
        <v>2076</v>
      </c>
      <c r="C199" s="113">
        <f>[8]С2.5!$BI$11</f>
        <v>0</v>
      </c>
    </row>
    <row r="200" spans="2:3" hidden="1" x14ac:dyDescent="0.2">
      <c r="B200" s="112">
        <f t="shared" si="0"/>
        <v>2077</v>
      </c>
      <c r="C200" s="113">
        <f>[8]С2.5!$BJ$11</f>
        <v>0</v>
      </c>
    </row>
    <row r="201" spans="2:3" hidden="1" x14ac:dyDescent="0.2">
      <c r="B201" s="112">
        <f t="shared" si="0"/>
        <v>2078</v>
      </c>
      <c r="C201" s="113">
        <f>[8]С2.5!$BK$11</f>
        <v>0</v>
      </c>
    </row>
    <row r="202" spans="2:3" hidden="1" x14ac:dyDescent="0.2">
      <c r="B202" s="112">
        <f t="shared" si="0"/>
        <v>2079</v>
      </c>
      <c r="C202" s="113">
        <f>[8]С2.5!$BL$11</f>
        <v>0</v>
      </c>
    </row>
    <row r="203" spans="2:3" hidden="1" x14ac:dyDescent="0.2">
      <c r="B203" s="112">
        <f t="shared" si="0"/>
        <v>2080</v>
      </c>
      <c r="C203" s="113">
        <f>[8]С2.5!$BM$11</f>
        <v>0</v>
      </c>
    </row>
    <row r="204" spans="2:3" hidden="1" x14ac:dyDescent="0.2">
      <c r="B204" s="112">
        <f t="shared" si="0"/>
        <v>2081</v>
      </c>
      <c r="C204" s="113">
        <f>[8]С2.5!$BN$11</f>
        <v>0</v>
      </c>
    </row>
    <row r="205" spans="2:3" hidden="1" x14ac:dyDescent="0.2">
      <c r="B205" s="112">
        <f t="shared" si="0"/>
        <v>2082</v>
      </c>
      <c r="C205" s="113">
        <f>[8]С2.5!$BO$11</f>
        <v>0</v>
      </c>
    </row>
    <row r="206" spans="2:3" hidden="1" x14ac:dyDescent="0.2">
      <c r="B206" s="112">
        <f t="shared" si="0"/>
        <v>2083</v>
      </c>
      <c r="C206" s="113">
        <f>[8]С2.5!$BP$11</f>
        <v>0</v>
      </c>
    </row>
    <row r="207" spans="2:3" hidden="1" x14ac:dyDescent="0.2">
      <c r="B207" s="112">
        <f t="shared" si="0"/>
        <v>2084</v>
      </c>
      <c r="C207" s="113">
        <f>[8]С2.5!$BQ$11</f>
        <v>0</v>
      </c>
    </row>
    <row r="208" spans="2:3" hidden="1" x14ac:dyDescent="0.2">
      <c r="B208" s="112">
        <f t="shared" si="0"/>
        <v>2085</v>
      </c>
      <c r="C208" s="113">
        <f>[8]С2.5!$BR$11</f>
        <v>0</v>
      </c>
    </row>
    <row r="209" spans="2:3" hidden="1" x14ac:dyDescent="0.2">
      <c r="B209" s="112">
        <f t="shared" ref="B209:B223" si="1">B208+1</f>
        <v>2086</v>
      </c>
      <c r="C209" s="113">
        <f>[8]С2.5!$BS$11</f>
        <v>0</v>
      </c>
    </row>
    <row r="210" spans="2:3" hidden="1" x14ac:dyDescent="0.2">
      <c r="B210" s="112">
        <f t="shared" si="1"/>
        <v>2087</v>
      </c>
      <c r="C210" s="113">
        <f>[8]С2.5!$BT$11</f>
        <v>0</v>
      </c>
    </row>
    <row r="211" spans="2:3" hidden="1" x14ac:dyDescent="0.2">
      <c r="B211" s="112">
        <f t="shared" si="1"/>
        <v>2088</v>
      </c>
      <c r="C211" s="113">
        <f>[8]С2.5!$BU$11</f>
        <v>0</v>
      </c>
    </row>
    <row r="212" spans="2:3" hidden="1" x14ac:dyDescent="0.2">
      <c r="B212" s="112">
        <f t="shared" si="1"/>
        <v>2089</v>
      </c>
      <c r="C212" s="113">
        <f>[8]С2.5!$BV$11</f>
        <v>0</v>
      </c>
    </row>
    <row r="213" spans="2:3" hidden="1" x14ac:dyDescent="0.2">
      <c r="B213" s="112">
        <f t="shared" si="1"/>
        <v>2090</v>
      </c>
      <c r="C213" s="113">
        <f>[8]С2.5!$BW$11</f>
        <v>0</v>
      </c>
    </row>
    <row r="214" spans="2:3" hidden="1" x14ac:dyDescent="0.2">
      <c r="B214" s="112">
        <f t="shared" si="1"/>
        <v>2091</v>
      </c>
      <c r="C214" s="113">
        <f>[8]С2.5!$BX$11</f>
        <v>0</v>
      </c>
    </row>
    <row r="215" spans="2:3" hidden="1" x14ac:dyDescent="0.2">
      <c r="B215" s="112">
        <f t="shared" si="1"/>
        <v>2092</v>
      </c>
      <c r="C215" s="113">
        <f>[8]С2.5!$BY$11</f>
        <v>0</v>
      </c>
    </row>
    <row r="216" spans="2:3" hidden="1" x14ac:dyDescent="0.2">
      <c r="B216" s="112">
        <f t="shared" si="1"/>
        <v>2093</v>
      </c>
      <c r="C216" s="113">
        <f>[8]С2.5!$BZ$11</f>
        <v>0</v>
      </c>
    </row>
    <row r="217" spans="2:3" hidden="1" x14ac:dyDescent="0.2">
      <c r="B217" s="112">
        <f t="shared" si="1"/>
        <v>2094</v>
      </c>
      <c r="C217" s="113">
        <f>[8]С2.5!$CA$11</f>
        <v>0</v>
      </c>
    </row>
    <row r="218" spans="2:3" hidden="1" x14ac:dyDescent="0.2">
      <c r="B218" s="112">
        <f t="shared" si="1"/>
        <v>2095</v>
      </c>
      <c r="C218" s="113">
        <f>[8]С2.5!$CB$11</f>
        <v>0</v>
      </c>
    </row>
    <row r="219" spans="2:3" hidden="1" x14ac:dyDescent="0.2">
      <c r="B219" s="112">
        <f t="shared" si="1"/>
        <v>2096</v>
      </c>
      <c r="C219" s="113">
        <f>[8]С2.5!$CC$11</f>
        <v>0</v>
      </c>
    </row>
    <row r="220" spans="2:3" hidden="1" x14ac:dyDescent="0.2">
      <c r="B220" s="112">
        <f t="shared" si="1"/>
        <v>2097</v>
      </c>
      <c r="C220" s="113">
        <f>[8]С2.5!$CD$11</f>
        <v>0</v>
      </c>
    </row>
    <row r="221" spans="2:3" hidden="1" x14ac:dyDescent="0.2">
      <c r="B221" s="112">
        <f t="shared" si="1"/>
        <v>2098</v>
      </c>
      <c r="C221" s="113">
        <f>[8]С2.5!$CE$11</f>
        <v>0</v>
      </c>
    </row>
    <row r="222" spans="2:3" hidden="1" x14ac:dyDescent="0.2">
      <c r="B222" s="112">
        <f t="shared" si="1"/>
        <v>2099</v>
      </c>
      <c r="C222" s="113">
        <f>[8]С2.5!$CF$11</f>
        <v>0</v>
      </c>
    </row>
    <row r="223" spans="2:3" ht="13.5" hidden="1" thickBot="1" x14ac:dyDescent="0.25">
      <c r="B223" s="114">
        <f t="shared" si="1"/>
        <v>2100</v>
      </c>
      <c r="C223" s="115">
        <f>[8]С2.5!$CG$11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Button 1">
              <controlPr defaultSize="0" print="0" autoFill="0" autoPict="0" macro="[8]!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D2" sqref="D1:D1048576"/>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24" t="s">
        <v>0</v>
      </c>
      <c r="C1" s="124"/>
    </row>
    <row r="2" spans="1:3" x14ac:dyDescent="0.2">
      <c r="A2" s="3"/>
      <c r="B2" s="4" t="s">
        <v>1</v>
      </c>
      <c r="C2" s="5">
        <f ca="1">TODAY()</f>
        <v>44944</v>
      </c>
    </row>
    <row r="3" spans="1:3" x14ac:dyDescent="0.2">
      <c r="A3" s="3"/>
      <c r="B3" s="6" t="s">
        <v>2</v>
      </c>
    </row>
    <row r="4" spans="1:3" ht="25.5" x14ac:dyDescent="0.2">
      <c r="A4" s="8"/>
      <c r="B4" s="9" t="str">
        <f>[9]И1!D13</f>
        <v>Субъект Российской Федерации</v>
      </c>
      <c r="C4" s="10" t="str">
        <f>[9]И1!E13</f>
        <v>Новосибирская область</v>
      </c>
    </row>
    <row r="5" spans="1:3" ht="38.25" x14ac:dyDescent="0.2">
      <c r="A5" s="8"/>
      <c r="B5" s="9" t="str">
        <f>[9]И1!D14</f>
        <v>Тип муниципального образования (выберите из списка)</v>
      </c>
      <c r="C5" s="10" t="str">
        <f>[9]И1!E14</f>
        <v>село Лобино, Краснозерский муниципальный район</v>
      </c>
    </row>
    <row r="6" spans="1:3" x14ac:dyDescent="0.2">
      <c r="A6" s="8"/>
      <c r="B6" s="9" t="str">
        <f>IF([9]И1!E15="","",[9]И1!D15)</f>
        <v/>
      </c>
      <c r="C6" s="10" t="str">
        <f>IF([9]И1!E15="","",[9]И1!E15)</f>
        <v/>
      </c>
    </row>
    <row r="7" spans="1:3" x14ac:dyDescent="0.2">
      <c r="A7" s="8"/>
      <c r="B7" s="9" t="str">
        <f>[9]И1!D16</f>
        <v>Код ОКТМО</v>
      </c>
      <c r="C7" s="11" t="str">
        <f>[9]И1!E16</f>
        <v xml:space="preserve"> (50627419101)</v>
      </c>
    </row>
    <row r="8" spans="1:3" x14ac:dyDescent="0.2">
      <c r="A8" s="8"/>
      <c r="B8" s="12" t="str">
        <f>[9]И1!D17</f>
        <v>Система теплоснабжения</v>
      </c>
      <c r="C8" s="13">
        <f>[9]И1!E17</f>
        <v>0</v>
      </c>
    </row>
    <row r="9" spans="1:3" x14ac:dyDescent="0.2">
      <c r="A9" s="8"/>
      <c r="B9" s="9" t="str">
        <f>[9]И1!D8</f>
        <v>Период регулирования (i)-й</v>
      </c>
      <c r="C9" s="14">
        <f>[9]И1!E8</f>
        <v>2023</v>
      </c>
    </row>
    <row r="10" spans="1:3" x14ac:dyDescent="0.2">
      <c r="A10" s="8"/>
      <c r="B10" s="9" t="str">
        <f>[9]И1!D9</f>
        <v>Период регулирования (i-1)-й</v>
      </c>
      <c r="C10" s="14">
        <f>[9]И1!E9</f>
        <v>2022</v>
      </c>
    </row>
    <row r="11" spans="1:3" x14ac:dyDescent="0.2">
      <c r="A11" s="8"/>
      <c r="B11" s="9" t="str">
        <f>[9]И1!D10</f>
        <v>Период регулирования (i-2)-й</v>
      </c>
      <c r="C11" s="14">
        <f>[9]И1!E10</f>
        <v>2021</v>
      </c>
    </row>
    <row r="12" spans="1:3" x14ac:dyDescent="0.2">
      <c r="A12" s="8"/>
      <c r="B12" s="9" t="str">
        <f>[9]И1!D11</f>
        <v>Базовый год (б)</v>
      </c>
      <c r="C12" s="14">
        <f>[9]И1!E11</f>
        <v>2019</v>
      </c>
    </row>
    <row r="13" spans="1:3" ht="38.25" x14ac:dyDescent="0.2">
      <c r="A13" s="8"/>
      <c r="B13" s="9" t="str">
        <f>[9]И1!D18</f>
        <v>Вид топлива, использование которого преобладает в системе теплоснабжения</v>
      </c>
      <c r="C13" s="15" t="str">
        <f>[9]С1.1!E13</f>
        <v>уголь (вид угля не указан в топливном балансе)</v>
      </c>
    </row>
    <row r="14" spans="1:3" ht="31.7" customHeight="1" thickBot="1" x14ac:dyDescent="0.25">
      <c r="A14" s="125" t="s">
        <v>3</v>
      </c>
      <c r="B14" s="125"/>
      <c r="C14" s="125"/>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4047.4539603851176</v>
      </c>
    </row>
    <row r="18" spans="1:3" ht="42.75" x14ac:dyDescent="0.2">
      <c r="A18" s="22" t="s">
        <v>8</v>
      </c>
      <c r="B18" s="25" t="s">
        <v>9</v>
      </c>
      <c r="C18" s="26">
        <f>[9]С1!F12</f>
        <v>963.14650883957177</v>
      </c>
    </row>
    <row r="19" spans="1:3" ht="42.75" x14ac:dyDescent="0.2">
      <c r="A19" s="22" t="s">
        <v>10</v>
      </c>
      <c r="B19" s="25" t="s">
        <v>11</v>
      </c>
      <c r="C19" s="26">
        <f>[9]С2!F12</f>
        <v>2106.0579468653982</v>
      </c>
    </row>
    <row r="20" spans="1:3" ht="30" x14ac:dyDescent="0.2">
      <c r="A20" s="22" t="s">
        <v>12</v>
      </c>
      <c r="B20" s="25" t="s">
        <v>13</v>
      </c>
      <c r="C20" s="26">
        <f>[9]С3!F12</f>
        <v>503.83473408478085</v>
      </c>
    </row>
    <row r="21" spans="1:3" ht="42.75" x14ac:dyDescent="0.2">
      <c r="A21" s="22" t="s">
        <v>14</v>
      </c>
      <c r="B21" s="25" t="s">
        <v>15</v>
      </c>
      <c r="C21" s="26">
        <f>[9]С4!F12</f>
        <v>395.05292823487412</v>
      </c>
    </row>
    <row r="22" spans="1:3" ht="30" x14ac:dyDescent="0.2">
      <c r="A22" s="22" t="s">
        <v>16</v>
      </c>
      <c r="B22" s="25" t="s">
        <v>17</v>
      </c>
      <c r="C22" s="26">
        <f>[9]С5!F12</f>
        <v>79.361842360492503</v>
      </c>
    </row>
    <row r="23" spans="1:3" ht="43.5" thickBot="1" x14ac:dyDescent="0.25">
      <c r="A23" s="27" t="s">
        <v>18</v>
      </c>
      <c r="B23" s="119" t="s">
        <v>19</v>
      </c>
      <c r="C23" s="29" t="str">
        <f>[9]С6!F12</f>
        <v>-</v>
      </c>
    </row>
    <row r="24" spans="1:3" ht="13.5" thickBot="1" x14ac:dyDescent="0.25">
      <c r="A24" s="3"/>
    </row>
    <row r="25" spans="1:3" x14ac:dyDescent="0.2">
      <c r="A25" s="16" t="s">
        <v>4</v>
      </c>
      <c r="B25" s="30" t="s">
        <v>5</v>
      </c>
      <c r="C25" s="31" t="s">
        <v>6</v>
      </c>
    </row>
    <row r="26" spans="1:3" x14ac:dyDescent="0.2">
      <c r="A26" s="19">
        <v>1</v>
      </c>
      <c r="B26" s="32">
        <v>2</v>
      </c>
      <c r="C26" s="33">
        <v>3</v>
      </c>
    </row>
    <row r="27" spans="1:3" ht="30" customHeight="1" x14ac:dyDescent="0.2">
      <c r="A27" s="22">
        <v>1</v>
      </c>
      <c r="B27" s="126" t="s">
        <v>20</v>
      </c>
      <c r="C27" s="126"/>
    </row>
    <row r="28" spans="1:3" x14ac:dyDescent="0.2">
      <c r="A28" s="22" t="s">
        <v>8</v>
      </c>
      <c r="B28" s="34" t="s">
        <v>21</v>
      </c>
      <c r="C28" s="35">
        <f>[9]С1.1!E16</f>
        <v>5100</v>
      </c>
    </row>
    <row r="29" spans="1:3" ht="42.75" x14ac:dyDescent="0.2">
      <c r="A29" s="22" t="s">
        <v>10</v>
      </c>
      <c r="B29" s="34" t="s">
        <v>22</v>
      </c>
      <c r="C29" s="35">
        <f>[9]С1.1!E27</f>
        <v>2589.7399999999998</v>
      </c>
    </row>
    <row r="30" spans="1:3" ht="17.25" x14ac:dyDescent="0.2">
      <c r="A30" s="22" t="s">
        <v>12</v>
      </c>
      <c r="B30" s="34" t="s">
        <v>23</v>
      </c>
      <c r="C30" s="36">
        <f>[9]С1.1!E19</f>
        <v>0.59499999999999997</v>
      </c>
    </row>
    <row r="31" spans="1:3" ht="17.25" x14ac:dyDescent="0.2">
      <c r="A31" s="22" t="s">
        <v>14</v>
      </c>
      <c r="B31" s="34" t="s">
        <v>24</v>
      </c>
      <c r="C31" s="36">
        <f>[9]С1.1!E20</f>
        <v>-0.113</v>
      </c>
    </row>
    <row r="32" spans="1:3" ht="30" x14ac:dyDescent="0.2">
      <c r="A32" s="22" t="s">
        <v>16</v>
      </c>
      <c r="B32" s="37" t="s">
        <v>25</v>
      </c>
      <c r="C32" s="38">
        <f>[9]С1!F13</f>
        <v>176.4</v>
      </c>
    </row>
    <row r="33" spans="1:3" x14ac:dyDescent="0.2">
      <c r="A33" s="22" t="s">
        <v>18</v>
      </c>
      <c r="B33" s="37" t="s">
        <v>26</v>
      </c>
      <c r="C33" s="39">
        <f>[9]С1!F16</f>
        <v>7000</v>
      </c>
    </row>
    <row r="34" spans="1:3" ht="14.25" x14ac:dyDescent="0.2">
      <c r="A34" s="22" t="s">
        <v>27</v>
      </c>
      <c r="B34" s="40" t="s">
        <v>28</v>
      </c>
      <c r="C34" s="41">
        <f>[9]С1!F17</f>
        <v>0.72857142857142854</v>
      </c>
    </row>
    <row r="35" spans="1:3" ht="15.75" x14ac:dyDescent="0.2">
      <c r="A35" s="42" t="s">
        <v>29</v>
      </c>
      <c r="B35" s="43" t="s">
        <v>30</v>
      </c>
      <c r="C35" s="41">
        <f>[9]С1!F20</f>
        <v>21.588411179999994</v>
      </c>
    </row>
    <row r="36" spans="1:3" ht="15.75" x14ac:dyDescent="0.2">
      <c r="A36" s="42" t="s">
        <v>31</v>
      </c>
      <c r="B36" s="44" t="s">
        <v>32</v>
      </c>
      <c r="C36" s="41">
        <f>[9]С1!F21</f>
        <v>20.818139999999996</v>
      </c>
    </row>
    <row r="37" spans="1:3" ht="14.25" x14ac:dyDescent="0.2">
      <c r="A37" s="42" t="s">
        <v>33</v>
      </c>
      <c r="B37" s="45" t="s">
        <v>34</v>
      </c>
      <c r="C37" s="41">
        <f>[9]С1!F22</f>
        <v>1.0369999999999999</v>
      </c>
    </row>
    <row r="38" spans="1:3" ht="53.25" thickBot="1" x14ac:dyDescent="0.25">
      <c r="A38" s="27" t="s">
        <v>35</v>
      </c>
      <c r="B38" s="46" t="s">
        <v>36</v>
      </c>
      <c r="C38" s="47">
        <f>[9]С1!F23</f>
        <v>1.0469999999999999</v>
      </c>
    </row>
    <row r="39" spans="1:3" ht="13.5" thickBot="1" x14ac:dyDescent="0.25">
      <c r="A39" s="48"/>
      <c r="B39" s="49"/>
      <c r="C39" s="50"/>
    </row>
    <row r="40" spans="1:3" ht="30" customHeight="1" x14ac:dyDescent="0.2">
      <c r="A40" s="51" t="s">
        <v>37</v>
      </c>
      <c r="B40" s="121" t="s">
        <v>38</v>
      </c>
      <c r="C40" s="121"/>
    </row>
    <row r="41" spans="1:3" ht="25.5" x14ac:dyDescent="0.2">
      <c r="A41" s="22" t="s">
        <v>39</v>
      </c>
      <c r="B41" s="37" t="s">
        <v>40</v>
      </c>
      <c r="C41" s="52" t="str">
        <f>[9]С2.1!E12</f>
        <v>V</v>
      </c>
    </row>
    <row r="42" spans="1:3" ht="25.5" x14ac:dyDescent="0.2">
      <c r="A42" s="22" t="s">
        <v>41</v>
      </c>
      <c r="B42" s="34" t="s">
        <v>42</v>
      </c>
      <c r="C42" s="52" t="str">
        <f>[9]С2.1!E13</f>
        <v>6 и менее баллов</v>
      </c>
    </row>
    <row r="43" spans="1:3" ht="25.5" x14ac:dyDescent="0.2">
      <c r="A43" s="22" t="s">
        <v>43</v>
      </c>
      <c r="B43" s="34" t="s">
        <v>44</v>
      </c>
      <c r="C43" s="52" t="str">
        <f>[9]С2.1!E14</f>
        <v>от 200 до 500</v>
      </c>
    </row>
    <row r="44" spans="1:3" ht="25.5" x14ac:dyDescent="0.2">
      <c r="A44" s="22" t="s">
        <v>45</v>
      </c>
      <c r="B44" s="34" t="s">
        <v>46</v>
      </c>
      <c r="C44" s="53" t="str">
        <f>[9]С2.1!E15</f>
        <v>нет</v>
      </c>
    </row>
    <row r="45" spans="1:3" ht="30" x14ac:dyDescent="0.2">
      <c r="A45" s="22" t="s">
        <v>47</v>
      </c>
      <c r="B45" s="34" t="s">
        <v>48</v>
      </c>
      <c r="C45" s="35">
        <f>[9]С2!F18</f>
        <v>32402.627334033532</v>
      </c>
    </row>
    <row r="46" spans="1:3" ht="30" x14ac:dyDescent="0.2">
      <c r="A46" s="22" t="s">
        <v>49</v>
      </c>
      <c r="B46" s="54" t="s">
        <v>50</v>
      </c>
      <c r="C46" s="35">
        <f>IF([9]С2!F19&gt;0,[9]С2!F19,[9]С2!F20)</f>
        <v>23441.524932855718</v>
      </c>
    </row>
    <row r="47" spans="1:3" ht="25.5" x14ac:dyDescent="0.2">
      <c r="A47" s="22" t="s">
        <v>51</v>
      </c>
      <c r="B47" s="55" t="s">
        <v>52</v>
      </c>
      <c r="C47" s="35">
        <f>[9]С2.1!E19</f>
        <v>-37</v>
      </c>
    </row>
    <row r="48" spans="1:3" ht="25.5" x14ac:dyDescent="0.2">
      <c r="A48" s="22" t="s">
        <v>53</v>
      </c>
      <c r="B48" s="55" t="s">
        <v>54</v>
      </c>
      <c r="C48" s="35" t="str">
        <f>[9]С2.1!E22</f>
        <v>нет</v>
      </c>
    </row>
    <row r="49" spans="1:3" ht="38.25" x14ac:dyDescent="0.2">
      <c r="A49" s="22" t="s">
        <v>55</v>
      </c>
      <c r="B49" s="56" t="s">
        <v>56</v>
      </c>
      <c r="C49" s="35">
        <f>[9]С2.2!E10</f>
        <v>1287</v>
      </c>
    </row>
    <row r="50" spans="1:3" ht="25.5" x14ac:dyDescent="0.2">
      <c r="A50" s="22" t="s">
        <v>57</v>
      </c>
      <c r="B50" s="57" t="s">
        <v>58</v>
      </c>
      <c r="C50" s="35">
        <f>[9]С2.2!E12</f>
        <v>5.97</v>
      </c>
    </row>
    <row r="51" spans="1:3" ht="52.5" x14ac:dyDescent="0.2">
      <c r="A51" s="22" t="s">
        <v>59</v>
      </c>
      <c r="B51" s="58" t="s">
        <v>60</v>
      </c>
      <c r="C51" s="35">
        <f>[9]С2.2!E13</f>
        <v>1</v>
      </c>
    </row>
    <row r="52" spans="1:3" ht="27.75" x14ac:dyDescent="0.2">
      <c r="A52" s="22" t="s">
        <v>61</v>
      </c>
      <c r="B52" s="57" t="s">
        <v>62</v>
      </c>
      <c r="C52" s="35">
        <f>[9]С2.2!E14</f>
        <v>12104</v>
      </c>
    </row>
    <row r="53" spans="1:3" ht="25.5" x14ac:dyDescent="0.2">
      <c r="A53" s="22" t="s">
        <v>63</v>
      </c>
      <c r="B53" s="58" t="s">
        <v>64</v>
      </c>
      <c r="C53" s="36">
        <f>[9]С2.2!E15</f>
        <v>4.8000000000000001E-2</v>
      </c>
    </row>
    <row r="54" spans="1:3" x14ac:dyDescent="0.2">
      <c r="A54" s="22" t="s">
        <v>65</v>
      </c>
      <c r="B54" s="58" t="s">
        <v>66</v>
      </c>
      <c r="C54" s="35">
        <f>[9]С2.2!E16</f>
        <v>1</v>
      </c>
    </row>
    <row r="55" spans="1:3" ht="15.75" x14ac:dyDescent="0.2">
      <c r="A55" s="22" t="s">
        <v>67</v>
      </c>
      <c r="B55" s="59" t="s">
        <v>68</v>
      </c>
      <c r="C55" s="35">
        <f>[9]С2!F21</f>
        <v>1</v>
      </c>
    </row>
    <row r="56" spans="1:3" ht="30" x14ac:dyDescent="0.2">
      <c r="A56" s="60" t="s">
        <v>69</v>
      </c>
      <c r="B56" s="34" t="s">
        <v>70</v>
      </c>
      <c r="C56" s="35">
        <f>[9]С2!F13</f>
        <v>169640.22915965237</v>
      </c>
    </row>
    <row r="57" spans="1:3" ht="30" x14ac:dyDescent="0.2">
      <c r="A57" s="60" t="s">
        <v>71</v>
      </c>
      <c r="B57" s="59" t="s">
        <v>72</v>
      </c>
      <c r="C57" s="35">
        <f>[9]С2!F14</f>
        <v>113455</v>
      </c>
    </row>
    <row r="58" spans="1:3" ht="15.75" x14ac:dyDescent="0.2">
      <c r="A58" s="60" t="s">
        <v>73</v>
      </c>
      <c r="B58" s="61" t="s">
        <v>74</v>
      </c>
      <c r="C58" s="41">
        <f>[9]С2!F15</f>
        <v>1.071</v>
      </c>
    </row>
    <row r="59" spans="1:3" ht="15.75" x14ac:dyDescent="0.2">
      <c r="A59" s="60" t="s">
        <v>75</v>
      </c>
      <c r="B59" s="61" t="s">
        <v>76</v>
      </c>
      <c r="C59" s="41">
        <f>[9]С2!F16</f>
        <v>1</v>
      </c>
    </row>
    <row r="60" spans="1:3" ht="17.25" x14ac:dyDescent="0.2">
      <c r="A60" s="60" t="s">
        <v>77</v>
      </c>
      <c r="B60" s="59" t="s">
        <v>78</v>
      </c>
      <c r="C60" s="35">
        <f>[9]С2!F17</f>
        <v>1.01</v>
      </c>
    </row>
    <row r="61" spans="1:3" s="64" customFormat="1" ht="14.25" x14ac:dyDescent="0.2">
      <c r="A61" s="60" t="s">
        <v>79</v>
      </c>
      <c r="B61" s="62" t="s">
        <v>80</v>
      </c>
      <c r="C61" s="63">
        <f>[9]С2!F33</f>
        <v>10</v>
      </c>
    </row>
    <row r="62" spans="1:3" ht="30" x14ac:dyDescent="0.2">
      <c r="A62" s="60" t="s">
        <v>81</v>
      </c>
      <c r="B62" s="65" t="s">
        <v>82</v>
      </c>
      <c r="C62" s="35">
        <f>[9]С2!F26</f>
        <v>1123.6482814273334</v>
      </c>
    </row>
    <row r="63" spans="1:3" ht="17.25" x14ac:dyDescent="0.2">
      <c r="A63" s="60" t="s">
        <v>83</v>
      </c>
      <c r="B63" s="54" t="s">
        <v>84</v>
      </c>
      <c r="C63" s="35">
        <f>[9]С2!F27</f>
        <v>0.19354712999999998</v>
      </c>
    </row>
    <row r="64" spans="1:3" ht="17.25" x14ac:dyDescent="0.2">
      <c r="A64" s="60" t="s">
        <v>85</v>
      </c>
      <c r="B64" s="59" t="s">
        <v>86</v>
      </c>
      <c r="C64" s="63">
        <f>[9]С2!F28</f>
        <v>4200</v>
      </c>
    </row>
    <row r="65" spans="1:3" ht="42.75" x14ac:dyDescent="0.2">
      <c r="A65" s="60" t="s">
        <v>87</v>
      </c>
      <c r="B65" s="34" t="s">
        <v>88</v>
      </c>
      <c r="C65" s="35">
        <f>[9]С2!F22</f>
        <v>35717.748653137714</v>
      </c>
    </row>
    <row r="66" spans="1:3" ht="30" x14ac:dyDescent="0.2">
      <c r="A66" s="60" t="s">
        <v>89</v>
      </c>
      <c r="B66" s="61" t="s">
        <v>90</v>
      </c>
      <c r="C66" s="35">
        <f>[9]С2!F23</f>
        <v>1990</v>
      </c>
    </row>
    <row r="67" spans="1:3" ht="30" x14ac:dyDescent="0.2">
      <c r="A67" s="60" t="s">
        <v>91</v>
      </c>
      <c r="B67" s="54" t="s">
        <v>92</v>
      </c>
      <c r="C67" s="35">
        <f>[9]С2.1!E27</f>
        <v>14307.876789999998</v>
      </c>
    </row>
    <row r="68" spans="1:3" ht="38.25" x14ac:dyDescent="0.2">
      <c r="A68" s="60" t="s">
        <v>93</v>
      </c>
      <c r="B68" s="66" t="s">
        <v>94</v>
      </c>
      <c r="C68" s="53">
        <f>[9]С2.3!E21</f>
        <v>0</v>
      </c>
    </row>
    <row r="69" spans="1:3" ht="25.5" x14ac:dyDescent="0.2">
      <c r="A69" s="60" t="s">
        <v>95</v>
      </c>
      <c r="B69" s="67" t="s">
        <v>96</v>
      </c>
      <c r="C69" s="68">
        <f>[9]С2.3!E11</f>
        <v>9.89</v>
      </c>
    </row>
    <row r="70" spans="1:3" ht="25.5" x14ac:dyDescent="0.2">
      <c r="A70" s="60" t="s">
        <v>97</v>
      </c>
      <c r="B70" s="67" t="s">
        <v>98</v>
      </c>
      <c r="C70" s="63">
        <f>[9]С2.3!E13</f>
        <v>300</v>
      </c>
    </row>
    <row r="71" spans="1:3" ht="25.5" x14ac:dyDescent="0.2">
      <c r="A71" s="60" t="s">
        <v>99</v>
      </c>
      <c r="B71" s="66" t="s">
        <v>100</v>
      </c>
      <c r="C71" s="69">
        <f>IF([9]С2.3!E22&gt;0,[9]С2.3!E22,[9]С2.3!E14)</f>
        <v>61211</v>
      </c>
    </row>
    <row r="72" spans="1:3" ht="38.25" x14ac:dyDescent="0.2">
      <c r="A72" s="60" t="s">
        <v>101</v>
      </c>
      <c r="B72" s="66" t="s">
        <v>102</v>
      </c>
      <c r="C72" s="69">
        <f>IF([9]С2.3!E23&gt;0,[9]С2.3!E23,[9]С2.3!E15)</f>
        <v>45675</v>
      </c>
    </row>
    <row r="73" spans="1:3" ht="30" x14ac:dyDescent="0.2">
      <c r="A73" s="60" t="s">
        <v>103</v>
      </c>
      <c r="B73" s="54" t="s">
        <v>104</v>
      </c>
      <c r="C73" s="35">
        <f>[9]С2.1!E28</f>
        <v>9541.9567200000001</v>
      </c>
    </row>
    <row r="74" spans="1:3" ht="38.25" x14ac:dyDescent="0.2">
      <c r="A74" s="60" t="s">
        <v>105</v>
      </c>
      <c r="B74" s="66" t="s">
        <v>106</v>
      </c>
      <c r="C74" s="53">
        <f>[9]С2.3!E25</f>
        <v>0</v>
      </c>
    </row>
    <row r="75" spans="1:3" ht="25.5" x14ac:dyDescent="0.2">
      <c r="A75" s="60" t="s">
        <v>107</v>
      </c>
      <c r="B75" s="67" t="s">
        <v>108</v>
      </c>
      <c r="C75" s="68">
        <f>[9]С2.3!E12</f>
        <v>0.56000000000000005</v>
      </c>
    </row>
    <row r="76" spans="1:3" ht="25.5" x14ac:dyDescent="0.2">
      <c r="A76" s="60" t="s">
        <v>109</v>
      </c>
      <c r="B76" s="67" t="s">
        <v>98</v>
      </c>
      <c r="C76" s="63">
        <f>[9]С2.3!E13</f>
        <v>300</v>
      </c>
    </row>
    <row r="77" spans="1:3" ht="25.5" x14ac:dyDescent="0.2">
      <c r="A77" s="60" t="s">
        <v>110</v>
      </c>
      <c r="B77" s="70" t="s">
        <v>111</v>
      </c>
      <c r="C77" s="69">
        <f>IF([9]С2.3!E26&gt;0,[9]С2.3!E26,[9]С2.3!E16)</f>
        <v>65637</v>
      </c>
    </row>
    <row r="78" spans="1:3" ht="38.25" x14ac:dyDescent="0.2">
      <c r="A78" s="60" t="s">
        <v>112</v>
      </c>
      <c r="B78" s="70" t="s">
        <v>113</v>
      </c>
      <c r="C78" s="69">
        <f>IF([9]С2.3!E27&gt;0,[9]С2.3!E27,[9]С2.3!E17)</f>
        <v>31684</v>
      </c>
    </row>
    <row r="79" spans="1:3" ht="17.25" x14ac:dyDescent="0.2">
      <c r="A79" s="60" t="s">
        <v>114</v>
      </c>
      <c r="B79" s="34" t="s">
        <v>115</v>
      </c>
      <c r="C79" s="36">
        <f>[9]С2!F29</f>
        <v>0.128978033685065</v>
      </c>
    </row>
    <row r="80" spans="1:3" ht="30" x14ac:dyDescent="0.2">
      <c r="A80" s="60" t="s">
        <v>116</v>
      </c>
      <c r="B80" s="54" t="s">
        <v>117</v>
      </c>
      <c r="C80" s="71">
        <f>[9]С2!F30</f>
        <v>0.11668498168498169</v>
      </c>
    </row>
    <row r="81" spans="1:3" ht="17.25" x14ac:dyDescent="0.2">
      <c r="A81" s="60" t="s">
        <v>118</v>
      </c>
      <c r="B81" s="72" t="s">
        <v>119</v>
      </c>
      <c r="C81" s="36">
        <f>[9]С2!F31</f>
        <v>0.13880000000000001</v>
      </c>
    </row>
    <row r="82" spans="1:3" s="64" customFormat="1" ht="18" thickBot="1" x14ac:dyDescent="0.25">
      <c r="A82" s="73" t="s">
        <v>120</v>
      </c>
      <c r="B82" s="74" t="s">
        <v>121</v>
      </c>
      <c r="C82" s="75">
        <f>[9]С2!F32</f>
        <v>0.12640000000000001</v>
      </c>
    </row>
    <row r="83" spans="1:3" ht="13.5" thickBot="1" x14ac:dyDescent="0.25">
      <c r="A83" s="48"/>
      <c r="B83" s="76"/>
      <c r="C83" s="15"/>
    </row>
    <row r="84" spans="1:3" s="64" customFormat="1" ht="30" customHeight="1" x14ac:dyDescent="0.2">
      <c r="A84" s="77" t="s">
        <v>122</v>
      </c>
      <c r="B84" s="121" t="s">
        <v>123</v>
      </c>
      <c r="C84" s="121"/>
    </row>
    <row r="85" spans="1:3" s="64" customFormat="1" ht="30" x14ac:dyDescent="0.2">
      <c r="A85" s="78" t="s">
        <v>124</v>
      </c>
      <c r="B85" s="34" t="s">
        <v>125</v>
      </c>
      <c r="C85" s="35">
        <f>[9]С3!F14</f>
        <v>6998.3755440420418</v>
      </c>
    </row>
    <row r="86" spans="1:3" s="64" customFormat="1" ht="42.75" x14ac:dyDescent="0.2">
      <c r="A86" s="78" t="s">
        <v>126</v>
      </c>
      <c r="B86" s="54" t="s">
        <v>127</v>
      </c>
      <c r="C86" s="79">
        <f>[9]С3!F15</f>
        <v>0.2</v>
      </c>
    </row>
    <row r="87" spans="1:3" s="64" customFormat="1" ht="14.25" x14ac:dyDescent="0.2">
      <c r="A87" s="78" t="s">
        <v>128</v>
      </c>
      <c r="B87" s="80" t="s">
        <v>129</v>
      </c>
      <c r="C87" s="63">
        <f>[9]С3!F18</f>
        <v>15</v>
      </c>
    </row>
    <row r="88" spans="1:3" s="64" customFormat="1" ht="17.25" x14ac:dyDescent="0.2">
      <c r="A88" s="78" t="s">
        <v>130</v>
      </c>
      <c r="B88" s="34" t="s">
        <v>131</v>
      </c>
      <c r="C88" s="35">
        <f>[9]С3!F19</f>
        <v>3487.1555421534131</v>
      </c>
    </row>
    <row r="89" spans="1:3" s="64" customFormat="1" ht="55.5" x14ac:dyDescent="0.2">
      <c r="A89" s="78" t="s">
        <v>132</v>
      </c>
      <c r="B89" s="54" t="s">
        <v>133</v>
      </c>
      <c r="C89" s="81">
        <f>[9]С3!F20</f>
        <v>2.1999999999999999E-2</v>
      </c>
    </row>
    <row r="90" spans="1:3" s="64" customFormat="1" ht="14.25" x14ac:dyDescent="0.2">
      <c r="A90" s="78" t="s">
        <v>134</v>
      </c>
      <c r="B90" s="59" t="s">
        <v>80</v>
      </c>
      <c r="C90" s="63">
        <f>[9]С3!F21</f>
        <v>10</v>
      </c>
    </row>
    <row r="91" spans="1:3" s="64" customFormat="1" ht="17.25" x14ac:dyDescent="0.2">
      <c r="A91" s="78" t="s">
        <v>135</v>
      </c>
      <c r="B91" s="34" t="s">
        <v>136</v>
      </c>
      <c r="C91" s="35">
        <f>[9]С3!F22</f>
        <v>3.370944844282</v>
      </c>
    </row>
    <row r="92" spans="1:3" s="64" customFormat="1" ht="55.5" x14ac:dyDescent="0.2">
      <c r="A92" s="78" t="s">
        <v>137</v>
      </c>
      <c r="B92" s="54" t="s">
        <v>138</v>
      </c>
      <c r="C92" s="81">
        <f>[9]С3!F23</f>
        <v>3.0000000000000001E-3</v>
      </c>
    </row>
    <row r="93" spans="1:3" s="64" customFormat="1" ht="27.75" thickBot="1" x14ac:dyDescent="0.25">
      <c r="A93" s="82" t="s">
        <v>139</v>
      </c>
      <c r="B93" s="83" t="s">
        <v>140</v>
      </c>
      <c r="C93" s="84">
        <f>[9]С3!F24</f>
        <v>1123.6482814273334</v>
      </c>
    </row>
    <row r="94" spans="1:3" ht="13.5" thickBot="1" x14ac:dyDescent="0.25">
      <c r="A94" s="48"/>
      <c r="B94" s="76"/>
      <c r="C94" s="15"/>
    </row>
    <row r="95" spans="1:3" ht="30" customHeight="1" x14ac:dyDescent="0.2">
      <c r="A95" s="85" t="s">
        <v>141</v>
      </c>
      <c r="B95" s="121" t="s">
        <v>142</v>
      </c>
      <c r="C95" s="121"/>
    </row>
    <row r="96" spans="1:3" ht="30" x14ac:dyDescent="0.2">
      <c r="A96" s="60" t="s">
        <v>143</v>
      </c>
      <c r="B96" s="34" t="s">
        <v>144</v>
      </c>
      <c r="C96" s="35">
        <f>[9]С4!F16</f>
        <v>1652.5</v>
      </c>
    </row>
    <row r="97" spans="1:3" ht="30" x14ac:dyDescent="0.2">
      <c r="A97" s="60" t="s">
        <v>145</v>
      </c>
      <c r="B97" s="59" t="s">
        <v>146</v>
      </c>
      <c r="C97" s="35">
        <f>[9]С4!F17</f>
        <v>73547</v>
      </c>
    </row>
    <row r="98" spans="1:3" ht="17.25" x14ac:dyDescent="0.2">
      <c r="A98" s="60" t="s">
        <v>147</v>
      </c>
      <c r="B98" s="59" t="s">
        <v>148</v>
      </c>
      <c r="C98" s="41">
        <f>[9]С4!F18</f>
        <v>0.02</v>
      </c>
    </row>
    <row r="99" spans="1:3" ht="30" x14ac:dyDescent="0.2">
      <c r="A99" s="60" t="s">
        <v>149</v>
      </c>
      <c r="B99" s="59" t="s">
        <v>150</v>
      </c>
      <c r="C99" s="35">
        <f>[9]С4!F19</f>
        <v>12104</v>
      </c>
    </row>
    <row r="100" spans="1:3" ht="31.5" x14ac:dyDescent="0.2">
      <c r="A100" s="60" t="s">
        <v>151</v>
      </c>
      <c r="B100" s="59" t="s">
        <v>152</v>
      </c>
      <c r="C100" s="41">
        <f>[9]С4!F20</f>
        <v>1.4999999999999999E-2</v>
      </c>
    </row>
    <row r="101" spans="1:3" ht="30" x14ac:dyDescent="0.2">
      <c r="A101" s="60" t="s">
        <v>153</v>
      </c>
      <c r="B101" s="34" t="s">
        <v>154</v>
      </c>
      <c r="C101" s="35">
        <f>[9]С4!F21</f>
        <v>1933.1949342509995</v>
      </c>
    </row>
    <row r="102" spans="1:3" ht="24" customHeight="1" x14ac:dyDescent="0.2">
      <c r="A102" s="60" t="s">
        <v>155</v>
      </c>
      <c r="B102" s="54" t="s">
        <v>156</v>
      </c>
      <c r="C102" s="86">
        <f>IF([9]С4.2!F8="да",[9]С4.2!D21,[9]С4.2!D15)</f>
        <v>0</v>
      </c>
    </row>
    <row r="103" spans="1:3" ht="68.25" x14ac:dyDescent="0.2">
      <c r="A103" s="60" t="s">
        <v>157</v>
      </c>
      <c r="B103" s="54" t="s">
        <v>158</v>
      </c>
      <c r="C103" s="35">
        <f>[9]С4!F22</f>
        <v>3.6112641666666665</v>
      </c>
    </row>
    <row r="104" spans="1:3" ht="30" x14ac:dyDescent="0.2">
      <c r="A104" s="60" t="s">
        <v>159</v>
      </c>
      <c r="B104" s="59" t="s">
        <v>160</v>
      </c>
      <c r="C104" s="35">
        <f>[9]С4!F23</f>
        <v>180</v>
      </c>
    </row>
    <row r="105" spans="1:3" ht="14.25" x14ac:dyDescent="0.2">
      <c r="A105" s="60" t="s">
        <v>161</v>
      </c>
      <c r="B105" s="54" t="s">
        <v>162</v>
      </c>
      <c r="C105" s="35">
        <f>[9]С4!F24</f>
        <v>8497.1999999999989</v>
      </c>
    </row>
    <row r="106" spans="1:3" ht="14.25" x14ac:dyDescent="0.2">
      <c r="A106" s="60" t="s">
        <v>163</v>
      </c>
      <c r="B106" s="59" t="s">
        <v>164</v>
      </c>
      <c r="C106" s="41">
        <f>[9]С4!F25</f>
        <v>0.35</v>
      </c>
    </row>
    <row r="107" spans="1:3" ht="17.25" x14ac:dyDescent="0.2">
      <c r="A107" s="60" t="s">
        <v>165</v>
      </c>
      <c r="B107" s="34" t="s">
        <v>166</v>
      </c>
      <c r="C107" s="35">
        <f>[9]С4!F26</f>
        <v>56.266170000000002</v>
      </c>
    </row>
    <row r="108" spans="1:3" ht="25.5" x14ac:dyDescent="0.2">
      <c r="A108" s="60" t="s">
        <v>167</v>
      </c>
      <c r="B108" s="54" t="s">
        <v>94</v>
      </c>
      <c r="C108" s="86">
        <f>[9]С4.3!E16</f>
        <v>0</v>
      </c>
    </row>
    <row r="109" spans="1:3" ht="25.5" x14ac:dyDescent="0.2">
      <c r="A109" s="60" t="s">
        <v>168</v>
      </c>
      <c r="B109" s="54" t="s">
        <v>169</v>
      </c>
      <c r="C109" s="35">
        <f>[9]С4.3!E17</f>
        <v>14.67</v>
      </c>
    </row>
    <row r="110" spans="1:3" ht="38.25" x14ac:dyDescent="0.2">
      <c r="A110" s="60" t="s">
        <v>170</v>
      </c>
      <c r="B110" s="54" t="s">
        <v>106</v>
      </c>
      <c r="C110" s="86">
        <f>[9]С4.3!E18</f>
        <v>0</v>
      </c>
    </row>
    <row r="111" spans="1:3" x14ac:dyDescent="0.2">
      <c r="A111" s="60" t="s">
        <v>171</v>
      </c>
      <c r="B111" s="54" t="s">
        <v>172</v>
      </c>
      <c r="C111" s="35">
        <f>[9]С4.3!E19</f>
        <v>23.62</v>
      </c>
    </row>
    <row r="112" spans="1:3" x14ac:dyDescent="0.2">
      <c r="A112" s="60" t="s">
        <v>173</v>
      </c>
      <c r="B112" s="59" t="s">
        <v>174</v>
      </c>
      <c r="C112" s="35">
        <f>[9]С4.3!E11</f>
        <v>1871</v>
      </c>
    </row>
    <row r="113" spans="1:3" x14ac:dyDescent="0.2">
      <c r="A113" s="60" t="s">
        <v>175</v>
      </c>
      <c r="B113" s="59" t="s">
        <v>176</v>
      </c>
      <c r="C113" s="53">
        <f>[9]С4.3!E12</f>
        <v>1636</v>
      </c>
    </row>
    <row r="114" spans="1:3" x14ac:dyDescent="0.2">
      <c r="A114" s="60" t="s">
        <v>177</v>
      </c>
      <c r="B114" s="59" t="s">
        <v>178</v>
      </c>
      <c r="C114" s="53">
        <f>[9]С4.3!E13</f>
        <v>204</v>
      </c>
    </row>
    <row r="115" spans="1:3" ht="30" x14ac:dyDescent="0.2">
      <c r="A115" s="60" t="s">
        <v>179</v>
      </c>
      <c r="B115" s="34" t="s">
        <v>180</v>
      </c>
      <c r="C115" s="35">
        <f>[9]С4!F27</f>
        <v>776.44759830395003</v>
      </c>
    </row>
    <row r="116" spans="1:3" ht="25.5" x14ac:dyDescent="0.2">
      <c r="A116" s="60" t="s">
        <v>181</v>
      </c>
      <c r="B116" s="54" t="s">
        <v>182</v>
      </c>
      <c r="C116" s="35">
        <f>[9]С4!F28</f>
        <v>596.34992189243474</v>
      </c>
    </row>
    <row r="117" spans="1:3" ht="42.75" x14ac:dyDescent="0.2">
      <c r="A117" s="60" t="s">
        <v>183</v>
      </c>
      <c r="B117" s="54" t="s">
        <v>184</v>
      </c>
      <c r="C117" s="35">
        <f>[9]С4!F29</f>
        <v>180.09767641151529</v>
      </c>
    </row>
    <row r="118" spans="1:3" ht="30" x14ac:dyDescent="0.2">
      <c r="A118" s="60" t="s">
        <v>185</v>
      </c>
      <c r="B118" s="40" t="s">
        <v>186</v>
      </c>
      <c r="C118" s="35">
        <f>[9]С4!F30</f>
        <v>2116.8125112572866</v>
      </c>
    </row>
    <row r="119" spans="1:3" ht="42.75" x14ac:dyDescent="0.2">
      <c r="A119" s="60" t="s">
        <v>187</v>
      </c>
      <c r="B119" s="87" t="s">
        <v>188</v>
      </c>
      <c r="C119" s="35">
        <f>[9]С4!F33</f>
        <v>1420.6050013073407</v>
      </c>
    </row>
    <row r="120" spans="1:3" ht="30" x14ac:dyDescent="0.2">
      <c r="A120" s="60" t="s">
        <v>189</v>
      </c>
      <c r="B120" s="88" t="s">
        <v>190</v>
      </c>
      <c r="C120" s="35">
        <f>[9]С4!F35</f>
        <v>17.040680999999999</v>
      </c>
    </row>
    <row r="121" spans="1:3" ht="14.25" x14ac:dyDescent="0.2">
      <c r="A121" s="60" t="s">
        <v>191</v>
      </c>
      <c r="B121" s="57" t="s">
        <v>192</v>
      </c>
      <c r="C121" s="35">
        <f>[9]С4!F36</f>
        <v>14319.9</v>
      </c>
    </row>
    <row r="122" spans="1:3" ht="28.5" thickBot="1" x14ac:dyDescent="0.25">
      <c r="A122" s="73" t="s">
        <v>193</v>
      </c>
      <c r="B122" s="89" t="s">
        <v>194</v>
      </c>
      <c r="C122" s="84">
        <f>[9]С4!F37</f>
        <v>1.19</v>
      </c>
    </row>
    <row r="123" spans="1:3" s="90" customFormat="1" ht="13.5" thickBot="1" x14ac:dyDescent="0.25">
      <c r="A123" s="48"/>
      <c r="B123" s="76"/>
      <c r="C123" s="15"/>
    </row>
    <row r="124" spans="1:3" s="64" customFormat="1" ht="30" customHeight="1" x14ac:dyDescent="0.2">
      <c r="A124" s="77" t="s">
        <v>195</v>
      </c>
      <c r="B124" s="121" t="s">
        <v>196</v>
      </c>
      <c r="C124" s="121"/>
    </row>
    <row r="125" spans="1:3" ht="16.5" thickBot="1" x14ac:dyDescent="0.25">
      <c r="A125" s="27" t="s">
        <v>197</v>
      </c>
      <c r="B125" s="91" t="s">
        <v>198</v>
      </c>
      <c r="C125" s="84">
        <f>[9]С5!F17</f>
        <v>0.02</v>
      </c>
    </row>
    <row r="126" spans="1:3" s="90" customFormat="1" ht="13.5" thickBot="1" x14ac:dyDescent="0.25">
      <c r="A126" s="48"/>
      <c r="B126" s="76"/>
      <c r="C126" s="15"/>
    </row>
    <row r="127" spans="1:3" ht="42.75" customHeight="1" x14ac:dyDescent="0.2">
      <c r="A127" s="85" t="s">
        <v>199</v>
      </c>
      <c r="B127" s="122" t="s">
        <v>200</v>
      </c>
      <c r="C127" s="122"/>
    </row>
    <row r="128" spans="1:3" ht="68.25" x14ac:dyDescent="0.2">
      <c r="A128" s="60" t="s">
        <v>201</v>
      </c>
      <c r="B128" s="92" t="s">
        <v>202</v>
      </c>
      <c r="C128" s="35" t="s">
        <v>203</v>
      </c>
    </row>
    <row r="129" spans="1:4" ht="42.75" hidden="1" x14ac:dyDescent="0.2">
      <c r="A129" s="60" t="s">
        <v>204</v>
      </c>
      <c r="B129" s="87" t="s">
        <v>205</v>
      </c>
      <c r="C129" s="93"/>
    </row>
    <row r="130" spans="1:4" ht="69" thickBot="1" x14ac:dyDescent="0.25">
      <c r="A130" s="73" t="s">
        <v>206</v>
      </c>
      <c r="B130" s="94" t="s">
        <v>207</v>
      </c>
      <c r="C130" s="95" t="s">
        <v>203</v>
      </c>
    </row>
    <row r="131" spans="1:4" ht="62.25" hidden="1" customHeight="1" x14ac:dyDescent="0.2">
      <c r="A131" s="96" t="s">
        <v>208</v>
      </c>
      <c r="B131" s="97" t="s">
        <v>209</v>
      </c>
      <c r="C131" s="98"/>
    </row>
    <row r="132" spans="1:4" ht="68.25" hidden="1" x14ac:dyDescent="0.2">
      <c r="A132" s="60" t="s">
        <v>210</v>
      </c>
      <c r="B132" s="87" t="s">
        <v>211</v>
      </c>
      <c r="C132" s="36"/>
    </row>
    <row r="133" spans="1:4" ht="69" hidden="1" thickBot="1" x14ac:dyDescent="0.25">
      <c r="A133" s="73" t="s">
        <v>212</v>
      </c>
      <c r="B133" s="99" t="s">
        <v>213</v>
      </c>
      <c r="C133" s="75"/>
    </row>
    <row r="134" spans="1:4" s="90" customFormat="1" ht="13.5" thickBot="1" x14ac:dyDescent="0.25">
      <c r="A134" s="48"/>
      <c r="B134" s="76"/>
      <c r="C134" s="15"/>
    </row>
    <row r="135" spans="1:4" ht="26.25" customHeight="1" x14ac:dyDescent="0.2">
      <c r="A135" s="85" t="s">
        <v>214</v>
      </c>
      <c r="B135" s="100" t="s">
        <v>215</v>
      </c>
      <c r="C135" s="101">
        <f>[9]С2!F37</f>
        <v>20.818139999999996</v>
      </c>
    </row>
    <row r="136" spans="1:4" ht="14.25" x14ac:dyDescent="0.2">
      <c r="A136" s="60" t="s">
        <v>216</v>
      </c>
      <c r="B136" s="102" t="s">
        <v>217</v>
      </c>
      <c r="C136" s="35">
        <f>[9]С2!F38</f>
        <v>7</v>
      </c>
    </row>
    <row r="137" spans="1:4" ht="17.25" x14ac:dyDescent="0.2">
      <c r="A137" s="60" t="s">
        <v>218</v>
      </c>
      <c r="B137" s="102" t="s">
        <v>219</v>
      </c>
      <c r="C137" s="35">
        <f>[9]С2!F40</f>
        <v>0.97</v>
      </c>
    </row>
    <row r="138" spans="1:4" ht="15" thickBot="1" x14ac:dyDescent="0.25">
      <c r="A138" s="73" t="s">
        <v>220</v>
      </c>
      <c r="B138" s="103" t="s">
        <v>221</v>
      </c>
      <c r="C138" s="47">
        <f>[9]С2!F42</f>
        <v>0.35</v>
      </c>
    </row>
    <row r="139" spans="1:4" s="90" customFormat="1" ht="13.5" thickBot="1" x14ac:dyDescent="0.25">
      <c r="A139" s="48"/>
      <c r="B139" s="76"/>
      <c r="C139" s="15"/>
    </row>
    <row r="140" spans="1:4" ht="30" x14ac:dyDescent="0.2">
      <c r="A140" s="85" t="s">
        <v>222</v>
      </c>
      <c r="B140" s="104" t="s">
        <v>223</v>
      </c>
      <c r="C140" s="105">
        <f>[9]С2!F35</f>
        <v>1.3822747209000001</v>
      </c>
      <c r="D140" s="90"/>
    </row>
    <row r="141" spans="1:4" ht="22.7" customHeight="1" thickBot="1" x14ac:dyDescent="0.25">
      <c r="A141" s="73" t="s">
        <v>224</v>
      </c>
      <c r="B141" s="123" t="s">
        <v>225</v>
      </c>
      <c r="C141" s="123"/>
      <c r="D141" s="90"/>
    </row>
    <row r="142" spans="1:4" ht="13.5" thickBot="1" x14ac:dyDescent="0.25">
      <c r="A142" s="107"/>
      <c r="B142" s="108" t="s">
        <v>226</v>
      </c>
      <c r="C142" s="109"/>
      <c r="D142" s="90"/>
    </row>
    <row r="143" spans="1:4" x14ac:dyDescent="0.2">
      <c r="A143" s="107"/>
      <c r="B143" s="110">
        <v>2020</v>
      </c>
      <c r="C143" s="111">
        <f>[9]С2.5!$E$11</f>
        <v>-2.9000000000000026E-2</v>
      </c>
      <c r="D143" s="90"/>
    </row>
    <row r="144" spans="1:4" x14ac:dyDescent="0.2">
      <c r="A144" s="107"/>
      <c r="B144" s="112">
        <f>B143+1</f>
        <v>2021</v>
      </c>
      <c r="C144" s="113">
        <f>[9]С2.5!$F$11</f>
        <v>0.245</v>
      </c>
      <c r="D144" s="90"/>
    </row>
    <row r="145" spans="1:4" x14ac:dyDescent="0.2">
      <c r="A145" s="107"/>
      <c r="B145" s="112">
        <f t="shared" ref="B145:B208" si="0">B144+1</f>
        <v>2022</v>
      </c>
      <c r="C145" s="113">
        <f>[9]С2.5!$G$11</f>
        <v>0.121</v>
      </c>
      <c r="D145" s="90"/>
    </row>
    <row r="146" spans="1:4" ht="13.5" thickBot="1" x14ac:dyDescent="0.25">
      <c r="A146" s="107"/>
      <c r="B146" s="114">
        <f t="shared" si="0"/>
        <v>2023</v>
      </c>
      <c r="C146" s="115">
        <f>[9]С2.5!$H$11</f>
        <v>0.02</v>
      </c>
      <c r="D146" s="90"/>
    </row>
    <row r="147" spans="1:4" hidden="1" x14ac:dyDescent="0.2">
      <c r="A147" s="107"/>
      <c r="B147" s="116">
        <f t="shared" si="0"/>
        <v>2024</v>
      </c>
      <c r="C147" s="117">
        <f>[9]С2.5!$I$11</f>
        <v>-2.93E-2</v>
      </c>
      <c r="D147" s="90"/>
    </row>
    <row r="148" spans="1:4" hidden="1" x14ac:dyDescent="0.2">
      <c r="A148" s="107"/>
      <c r="B148" s="112">
        <f t="shared" si="0"/>
        <v>2025</v>
      </c>
      <c r="C148" s="113">
        <f>[9]С2.5!$J$11</f>
        <v>0.21215960863291</v>
      </c>
      <c r="D148" s="90"/>
    </row>
    <row r="149" spans="1:4" hidden="1" x14ac:dyDescent="0.2">
      <c r="A149" s="107"/>
      <c r="B149" s="112">
        <f t="shared" si="0"/>
        <v>2026</v>
      </c>
      <c r="C149" s="113">
        <f>[9]С2.5!$K$11</f>
        <v>3.5813361771260002E-2</v>
      </c>
      <c r="D149" s="90"/>
    </row>
    <row r="150" spans="1:4" hidden="1" x14ac:dyDescent="0.2">
      <c r="A150" s="107"/>
      <c r="B150" s="112">
        <f t="shared" si="0"/>
        <v>2027</v>
      </c>
      <c r="C150" s="113">
        <f>[9]С2.5!$L$11</f>
        <v>3.2682303599220003E-2</v>
      </c>
      <c r="D150" s="90"/>
    </row>
    <row r="151" spans="1:4" hidden="1" x14ac:dyDescent="0.2">
      <c r="A151" s="107"/>
      <c r="B151" s="112">
        <f t="shared" si="0"/>
        <v>2028</v>
      </c>
      <c r="C151" s="113">
        <f>[9]С2.5!$M$11</f>
        <v>0</v>
      </c>
      <c r="D151" s="90"/>
    </row>
    <row r="152" spans="1:4" hidden="1" x14ac:dyDescent="0.2">
      <c r="A152" s="107"/>
      <c r="B152" s="112">
        <f t="shared" si="0"/>
        <v>2029</v>
      </c>
      <c r="C152" s="113">
        <f>[9]С2.5!$N$11</f>
        <v>0</v>
      </c>
      <c r="D152" s="90"/>
    </row>
    <row r="153" spans="1:4" hidden="1" x14ac:dyDescent="0.2">
      <c r="A153" s="107"/>
      <c r="B153" s="112">
        <f t="shared" si="0"/>
        <v>2030</v>
      </c>
      <c r="C153" s="113">
        <f>[9]С2.5!$O$11</f>
        <v>0</v>
      </c>
      <c r="D153" s="90"/>
    </row>
    <row r="154" spans="1:4" hidden="1" x14ac:dyDescent="0.2">
      <c r="A154" s="107"/>
      <c r="B154" s="112">
        <f t="shared" si="0"/>
        <v>2031</v>
      </c>
      <c r="C154" s="113">
        <f>[9]С2.5!$P$11</f>
        <v>0</v>
      </c>
      <c r="D154" s="90"/>
    </row>
    <row r="155" spans="1:4" hidden="1" x14ac:dyDescent="0.2">
      <c r="A155" s="90"/>
      <c r="B155" s="112">
        <f t="shared" si="0"/>
        <v>2032</v>
      </c>
      <c r="C155" s="113">
        <f>[9]С2.5!$Q$11</f>
        <v>0</v>
      </c>
      <c r="D155" s="90"/>
    </row>
    <row r="156" spans="1:4" hidden="1" x14ac:dyDescent="0.2">
      <c r="A156" s="90"/>
      <c r="B156" s="112">
        <f t="shared" si="0"/>
        <v>2033</v>
      </c>
      <c r="C156" s="113">
        <f>[9]С2.5!$R$11</f>
        <v>0</v>
      </c>
      <c r="D156" s="90"/>
    </row>
    <row r="157" spans="1:4" hidden="1" x14ac:dyDescent="0.2">
      <c r="B157" s="112">
        <f t="shared" si="0"/>
        <v>2034</v>
      </c>
      <c r="C157" s="113">
        <f>[9]С2.5!$S$11</f>
        <v>0</v>
      </c>
    </row>
    <row r="158" spans="1:4" hidden="1" x14ac:dyDescent="0.2">
      <c r="B158" s="112">
        <f t="shared" si="0"/>
        <v>2035</v>
      </c>
      <c r="C158" s="113">
        <f>[9]С2.5!$T$11</f>
        <v>0</v>
      </c>
    </row>
    <row r="159" spans="1:4" hidden="1" x14ac:dyDescent="0.2">
      <c r="B159" s="112">
        <f t="shared" si="0"/>
        <v>2036</v>
      </c>
      <c r="C159" s="113">
        <f>[9]С2.5!$U$11</f>
        <v>0</v>
      </c>
    </row>
    <row r="160" spans="1:4" hidden="1" x14ac:dyDescent="0.2">
      <c r="B160" s="112">
        <f t="shared" si="0"/>
        <v>2037</v>
      </c>
      <c r="C160" s="113">
        <f>[9]С2.5!$V$11</f>
        <v>0</v>
      </c>
    </row>
    <row r="161" spans="2:3" hidden="1" x14ac:dyDescent="0.2">
      <c r="B161" s="112">
        <f t="shared" si="0"/>
        <v>2038</v>
      </c>
      <c r="C161" s="113">
        <f>[9]С2.5!$W$11</f>
        <v>0</v>
      </c>
    </row>
    <row r="162" spans="2:3" hidden="1" x14ac:dyDescent="0.2">
      <c r="B162" s="112">
        <f t="shared" si="0"/>
        <v>2039</v>
      </c>
      <c r="C162" s="113">
        <f>[9]С2.5!$X$11</f>
        <v>0</v>
      </c>
    </row>
    <row r="163" spans="2:3" hidden="1" x14ac:dyDescent="0.2">
      <c r="B163" s="112">
        <f t="shared" si="0"/>
        <v>2040</v>
      </c>
      <c r="C163" s="113">
        <f>[9]С2.5!$Y$11</f>
        <v>0</v>
      </c>
    </row>
    <row r="164" spans="2:3" hidden="1" x14ac:dyDescent="0.2">
      <c r="B164" s="112">
        <f t="shared" si="0"/>
        <v>2041</v>
      </c>
      <c r="C164" s="113">
        <f>[9]С2.5!$Z$11</f>
        <v>0</v>
      </c>
    </row>
    <row r="165" spans="2:3" hidden="1" x14ac:dyDescent="0.2">
      <c r="B165" s="112">
        <f t="shared" si="0"/>
        <v>2042</v>
      </c>
      <c r="C165" s="113">
        <f>[9]С2.5!$AA$11</f>
        <v>0</v>
      </c>
    </row>
    <row r="166" spans="2:3" hidden="1" x14ac:dyDescent="0.2">
      <c r="B166" s="112">
        <f t="shared" si="0"/>
        <v>2043</v>
      </c>
      <c r="C166" s="113">
        <f>[9]С2.5!$AB$11</f>
        <v>0</v>
      </c>
    </row>
    <row r="167" spans="2:3" hidden="1" x14ac:dyDescent="0.2">
      <c r="B167" s="112">
        <f t="shared" si="0"/>
        <v>2044</v>
      </c>
      <c r="C167" s="113">
        <f>[9]С2.5!$AC$11</f>
        <v>0</v>
      </c>
    </row>
    <row r="168" spans="2:3" hidden="1" x14ac:dyDescent="0.2">
      <c r="B168" s="112">
        <f t="shared" si="0"/>
        <v>2045</v>
      </c>
      <c r="C168" s="113">
        <f>[9]С2.5!$AD$11</f>
        <v>0</v>
      </c>
    </row>
    <row r="169" spans="2:3" hidden="1" x14ac:dyDescent="0.2">
      <c r="B169" s="112">
        <f t="shared" si="0"/>
        <v>2046</v>
      </c>
      <c r="C169" s="113">
        <f>[9]С2.5!$AE$11</f>
        <v>0</v>
      </c>
    </row>
    <row r="170" spans="2:3" hidden="1" x14ac:dyDescent="0.2">
      <c r="B170" s="112">
        <f t="shared" si="0"/>
        <v>2047</v>
      </c>
      <c r="C170" s="113">
        <f>[9]С2.5!$AF$11</f>
        <v>0</v>
      </c>
    </row>
    <row r="171" spans="2:3" hidden="1" x14ac:dyDescent="0.2">
      <c r="B171" s="112">
        <f t="shared" si="0"/>
        <v>2048</v>
      </c>
      <c r="C171" s="113">
        <f>[9]С2.5!$AG$11</f>
        <v>0</v>
      </c>
    </row>
    <row r="172" spans="2:3" hidden="1" x14ac:dyDescent="0.2">
      <c r="B172" s="112">
        <f t="shared" si="0"/>
        <v>2049</v>
      </c>
      <c r="C172" s="113">
        <f>[9]С2.5!$AH$11</f>
        <v>0</v>
      </c>
    </row>
    <row r="173" spans="2:3" hidden="1" x14ac:dyDescent="0.2">
      <c r="B173" s="112">
        <f t="shared" si="0"/>
        <v>2050</v>
      </c>
      <c r="C173" s="113">
        <f>[9]С2.5!$AI$11</f>
        <v>0</v>
      </c>
    </row>
    <row r="174" spans="2:3" hidden="1" x14ac:dyDescent="0.2">
      <c r="B174" s="112">
        <f t="shared" si="0"/>
        <v>2051</v>
      </c>
      <c r="C174" s="113">
        <f>[9]С2.5!$AJ$11</f>
        <v>0</v>
      </c>
    </row>
    <row r="175" spans="2:3" hidden="1" x14ac:dyDescent="0.2">
      <c r="B175" s="112">
        <f t="shared" si="0"/>
        <v>2052</v>
      </c>
      <c r="C175" s="113">
        <f>[9]С2.5!$AK$11</f>
        <v>0</v>
      </c>
    </row>
    <row r="176" spans="2:3" hidden="1" x14ac:dyDescent="0.2">
      <c r="B176" s="112">
        <f t="shared" si="0"/>
        <v>2053</v>
      </c>
      <c r="C176" s="113">
        <f>[9]С2.5!$AL$11</f>
        <v>0</v>
      </c>
    </row>
    <row r="177" spans="2:3" hidden="1" x14ac:dyDescent="0.2">
      <c r="B177" s="112">
        <f t="shared" si="0"/>
        <v>2054</v>
      </c>
      <c r="C177" s="113">
        <f>[9]С2.5!$AM$11</f>
        <v>0</v>
      </c>
    </row>
    <row r="178" spans="2:3" hidden="1" x14ac:dyDescent="0.2">
      <c r="B178" s="112">
        <f t="shared" si="0"/>
        <v>2055</v>
      </c>
      <c r="C178" s="113">
        <f>[9]С2.5!$AN$11</f>
        <v>0</v>
      </c>
    </row>
    <row r="179" spans="2:3" hidden="1" x14ac:dyDescent="0.2">
      <c r="B179" s="112">
        <f t="shared" si="0"/>
        <v>2056</v>
      </c>
      <c r="C179" s="113">
        <f>[9]С2.5!$AO$11</f>
        <v>0</v>
      </c>
    </row>
    <row r="180" spans="2:3" hidden="1" x14ac:dyDescent="0.2">
      <c r="B180" s="112">
        <f t="shared" si="0"/>
        <v>2057</v>
      </c>
      <c r="C180" s="113">
        <f>[9]С2.5!$AP$11</f>
        <v>0</v>
      </c>
    </row>
    <row r="181" spans="2:3" hidden="1" x14ac:dyDescent="0.2">
      <c r="B181" s="112">
        <f t="shared" si="0"/>
        <v>2058</v>
      </c>
      <c r="C181" s="113">
        <f>[9]С2.5!$AQ$11</f>
        <v>0</v>
      </c>
    </row>
    <row r="182" spans="2:3" hidden="1" x14ac:dyDescent="0.2">
      <c r="B182" s="112">
        <f t="shared" si="0"/>
        <v>2059</v>
      </c>
      <c r="C182" s="113">
        <f>[9]С2.5!$AR$11</f>
        <v>0</v>
      </c>
    </row>
    <row r="183" spans="2:3" hidden="1" x14ac:dyDescent="0.2">
      <c r="B183" s="112">
        <f t="shared" si="0"/>
        <v>2060</v>
      </c>
      <c r="C183" s="113">
        <f>[9]С2.5!$AS$11</f>
        <v>0</v>
      </c>
    </row>
    <row r="184" spans="2:3" hidden="1" x14ac:dyDescent="0.2">
      <c r="B184" s="112">
        <f t="shared" si="0"/>
        <v>2061</v>
      </c>
      <c r="C184" s="113">
        <f>[9]С2.5!$AT$11</f>
        <v>0</v>
      </c>
    </row>
    <row r="185" spans="2:3" hidden="1" x14ac:dyDescent="0.2">
      <c r="B185" s="112">
        <f t="shared" si="0"/>
        <v>2062</v>
      </c>
      <c r="C185" s="113">
        <f>[9]С2.5!$AU$11</f>
        <v>0</v>
      </c>
    </row>
    <row r="186" spans="2:3" hidden="1" x14ac:dyDescent="0.2">
      <c r="B186" s="112">
        <f t="shared" si="0"/>
        <v>2063</v>
      </c>
      <c r="C186" s="113">
        <f>[9]С2.5!$AV$11</f>
        <v>0</v>
      </c>
    </row>
    <row r="187" spans="2:3" hidden="1" x14ac:dyDescent="0.2">
      <c r="B187" s="112">
        <f t="shared" si="0"/>
        <v>2064</v>
      </c>
      <c r="C187" s="113">
        <f>[9]С2.5!$AW$11</f>
        <v>0</v>
      </c>
    </row>
    <row r="188" spans="2:3" hidden="1" x14ac:dyDescent="0.2">
      <c r="B188" s="112">
        <f t="shared" si="0"/>
        <v>2065</v>
      </c>
      <c r="C188" s="113">
        <f>[9]С2.5!$AX$11</f>
        <v>0</v>
      </c>
    </row>
    <row r="189" spans="2:3" hidden="1" x14ac:dyDescent="0.2">
      <c r="B189" s="112">
        <f t="shared" si="0"/>
        <v>2066</v>
      </c>
      <c r="C189" s="113">
        <f>[9]С2.5!$AY$11</f>
        <v>0</v>
      </c>
    </row>
    <row r="190" spans="2:3" hidden="1" x14ac:dyDescent="0.2">
      <c r="B190" s="112">
        <f t="shared" si="0"/>
        <v>2067</v>
      </c>
      <c r="C190" s="113">
        <f>[9]С2.5!$AZ$11</f>
        <v>0</v>
      </c>
    </row>
    <row r="191" spans="2:3" hidden="1" x14ac:dyDescent="0.2">
      <c r="B191" s="112">
        <f t="shared" si="0"/>
        <v>2068</v>
      </c>
      <c r="C191" s="113">
        <f>[9]С2.5!$BA$11</f>
        <v>0</v>
      </c>
    </row>
    <row r="192" spans="2:3" hidden="1" x14ac:dyDescent="0.2">
      <c r="B192" s="112">
        <f t="shared" si="0"/>
        <v>2069</v>
      </c>
      <c r="C192" s="113">
        <f>[9]С2.5!$BB$11</f>
        <v>0</v>
      </c>
    </row>
    <row r="193" spans="2:3" hidden="1" x14ac:dyDescent="0.2">
      <c r="B193" s="112">
        <f t="shared" si="0"/>
        <v>2070</v>
      </c>
      <c r="C193" s="113">
        <f>[9]С2.5!$BC$11</f>
        <v>0</v>
      </c>
    </row>
    <row r="194" spans="2:3" hidden="1" x14ac:dyDescent="0.2">
      <c r="B194" s="112">
        <f t="shared" si="0"/>
        <v>2071</v>
      </c>
      <c r="C194" s="113">
        <f>[9]С2.5!$BD$11</f>
        <v>0</v>
      </c>
    </row>
    <row r="195" spans="2:3" hidden="1" x14ac:dyDescent="0.2">
      <c r="B195" s="112">
        <f t="shared" si="0"/>
        <v>2072</v>
      </c>
      <c r="C195" s="113">
        <f>[9]С2.5!$BE$11</f>
        <v>0</v>
      </c>
    </row>
    <row r="196" spans="2:3" hidden="1" x14ac:dyDescent="0.2">
      <c r="B196" s="112">
        <f t="shared" si="0"/>
        <v>2073</v>
      </c>
      <c r="C196" s="113">
        <f>[9]С2.5!$BF$11</f>
        <v>0</v>
      </c>
    </row>
    <row r="197" spans="2:3" hidden="1" x14ac:dyDescent="0.2">
      <c r="B197" s="112">
        <f t="shared" si="0"/>
        <v>2074</v>
      </c>
      <c r="C197" s="113">
        <f>[9]С2.5!$BG$11</f>
        <v>0</v>
      </c>
    </row>
    <row r="198" spans="2:3" hidden="1" x14ac:dyDescent="0.2">
      <c r="B198" s="112">
        <f t="shared" si="0"/>
        <v>2075</v>
      </c>
      <c r="C198" s="113">
        <f>[9]С2.5!$BH$11</f>
        <v>0</v>
      </c>
    </row>
    <row r="199" spans="2:3" hidden="1" x14ac:dyDescent="0.2">
      <c r="B199" s="112">
        <f t="shared" si="0"/>
        <v>2076</v>
      </c>
      <c r="C199" s="113">
        <f>[9]С2.5!$BI$11</f>
        <v>0</v>
      </c>
    </row>
    <row r="200" spans="2:3" hidden="1" x14ac:dyDescent="0.2">
      <c r="B200" s="112">
        <f t="shared" si="0"/>
        <v>2077</v>
      </c>
      <c r="C200" s="113">
        <f>[9]С2.5!$BJ$11</f>
        <v>0</v>
      </c>
    </row>
    <row r="201" spans="2:3" hidden="1" x14ac:dyDescent="0.2">
      <c r="B201" s="112">
        <f t="shared" si="0"/>
        <v>2078</v>
      </c>
      <c r="C201" s="113">
        <f>[9]С2.5!$BK$11</f>
        <v>0</v>
      </c>
    </row>
    <row r="202" spans="2:3" hidden="1" x14ac:dyDescent="0.2">
      <c r="B202" s="112">
        <f t="shared" si="0"/>
        <v>2079</v>
      </c>
      <c r="C202" s="113">
        <f>[9]С2.5!$BL$11</f>
        <v>0</v>
      </c>
    </row>
    <row r="203" spans="2:3" hidden="1" x14ac:dyDescent="0.2">
      <c r="B203" s="112">
        <f t="shared" si="0"/>
        <v>2080</v>
      </c>
      <c r="C203" s="113">
        <f>[9]С2.5!$BM$11</f>
        <v>0</v>
      </c>
    </row>
    <row r="204" spans="2:3" hidden="1" x14ac:dyDescent="0.2">
      <c r="B204" s="112">
        <f t="shared" si="0"/>
        <v>2081</v>
      </c>
      <c r="C204" s="113">
        <f>[9]С2.5!$BN$11</f>
        <v>0</v>
      </c>
    </row>
    <row r="205" spans="2:3" hidden="1" x14ac:dyDescent="0.2">
      <c r="B205" s="112">
        <f t="shared" si="0"/>
        <v>2082</v>
      </c>
      <c r="C205" s="113">
        <f>[9]С2.5!$BO$11</f>
        <v>0</v>
      </c>
    </row>
    <row r="206" spans="2:3" hidden="1" x14ac:dyDescent="0.2">
      <c r="B206" s="112">
        <f t="shared" si="0"/>
        <v>2083</v>
      </c>
      <c r="C206" s="113">
        <f>[9]С2.5!$BP$11</f>
        <v>0</v>
      </c>
    </row>
    <row r="207" spans="2:3" hidden="1" x14ac:dyDescent="0.2">
      <c r="B207" s="112">
        <f t="shared" si="0"/>
        <v>2084</v>
      </c>
      <c r="C207" s="113">
        <f>[9]С2.5!$BQ$11</f>
        <v>0</v>
      </c>
    </row>
    <row r="208" spans="2:3" hidden="1" x14ac:dyDescent="0.2">
      <c r="B208" s="112">
        <f t="shared" si="0"/>
        <v>2085</v>
      </c>
      <c r="C208" s="113">
        <f>[9]С2.5!$BR$11</f>
        <v>0</v>
      </c>
    </row>
    <row r="209" spans="2:3" hidden="1" x14ac:dyDescent="0.2">
      <c r="B209" s="112">
        <f t="shared" ref="B209:B223" si="1">B208+1</f>
        <v>2086</v>
      </c>
      <c r="C209" s="113">
        <f>[9]С2.5!$BS$11</f>
        <v>0</v>
      </c>
    </row>
    <row r="210" spans="2:3" hidden="1" x14ac:dyDescent="0.2">
      <c r="B210" s="112">
        <f t="shared" si="1"/>
        <v>2087</v>
      </c>
      <c r="C210" s="113">
        <f>[9]С2.5!$BT$11</f>
        <v>0</v>
      </c>
    </row>
    <row r="211" spans="2:3" hidden="1" x14ac:dyDescent="0.2">
      <c r="B211" s="112">
        <f t="shared" si="1"/>
        <v>2088</v>
      </c>
      <c r="C211" s="113">
        <f>[9]С2.5!$BU$11</f>
        <v>0</v>
      </c>
    </row>
    <row r="212" spans="2:3" hidden="1" x14ac:dyDescent="0.2">
      <c r="B212" s="112">
        <f t="shared" si="1"/>
        <v>2089</v>
      </c>
      <c r="C212" s="113">
        <f>[9]С2.5!$BV$11</f>
        <v>0</v>
      </c>
    </row>
    <row r="213" spans="2:3" hidden="1" x14ac:dyDescent="0.2">
      <c r="B213" s="112">
        <f t="shared" si="1"/>
        <v>2090</v>
      </c>
      <c r="C213" s="113">
        <f>[9]С2.5!$BW$11</f>
        <v>0</v>
      </c>
    </row>
    <row r="214" spans="2:3" hidden="1" x14ac:dyDescent="0.2">
      <c r="B214" s="112">
        <f t="shared" si="1"/>
        <v>2091</v>
      </c>
      <c r="C214" s="113">
        <f>[9]С2.5!$BX$11</f>
        <v>0</v>
      </c>
    </row>
    <row r="215" spans="2:3" hidden="1" x14ac:dyDescent="0.2">
      <c r="B215" s="112">
        <f t="shared" si="1"/>
        <v>2092</v>
      </c>
      <c r="C215" s="113">
        <f>[9]С2.5!$BY$11</f>
        <v>0</v>
      </c>
    </row>
    <row r="216" spans="2:3" hidden="1" x14ac:dyDescent="0.2">
      <c r="B216" s="112">
        <f t="shared" si="1"/>
        <v>2093</v>
      </c>
      <c r="C216" s="113">
        <f>[9]С2.5!$BZ$11</f>
        <v>0</v>
      </c>
    </row>
    <row r="217" spans="2:3" hidden="1" x14ac:dyDescent="0.2">
      <c r="B217" s="112">
        <f t="shared" si="1"/>
        <v>2094</v>
      </c>
      <c r="C217" s="113">
        <f>[9]С2.5!$CA$11</f>
        <v>0</v>
      </c>
    </row>
    <row r="218" spans="2:3" hidden="1" x14ac:dyDescent="0.2">
      <c r="B218" s="112">
        <f t="shared" si="1"/>
        <v>2095</v>
      </c>
      <c r="C218" s="113">
        <f>[9]С2.5!$CB$11</f>
        <v>0</v>
      </c>
    </row>
    <row r="219" spans="2:3" hidden="1" x14ac:dyDescent="0.2">
      <c r="B219" s="112">
        <f t="shared" si="1"/>
        <v>2096</v>
      </c>
      <c r="C219" s="113">
        <f>[9]С2.5!$CC$11</f>
        <v>0</v>
      </c>
    </row>
    <row r="220" spans="2:3" hidden="1" x14ac:dyDescent="0.2">
      <c r="B220" s="112">
        <f t="shared" si="1"/>
        <v>2097</v>
      </c>
      <c r="C220" s="113">
        <f>[9]С2.5!$CD$11</f>
        <v>0</v>
      </c>
    </row>
    <row r="221" spans="2:3" hidden="1" x14ac:dyDescent="0.2">
      <c r="B221" s="112">
        <f t="shared" si="1"/>
        <v>2098</v>
      </c>
      <c r="C221" s="113">
        <f>[9]С2.5!$CE$11</f>
        <v>0</v>
      </c>
    </row>
    <row r="222" spans="2:3" hidden="1" x14ac:dyDescent="0.2">
      <c r="B222" s="112">
        <f t="shared" si="1"/>
        <v>2099</v>
      </c>
      <c r="C222" s="113">
        <f>[9]С2.5!$CF$11</f>
        <v>0</v>
      </c>
    </row>
    <row r="223" spans="2:3" ht="13.5" hidden="1" thickBot="1" x14ac:dyDescent="0.25">
      <c r="B223" s="114">
        <f t="shared" si="1"/>
        <v>2100</v>
      </c>
      <c r="C223" s="115">
        <f>[9]С2.5!$CG$11</f>
        <v>0</v>
      </c>
    </row>
    <row r="224" spans="2:3" hidden="1" x14ac:dyDescent="0.2">
      <c r="C224" s="118"/>
    </row>
    <row r="225" spans="3:3" hidden="1" x14ac:dyDescent="0.2">
      <c r="C225" s="118"/>
    </row>
    <row r="226" spans="3:3" x14ac:dyDescent="0.2">
      <c r="C226" s="118"/>
    </row>
  </sheetData>
  <mergeCells count="9">
    <mergeCell ref="B124:C124"/>
    <mergeCell ref="B127:C127"/>
    <mergeCell ref="B141:C141"/>
    <mergeCell ref="B1:C1"/>
    <mergeCell ref="A14:C14"/>
    <mergeCell ref="B27:C27"/>
    <mergeCell ref="B40:C40"/>
    <mergeCell ref="B84:C84"/>
    <mergeCell ref="B95:C95"/>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9]!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19</vt:i4>
      </vt:variant>
    </vt:vector>
  </HeadingPairs>
  <TitlesOfParts>
    <vt:vector size="19" baseType="lpstr">
      <vt:lpstr>р.п. Краснозерское</vt:lpstr>
      <vt:lpstr>Аксенихинский</vt:lpstr>
      <vt:lpstr>Веселовский</vt:lpstr>
      <vt:lpstr>Зубковский</vt:lpstr>
      <vt:lpstr>Казанакский</vt:lpstr>
      <vt:lpstr>Кайгородской</vt:lpstr>
      <vt:lpstr>Колыбельский</vt:lpstr>
      <vt:lpstr>Коневский</vt:lpstr>
      <vt:lpstr>Лобинский</vt:lpstr>
      <vt:lpstr>Лотошанский</vt:lpstr>
      <vt:lpstr>Майский</vt:lpstr>
      <vt:lpstr>Мохнатологовский</vt:lpstr>
      <vt:lpstr>Нижнечеремошенский</vt:lpstr>
      <vt:lpstr>Октябрьский</vt:lpstr>
      <vt:lpstr>Орехово- Логовской</vt:lpstr>
      <vt:lpstr>Половинский</vt:lpstr>
      <vt:lpstr>Полойский</vt:lpstr>
      <vt:lpstr>Садовский</vt:lpstr>
      <vt:lpstr>Светловский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Ерыгина</dc:creator>
  <cp:lastModifiedBy>Ерыгина</cp:lastModifiedBy>
  <dcterms:created xsi:type="dcterms:W3CDTF">2023-01-18T04:55:49Z</dcterms:created>
  <dcterms:modified xsi:type="dcterms:W3CDTF">2023-01-18T08:04:08Z</dcterms:modified>
</cp:coreProperties>
</file>