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135" windowWidth="27795" windowHeight="13620" tabRatio="892" firstSheet="4" activeTab="18"/>
  </bookViews>
  <sheets>
    <sheet name="РП Краснозерское" sheetId="21" r:id="rId1"/>
    <sheet name="Аксенихинский" sheetId="22" r:id="rId2"/>
    <sheet name="Веселовский" sheetId="23" r:id="rId3"/>
    <sheet name="Зубковский" sheetId="24" r:id="rId4"/>
    <sheet name="Казанакский" sheetId="25" r:id="rId5"/>
    <sheet name="Кайгородский" sheetId="26" r:id="rId6"/>
    <sheet name="Колыбельский" sheetId="27" r:id="rId7"/>
    <sheet name="Коневский" sheetId="28" r:id="rId8"/>
    <sheet name="Лобинский" sheetId="29" r:id="rId9"/>
    <sheet name="Лотошанский" sheetId="30" r:id="rId10"/>
    <sheet name="Майский" sheetId="31" r:id="rId11"/>
    <sheet name="Мохнатологовский" sheetId="32" r:id="rId12"/>
    <sheet name="Нижнечеремошинский" sheetId="33" r:id="rId13"/>
    <sheet name="Октябрьский" sheetId="34" r:id="rId14"/>
    <sheet name="Орехово-Логовской" sheetId="35" r:id="rId15"/>
    <sheet name="Половинский" sheetId="36" r:id="rId16"/>
    <sheet name="Полойский" sheetId="37" r:id="rId17"/>
    <sheet name="Садовский" sheetId="38" r:id="rId18"/>
    <sheet name="Светловский" sheetId="39" r:id="rId19"/>
  </sheets>
  <externalReferences>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s>
  <calcPr calcId="145621"/>
</workbook>
</file>

<file path=xl/calcChain.xml><?xml version="1.0" encoding="utf-8"?>
<calcChain xmlns="http://schemas.openxmlformats.org/spreadsheetml/2006/main">
  <c r="C223" i="39" l="1"/>
  <c r="C222" i="39"/>
  <c r="C221" i="39"/>
  <c r="C220" i="39"/>
  <c r="C219" i="39"/>
  <c r="C218" i="39"/>
  <c r="C217" i="39"/>
  <c r="C216" i="39"/>
  <c r="C215" i="39"/>
  <c r="C214" i="39"/>
  <c r="C213" i="39"/>
  <c r="C212" i="39"/>
  <c r="C211" i="39"/>
  <c r="C210" i="39"/>
  <c r="C209" i="39"/>
  <c r="C208" i="39"/>
  <c r="C207" i="39"/>
  <c r="C206" i="39"/>
  <c r="C205" i="39"/>
  <c r="C204" i="39"/>
  <c r="C203" i="39"/>
  <c r="C202" i="39"/>
  <c r="C201" i="39"/>
  <c r="C200" i="39"/>
  <c r="C199" i="39"/>
  <c r="C198" i="39"/>
  <c r="C197" i="39"/>
  <c r="C196" i="39"/>
  <c r="C195" i="39"/>
  <c r="C194" i="39"/>
  <c r="C193" i="39"/>
  <c r="C192" i="39"/>
  <c r="C191" i="39"/>
  <c r="C190" i="39"/>
  <c r="C189" i="39"/>
  <c r="C188" i="39"/>
  <c r="C187" i="39"/>
  <c r="C186" i="39"/>
  <c r="C185" i="39"/>
  <c r="C184" i="39"/>
  <c r="C183" i="39"/>
  <c r="C182" i="39"/>
  <c r="C181" i="39"/>
  <c r="C180" i="39"/>
  <c r="C179" i="39"/>
  <c r="C178" i="39"/>
  <c r="C177" i="39"/>
  <c r="C176" i="39"/>
  <c r="C175" i="39"/>
  <c r="C174" i="39"/>
  <c r="C173" i="39"/>
  <c r="C172" i="39"/>
  <c r="C171" i="39"/>
  <c r="C170" i="39"/>
  <c r="C169" i="39"/>
  <c r="C168" i="39"/>
  <c r="C167" i="39"/>
  <c r="C166" i="39"/>
  <c r="C165" i="39"/>
  <c r="C164" i="39"/>
  <c r="C163" i="39"/>
  <c r="C162" i="39"/>
  <c r="C161" i="39"/>
  <c r="C160" i="39"/>
  <c r="C159" i="39"/>
  <c r="C158" i="39"/>
  <c r="C157" i="39"/>
  <c r="C156" i="39"/>
  <c r="C155" i="39"/>
  <c r="C154" i="39"/>
  <c r="C153" i="39"/>
  <c r="C152" i="39"/>
  <c r="C151" i="39"/>
  <c r="C150" i="39"/>
  <c r="C149" i="39"/>
  <c r="C148" i="39"/>
  <c r="C147" i="39"/>
  <c r="C146" i="39"/>
  <c r="C145" i="39"/>
  <c r="C144" i="39"/>
  <c r="B144" i="39"/>
  <c r="B145" i="39" s="1"/>
  <c r="B146" i="39" s="1"/>
  <c r="B147" i="39" s="1"/>
  <c r="B148" i="39" s="1"/>
  <c r="B149" i="39" s="1"/>
  <c r="B150" i="39" s="1"/>
  <c r="B151" i="39" s="1"/>
  <c r="B152" i="39" s="1"/>
  <c r="B153" i="39" s="1"/>
  <c r="B154" i="39" s="1"/>
  <c r="B155" i="39" s="1"/>
  <c r="B156" i="39" s="1"/>
  <c r="B157" i="39" s="1"/>
  <c r="B158" i="39" s="1"/>
  <c r="B159" i="39" s="1"/>
  <c r="B160" i="39" s="1"/>
  <c r="B161" i="39" s="1"/>
  <c r="B162" i="39" s="1"/>
  <c r="B163" i="39" s="1"/>
  <c r="B164" i="39" s="1"/>
  <c r="B165" i="39" s="1"/>
  <c r="B166" i="39" s="1"/>
  <c r="B167" i="39" s="1"/>
  <c r="B168" i="39" s="1"/>
  <c r="B169" i="39" s="1"/>
  <c r="B170" i="39" s="1"/>
  <c r="B171" i="39" s="1"/>
  <c r="B172" i="39" s="1"/>
  <c r="B173" i="39" s="1"/>
  <c r="B174" i="39" s="1"/>
  <c r="B175" i="39" s="1"/>
  <c r="B176" i="39" s="1"/>
  <c r="B177" i="39" s="1"/>
  <c r="B178" i="39" s="1"/>
  <c r="B179" i="39" s="1"/>
  <c r="B180" i="39" s="1"/>
  <c r="B181" i="39" s="1"/>
  <c r="B182" i="39" s="1"/>
  <c r="B183" i="39" s="1"/>
  <c r="B184" i="39" s="1"/>
  <c r="B185" i="39" s="1"/>
  <c r="B186" i="39" s="1"/>
  <c r="B187" i="39" s="1"/>
  <c r="B188" i="39" s="1"/>
  <c r="B189" i="39" s="1"/>
  <c r="B190" i="39" s="1"/>
  <c r="B191" i="39" s="1"/>
  <c r="B192" i="39" s="1"/>
  <c r="B193" i="39" s="1"/>
  <c r="B194" i="39" s="1"/>
  <c r="B195" i="39" s="1"/>
  <c r="B196" i="39" s="1"/>
  <c r="B197" i="39" s="1"/>
  <c r="B198" i="39" s="1"/>
  <c r="B199" i="39" s="1"/>
  <c r="B200" i="39" s="1"/>
  <c r="B201" i="39" s="1"/>
  <c r="B202" i="39" s="1"/>
  <c r="B203" i="39" s="1"/>
  <c r="B204" i="39" s="1"/>
  <c r="B205" i="39" s="1"/>
  <c r="B206" i="39" s="1"/>
  <c r="B207" i="39" s="1"/>
  <c r="B208" i="39" s="1"/>
  <c r="B209" i="39" s="1"/>
  <c r="B210" i="39" s="1"/>
  <c r="B211" i="39" s="1"/>
  <c r="B212" i="39" s="1"/>
  <c r="B213" i="39" s="1"/>
  <c r="B214" i="39" s="1"/>
  <c r="B215" i="39" s="1"/>
  <c r="B216" i="39" s="1"/>
  <c r="B217" i="39" s="1"/>
  <c r="B218" i="39" s="1"/>
  <c r="B219" i="39" s="1"/>
  <c r="B220" i="39" s="1"/>
  <c r="B221" i="39" s="1"/>
  <c r="B222" i="39" s="1"/>
  <c r="B223" i="39" s="1"/>
  <c r="C143" i="39"/>
  <c r="D140" i="39"/>
  <c r="C140" i="39"/>
  <c r="C138" i="39"/>
  <c r="C137" i="39"/>
  <c r="C136" i="39"/>
  <c r="C135" i="39"/>
  <c r="C125" i="39"/>
  <c r="D122" i="39"/>
  <c r="C122" i="39"/>
  <c r="C121" i="39"/>
  <c r="C120" i="39"/>
  <c r="C119" i="39"/>
  <c r="C118" i="39"/>
  <c r="C117" i="39"/>
  <c r="C116" i="39"/>
  <c r="C115" i="39"/>
  <c r="C114" i="39"/>
  <c r="C113" i="39"/>
  <c r="C112" i="39"/>
  <c r="D111" i="39"/>
  <c r="C111" i="39"/>
  <c r="D110" i="39"/>
  <c r="C110" i="39"/>
  <c r="D109" i="39"/>
  <c r="C109" i="39"/>
  <c r="D108" i="39"/>
  <c r="C108" i="39"/>
  <c r="C107" i="39"/>
  <c r="C106" i="39"/>
  <c r="C105" i="39"/>
  <c r="C104" i="39"/>
  <c r="D103" i="39"/>
  <c r="C103" i="39"/>
  <c r="C102" i="39"/>
  <c r="C101" i="39"/>
  <c r="C100" i="39"/>
  <c r="C99" i="39"/>
  <c r="C98" i="39"/>
  <c r="C97" i="39"/>
  <c r="C96" i="39"/>
  <c r="C93" i="39"/>
  <c r="D92" i="39"/>
  <c r="C92" i="39"/>
  <c r="C91" i="39"/>
  <c r="C90" i="39"/>
  <c r="D89" i="39"/>
  <c r="C89" i="39"/>
  <c r="C88" i="39"/>
  <c r="C87" i="39"/>
  <c r="D86" i="39"/>
  <c r="C86" i="39"/>
  <c r="C85" i="39"/>
  <c r="C82" i="39"/>
  <c r="C81" i="39"/>
  <c r="D80" i="39"/>
  <c r="C80" i="39"/>
  <c r="C79" i="39"/>
  <c r="C78" i="39"/>
  <c r="D78" i="39" s="1"/>
  <c r="D77" i="39"/>
  <c r="C77" i="39"/>
  <c r="C76" i="39"/>
  <c r="C75" i="39"/>
  <c r="D74" i="39"/>
  <c r="C74" i="39"/>
  <c r="C73" i="39"/>
  <c r="D72" i="39"/>
  <c r="C72" i="39"/>
  <c r="C71" i="39"/>
  <c r="D71" i="39" s="1"/>
  <c r="C70" i="39"/>
  <c r="C69" i="39"/>
  <c r="D68" i="39"/>
  <c r="C68" i="39"/>
  <c r="C67" i="39"/>
  <c r="C66" i="39"/>
  <c r="C65" i="39"/>
  <c r="C64" i="39"/>
  <c r="D63" i="39"/>
  <c r="C63" i="39"/>
  <c r="C62" i="39"/>
  <c r="C61" i="39"/>
  <c r="C60" i="39"/>
  <c r="C59" i="39"/>
  <c r="C58" i="39"/>
  <c r="C57" i="39"/>
  <c r="C56" i="39"/>
  <c r="C55" i="39"/>
  <c r="C54" i="39"/>
  <c r="C53" i="39"/>
  <c r="C52" i="39"/>
  <c r="C51" i="39"/>
  <c r="C50" i="39"/>
  <c r="C49" i="39"/>
  <c r="D48" i="39"/>
  <c r="C48" i="39"/>
  <c r="D47" i="39"/>
  <c r="C47" i="39"/>
  <c r="C46" i="39"/>
  <c r="C45" i="39"/>
  <c r="D44" i="39"/>
  <c r="C44" i="39"/>
  <c r="D43" i="39"/>
  <c r="C43" i="39"/>
  <c r="D42" i="39"/>
  <c r="C42" i="39"/>
  <c r="C41" i="39"/>
  <c r="C38" i="39"/>
  <c r="C37" i="39"/>
  <c r="C36" i="39"/>
  <c r="C35" i="39"/>
  <c r="C34" i="39"/>
  <c r="C33" i="39"/>
  <c r="C32" i="39"/>
  <c r="D31" i="39"/>
  <c r="C31" i="39"/>
  <c r="D30" i="39"/>
  <c r="C30" i="39"/>
  <c r="D29" i="39"/>
  <c r="C29" i="39"/>
  <c r="D28" i="39"/>
  <c r="C28" i="39"/>
  <c r="C23" i="39"/>
  <c r="C22" i="39"/>
  <c r="C21" i="39"/>
  <c r="C20" i="39"/>
  <c r="C19" i="39"/>
  <c r="C17" i="39" s="1"/>
  <c r="C18" i="39"/>
  <c r="C13" i="39"/>
  <c r="B13" i="39"/>
  <c r="C12" i="39"/>
  <c r="B12" i="39"/>
  <c r="C11" i="39"/>
  <c r="B11" i="39"/>
  <c r="C10" i="39"/>
  <c r="B10" i="39"/>
  <c r="C9" i="39"/>
  <c r="B9" i="39"/>
  <c r="C8" i="39"/>
  <c r="B8" i="39"/>
  <c r="C7" i="39"/>
  <c r="B7" i="39"/>
  <c r="C6" i="39"/>
  <c r="B6" i="39"/>
  <c r="C5" i="39"/>
  <c r="B5" i="39"/>
  <c r="C4" i="39"/>
  <c r="B4" i="39"/>
  <c r="C223" i="38" l="1"/>
  <c r="C222" i="38"/>
  <c r="C221" i="38"/>
  <c r="C220" i="38"/>
  <c r="C219" i="38"/>
  <c r="C218" i="38"/>
  <c r="C217" i="38"/>
  <c r="C216" i="38"/>
  <c r="C215" i="38"/>
  <c r="C214" i="38"/>
  <c r="C213" i="38"/>
  <c r="C212" i="38"/>
  <c r="C211" i="38"/>
  <c r="C210" i="38"/>
  <c r="C209" i="38"/>
  <c r="C208" i="38"/>
  <c r="C207" i="38"/>
  <c r="C206" i="38"/>
  <c r="C205" i="38"/>
  <c r="C204" i="38"/>
  <c r="C203" i="38"/>
  <c r="C202" i="38"/>
  <c r="C201" i="38"/>
  <c r="C200" i="38"/>
  <c r="C199" i="38"/>
  <c r="C198" i="38"/>
  <c r="C197" i="38"/>
  <c r="C196" i="38"/>
  <c r="C195" i="38"/>
  <c r="C194" i="38"/>
  <c r="C193" i="38"/>
  <c r="C192" i="38"/>
  <c r="C191" i="38"/>
  <c r="C190" i="38"/>
  <c r="C189" i="38"/>
  <c r="C188" i="38"/>
  <c r="C187" i="38"/>
  <c r="C186" i="38"/>
  <c r="C185" i="38"/>
  <c r="C184" i="38"/>
  <c r="C183" i="38"/>
  <c r="C182" i="38"/>
  <c r="C181" i="38"/>
  <c r="C180" i="38"/>
  <c r="C179" i="38"/>
  <c r="C178" i="38"/>
  <c r="C177" i="38"/>
  <c r="C176" i="38"/>
  <c r="C175" i="38"/>
  <c r="C174" i="38"/>
  <c r="C173" i="38"/>
  <c r="C172" i="38"/>
  <c r="C171" i="38"/>
  <c r="C170" i="38"/>
  <c r="C169" i="38"/>
  <c r="C168" i="38"/>
  <c r="C167" i="38"/>
  <c r="C166" i="38"/>
  <c r="C165" i="38"/>
  <c r="C164" i="38"/>
  <c r="C163" i="38"/>
  <c r="C162" i="38"/>
  <c r="C161" i="38"/>
  <c r="C160" i="38"/>
  <c r="C159" i="38"/>
  <c r="C158" i="38"/>
  <c r="C157" i="38"/>
  <c r="C156" i="38"/>
  <c r="C155" i="38"/>
  <c r="C154" i="38"/>
  <c r="C153" i="38"/>
  <c r="C152" i="38"/>
  <c r="C151" i="38"/>
  <c r="C150" i="38"/>
  <c r="C149" i="38"/>
  <c r="C148" i="38"/>
  <c r="C147" i="38"/>
  <c r="C146" i="38"/>
  <c r="C145" i="38"/>
  <c r="C144" i="38"/>
  <c r="B144" i="38"/>
  <c r="B145" i="38" s="1"/>
  <c r="B146" i="38" s="1"/>
  <c r="B147" i="38" s="1"/>
  <c r="B148" i="38" s="1"/>
  <c r="B149" i="38" s="1"/>
  <c r="B150" i="38" s="1"/>
  <c r="B151" i="38" s="1"/>
  <c r="B152" i="38" s="1"/>
  <c r="B153" i="38" s="1"/>
  <c r="B154" i="38" s="1"/>
  <c r="B155" i="38" s="1"/>
  <c r="B156" i="38" s="1"/>
  <c r="B157" i="38" s="1"/>
  <c r="B158" i="38" s="1"/>
  <c r="B159" i="38" s="1"/>
  <c r="B160" i="38" s="1"/>
  <c r="B161" i="38" s="1"/>
  <c r="B162" i="38" s="1"/>
  <c r="B163" i="38" s="1"/>
  <c r="B164" i="38" s="1"/>
  <c r="B165" i="38" s="1"/>
  <c r="B166" i="38" s="1"/>
  <c r="B167" i="38" s="1"/>
  <c r="B168" i="38" s="1"/>
  <c r="B169" i="38" s="1"/>
  <c r="B170" i="38" s="1"/>
  <c r="B171" i="38" s="1"/>
  <c r="B172" i="38" s="1"/>
  <c r="B173" i="38" s="1"/>
  <c r="B174" i="38" s="1"/>
  <c r="B175" i="38" s="1"/>
  <c r="B176" i="38" s="1"/>
  <c r="B177" i="38" s="1"/>
  <c r="B178" i="38" s="1"/>
  <c r="B179" i="38" s="1"/>
  <c r="B180" i="38" s="1"/>
  <c r="B181" i="38" s="1"/>
  <c r="B182" i="38" s="1"/>
  <c r="B183" i="38" s="1"/>
  <c r="B184" i="38" s="1"/>
  <c r="B185" i="38" s="1"/>
  <c r="B186" i="38" s="1"/>
  <c r="B187" i="38" s="1"/>
  <c r="B188" i="38" s="1"/>
  <c r="B189" i="38" s="1"/>
  <c r="B190" i="38" s="1"/>
  <c r="B191" i="38" s="1"/>
  <c r="B192" i="38" s="1"/>
  <c r="B193" i="38" s="1"/>
  <c r="B194" i="38" s="1"/>
  <c r="B195" i="38" s="1"/>
  <c r="B196" i="38" s="1"/>
  <c r="B197" i="38" s="1"/>
  <c r="B198" i="38" s="1"/>
  <c r="B199" i="38" s="1"/>
  <c r="B200" i="38" s="1"/>
  <c r="B201" i="38" s="1"/>
  <c r="B202" i="38" s="1"/>
  <c r="B203" i="38" s="1"/>
  <c r="B204" i="38" s="1"/>
  <c r="B205" i="38" s="1"/>
  <c r="B206" i="38" s="1"/>
  <c r="B207" i="38" s="1"/>
  <c r="B208" i="38" s="1"/>
  <c r="B209" i="38" s="1"/>
  <c r="B210" i="38" s="1"/>
  <c r="B211" i="38" s="1"/>
  <c r="B212" i="38" s="1"/>
  <c r="B213" i="38" s="1"/>
  <c r="B214" i="38" s="1"/>
  <c r="B215" i="38" s="1"/>
  <c r="B216" i="38" s="1"/>
  <c r="B217" i="38" s="1"/>
  <c r="B218" i="38" s="1"/>
  <c r="B219" i="38" s="1"/>
  <c r="B220" i="38" s="1"/>
  <c r="B221" i="38" s="1"/>
  <c r="B222" i="38" s="1"/>
  <c r="B223" i="38" s="1"/>
  <c r="C143" i="38"/>
  <c r="C140" i="38"/>
  <c r="C138" i="38"/>
  <c r="C137" i="38"/>
  <c r="C136" i="38"/>
  <c r="C135" i="38"/>
  <c r="C125" i="38"/>
  <c r="C122" i="38"/>
  <c r="C121" i="38"/>
  <c r="C120" i="38"/>
  <c r="C119" i="38"/>
  <c r="C118" i="38"/>
  <c r="C117" i="38"/>
  <c r="C116" i="38"/>
  <c r="C115" i="38"/>
  <c r="C114" i="38"/>
  <c r="C113" i="38"/>
  <c r="C112" i="38"/>
  <c r="C111" i="38"/>
  <c r="C110" i="38"/>
  <c r="C109" i="38"/>
  <c r="C108" i="38"/>
  <c r="C107" i="38"/>
  <c r="C106" i="38"/>
  <c r="C105" i="38"/>
  <c r="C104" i="38"/>
  <c r="C103" i="38"/>
  <c r="C102" i="38"/>
  <c r="C101" i="38"/>
  <c r="C100" i="38"/>
  <c r="C99" i="38"/>
  <c r="C98" i="38"/>
  <c r="C97" i="38"/>
  <c r="C96" i="38"/>
  <c r="C93" i="38"/>
  <c r="C92" i="38"/>
  <c r="C91" i="38"/>
  <c r="C90" i="38"/>
  <c r="C89" i="38"/>
  <c r="C88" i="38"/>
  <c r="C87" i="38"/>
  <c r="C86" i="38"/>
  <c r="C85" i="38"/>
  <c r="C82" i="38"/>
  <c r="C81" i="38"/>
  <c r="C80" i="38"/>
  <c r="C79" i="38"/>
  <c r="C78" i="38"/>
  <c r="C77" i="38"/>
  <c r="C76" i="38"/>
  <c r="C75" i="38"/>
  <c r="C74" i="38"/>
  <c r="C73" i="38"/>
  <c r="C72" i="38"/>
  <c r="C71" i="38"/>
  <c r="C70" i="38"/>
  <c r="C69" i="38"/>
  <c r="C68" i="38"/>
  <c r="C67" i="38"/>
  <c r="C66" i="38"/>
  <c r="C65" i="38"/>
  <c r="C64" i="38"/>
  <c r="C63" i="38"/>
  <c r="C62" i="38"/>
  <c r="C61" i="38"/>
  <c r="C60" i="38"/>
  <c r="C59" i="38"/>
  <c r="C58" i="38"/>
  <c r="C57" i="38"/>
  <c r="C56" i="38"/>
  <c r="C55" i="38"/>
  <c r="C54" i="38"/>
  <c r="C53" i="38"/>
  <c r="C52" i="38"/>
  <c r="C51" i="38"/>
  <c r="C50" i="38"/>
  <c r="C49" i="38"/>
  <c r="C48" i="38"/>
  <c r="C47" i="38"/>
  <c r="C46" i="38"/>
  <c r="C45" i="38"/>
  <c r="C44" i="38"/>
  <c r="C43" i="38"/>
  <c r="C42" i="38"/>
  <c r="C41" i="38"/>
  <c r="C38" i="38"/>
  <c r="C37" i="38"/>
  <c r="C36" i="38"/>
  <c r="C35" i="38"/>
  <c r="C34" i="38"/>
  <c r="C33" i="38"/>
  <c r="C32" i="38"/>
  <c r="C31" i="38"/>
  <c r="C30" i="38"/>
  <c r="C29" i="38"/>
  <c r="C28" i="38"/>
  <c r="C23" i="38"/>
  <c r="C22" i="38"/>
  <c r="C21" i="38"/>
  <c r="C20" i="38"/>
  <c r="C19" i="38"/>
  <c r="C18" i="38"/>
  <c r="C13" i="38"/>
  <c r="B13" i="38"/>
  <c r="C12" i="38"/>
  <c r="B12" i="38"/>
  <c r="C11" i="38"/>
  <c r="B11" i="38"/>
  <c r="C10" i="38"/>
  <c r="B10" i="38"/>
  <c r="C9" i="38"/>
  <c r="B9" i="38"/>
  <c r="C8" i="38"/>
  <c r="B8" i="38"/>
  <c r="C7" i="38"/>
  <c r="B7" i="38"/>
  <c r="C6" i="38"/>
  <c r="B6" i="38"/>
  <c r="C5" i="38"/>
  <c r="B5" i="38"/>
  <c r="C4" i="38"/>
  <c r="B4" i="38"/>
  <c r="C17" i="38" l="1"/>
  <c r="C223" i="37" l="1"/>
  <c r="C222" i="37"/>
  <c r="C221" i="37"/>
  <c r="C220" i="37"/>
  <c r="C219" i="37"/>
  <c r="C218" i="37"/>
  <c r="C217" i="37"/>
  <c r="C216" i="37"/>
  <c r="C215" i="37"/>
  <c r="C214" i="37"/>
  <c r="C213" i="37"/>
  <c r="C212" i="37"/>
  <c r="C211" i="37"/>
  <c r="C210" i="37"/>
  <c r="C209" i="37"/>
  <c r="C208" i="37"/>
  <c r="C207" i="37"/>
  <c r="C206" i="37"/>
  <c r="C205" i="37"/>
  <c r="C204" i="37"/>
  <c r="C203" i="37"/>
  <c r="C202" i="37"/>
  <c r="C201" i="37"/>
  <c r="C200" i="37"/>
  <c r="C199" i="37"/>
  <c r="C198" i="37"/>
  <c r="C197" i="37"/>
  <c r="C196" i="37"/>
  <c r="C195" i="37"/>
  <c r="C194" i="37"/>
  <c r="C193" i="37"/>
  <c r="C192" i="37"/>
  <c r="C191" i="37"/>
  <c r="C190" i="37"/>
  <c r="C189" i="37"/>
  <c r="C188" i="37"/>
  <c r="C187" i="37"/>
  <c r="C186" i="37"/>
  <c r="C185" i="37"/>
  <c r="C184" i="37"/>
  <c r="C183" i="37"/>
  <c r="C182" i="37"/>
  <c r="C181" i="37"/>
  <c r="C180" i="37"/>
  <c r="C179" i="37"/>
  <c r="C178" i="37"/>
  <c r="C177" i="37"/>
  <c r="C176" i="37"/>
  <c r="C175" i="37"/>
  <c r="C174" i="37"/>
  <c r="C173" i="37"/>
  <c r="C172" i="37"/>
  <c r="C171" i="37"/>
  <c r="C170" i="37"/>
  <c r="C169" i="37"/>
  <c r="C168" i="37"/>
  <c r="C167" i="37"/>
  <c r="C166" i="37"/>
  <c r="C165" i="37"/>
  <c r="C164" i="37"/>
  <c r="C163" i="37"/>
  <c r="C162" i="37"/>
  <c r="C161" i="37"/>
  <c r="C160" i="37"/>
  <c r="C159" i="37"/>
  <c r="C158" i="37"/>
  <c r="C157" i="37"/>
  <c r="C156" i="37"/>
  <c r="C155" i="37"/>
  <c r="C154" i="37"/>
  <c r="C153" i="37"/>
  <c r="C152" i="37"/>
  <c r="C151" i="37"/>
  <c r="C150" i="37"/>
  <c r="C149" i="37"/>
  <c r="C148" i="37"/>
  <c r="C147" i="37"/>
  <c r="C146" i="37"/>
  <c r="C145" i="37"/>
  <c r="C144" i="37"/>
  <c r="B144" i="37"/>
  <c r="B145" i="37" s="1"/>
  <c r="B146" i="37" s="1"/>
  <c r="B147" i="37" s="1"/>
  <c r="B148" i="37" s="1"/>
  <c r="B149" i="37" s="1"/>
  <c r="B150" i="37" s="1"/>
  <c r="B151" i="37" s="1"/>
  <c r="B152" i="37" s="1"/>
  <c r="B153" i="37" s="1"/>
  <c r="B154" i="37" s="1"/>
  <c r="B155" i="37" s="1"/>
  <c r="B156" i="37" s="1"/>
  <c r="B157" i="37" s="1"/>
  <c r="B158" i="37" s="1"/>
  <c r="B159" i="37" s="1"/>
  <c r="B160" i="37" s="1"/>
  <c r="B161" i="37" s="1"/>
  <c r="B162" i="37" s="1"/>
  <c r="B163" i="37" s="1"/>
  <c r="B164" i="37" s="1"/>
  <c r="B165" i="37" s="1"/>
  <c r="B166" i="37" s="1"/>
  <c r="B167" i="37" s="1"/>
  <c r="B168" i="37" s="1"/>
  <c r="B169" i="37" s="1"/>
  <c r="B170" i="37" s="1"/>
  <c r="B171" i="37" s="1"/>
  <c r="B172" i="37" s="1"/>
  <c r="B173" i="37" s="1"/>
  <c r="B174" i="37" s="1"/>
  <c r="B175" i="37" s="1"/>
  <c r="B176" i="37" s="1"/>
  <c r="B177" i="37" s="1"/>
  <c r="B178" i="37" s="1"/>
  <c r="B179" i="37" s="1"/>
  <c r="B180" i="37" s="1"/>
  <c r="B181" i="37" s="1"/>
  <c r="B182" i="37" s="1"/>
  <c r="B183" i="37" s="1"/>
  <c r="B184" i="37" s="1"/>
  <c r="B185" i="37" s="1"/>
  <c r="B186" i="37" s="1"/>
  <c r="B187" i="37" s="1"/>
  <c r="B188" i="37" s="1"/>
  <c r="B189" i="37" s="1"/>
  <c r="B190" i="37" s="1"/>
  <c r="B191" i="37" s="1"/>
  <c r="B192" i="37" s="1"/>
  <c r="B193" i="37" s="1"/>
  <c r="B194" i="37" s="1"/>
  <c r="B195" i="37" s="1"/>
  <c r="B196" i="37" s="1"/>
  <c r="B197" i="37" s="1"/>
  <c r="B198" i="37" s="1"/>
  <c r="B199" i="37" s="1"/>
  <c r="B200" i="37" s="1"/>
  <c r="B201" i="37" s="1"/>
  <c r="B202" i="37" s="1"/>
  <c r="B203" i="37" s="1"/>
  <c r="B204" i="37" s="1"/>
  <c r="B205" i="37" s="1"/>
  <c r="B206" i="37" s="1"/>
  <c r="B207" i="37" s="1"/>
  <c r="B208" i="37" s="1"/>
  <c r="B209" i="37" s="1"/>
  <c r="B210" i="37" s="1"/>
  <c r="B211" i="37" s="1"/>
  <c r="B212" i="37" s="1"/>
  <c r="B213" i="37" s="1"/>
  <c r="B214" i="37" s="1"/>
  <c r="B215" i="37" s="1"/>
  <c r="B216" i="37" s="1"/>
  <c r="B217" i="37" s="1"/>
  <c r="B218" i="37" s="1"/>
  <c r="B219" i="37" s="1"/>
  <c r="B220" i="37" s="1"/>
  <c r="B221" i="37" s="1"/>
  <c r="B222" i="37" s="1"/>
  <c r="B223" i="37" s="1"/>
  <c r="C143" i="37"/>
  <c r="D140" i="37"/>
  <c r="C140" i="37"/>
  <c r="C138" i="37"/>
  <c r="C137" i="37"/>
  <c r="C136" i="37"/>
  <c r="C135" i="37"/>
  <c r="C125" i="37"/>
  <c r="D122" i="37"/>
  <c r="C122" i="37"/>
  <c r="C121" i="37"/>
  <c r="C120" i="37"/>
  <c r="C119" i="37"/>
  <c r="C118" i="37"/>
  <c r="C117" i="37"/>
  <c r="C116" i="37"/>
  <c r="C115" i="37"/>
  <c r="C114" i="37"/>
  <c r="C113" i="37"/>
  <c r="C112" i="37"/>
  <c r="D111" i="37"/>
  <c r="C111" i="37"/>
  <c r="D110" i="37"/>
  <c r="C110" i="37"/>
  <c r="D109" i="37"/>
  <c r="C109" i="37"/>
  <c r="D108" i="37"/>
  <c r="C108" i="37"/>
  <c r="C107" i="37"/>
  <c r="C106" i="37"/>
  <c r="C105" i="37"/>
  <c r="C104" i="37"/>
  <c r="D103" i="37"/>
  <c r="C103" i="37"/>
  <c r="C102" i="37"/>
  <c r="C101" i="37"/>
  <c r="C100" i="37"/>
  <c r="C99" i="37"/>
  <c r="C98" i="37"/>
  <c r="C97" i="37"/>
  <c r="C96" i="37"/>
  <c r="C93" i="37"/>
  <c r="D92" i="37"/>
  <c r="C92" i="37"/>
  <c r="C91" i="37"/>
  <c r="C90" i="37"/>
  <c r="D89" i="37"/>
  <c r="C89" i="37"/>
  <c r="C88" i="37"/>
  <c r="C87" i="37"/>
  <c r="D86" i="37"/>
  <c r="C86" i="37"/>
  <c r="C85" i="37"/>
  <c r="C82" i="37"/>
  <c r="C81" i="37"/>
  <c r="D80" i="37"/>
  <c r="C80" i="37"/>
  <c r="C79" i="37"/>
  <c r="C78" i="37"/>
  <c r="D78" i="37" s="1"/>
  <c r="C77" i="37"/>
  <c r="D77" i="37" s="1"/>
  <c r="C76" i="37"/>
  <c r="C75" i="37"/>
  <c r="D74" i="37"/>
  <c r="C74" i="37"/>
  <c r="C73" i="37"/>
  <c r="D72" i="37"/>
  <c r="C72" i="37"/>
  <c r="C71" i="37"/>
  <c r="D71" i="37" s="1"/>
  <c r="C70" i="37"/>
  <c r="C69" i="37"/>
  <c r="D68" i="37"/>
  <c r="C68" i="37"/>
  <c r="C67" i="37"/>
  <c r="C66" i="37"/>
  <c r="C65" i="37"/>
  <c r="C64" i="37"/>
  <c r="D63" i="37"/>
  <c r="C63" i="37"/>
  <c r="C62" i="37"/>
  <c r="C61" i="37"/>
  <c r="C60" i="37"/>
  <c r="C59" i="37"/>
  <c r="C58" i="37"/>
  <c r="C57" i="37"/>
  <c r="C56" i="37"/>
  <c r="C55" i="37"/>
  <c r="C54" i="37"/>
  <c r="C53" i="37"/>
  <c r="C52" i="37"/>
  <c r="C51" i="37"/>
  <c r="C50" i="37"/>
  <c r="C49" i="37"/>
  <c r="D48" i="37"/>
  <c r="C48" i="37"/>
  <c r="D47" i="37"/>
  <c r="C47" i="37"/>
  <c r="C46" i="37"/>
  <c r="C45" i="37"/>
  <c r="D44" i="37"/>
  <c r="C44" i="37"/>
  <c r="D43" i="37"/>
  <c r="C43" i="37"/>
  <c r="D42" i="37"/>
  <c r="C42" i="37"/>
  <c r="C41" i="37"/>
  <c r="C38" i="37"/>
  <c r="C37" i="37"/>
  <c r="C36" i="37"/>
  <c r="C35" i="37"/>
  <c r="C34" i="37"/>
  <c r="C33" i="37"/>
  <c r="C32" i="37"/>
  <c r="D31" i="37"/>
  <c r="C31" i="37"/>
  <c r="D30" i="37"/>
  <c r="C30" i="37"/>
  <c r="D29" i="37"/>
  <c r="C29" i="37"/>
  <c r="D28" i="37"/>
  <c r="C28" i="37"/>
  <c r="C23" i="37"/>
  <c r="C22" i="37"/>
  <c r="C21" i="37"/>
  <c r="C20" i="37"/>
  <c r="C19" i="37"/>
  <c r="C18" i="37"/>
  <c r="C13" i="37"/>
  <c r="B13" i="37"/>
  <c r="C12" i="37"/>
  <c r="B12" i="37"/>
  <c r="C11" i="37"/>
  <c r="B11" i="37"/>
  <c r="C10" i="37"/>
  <c r="B10" i="37"/>
  <c r="C9" i="37"/>
  <c r="B9" i="37"/>
  <c r="C8" i="37"/>
  <c r="B8" i="37"/>
  <c r="C7" i="37"/>
  <c r="B7" i="37"/>
  <c r="C6" i="37"/>
  <c r="B6" i="37"/>
  <c r="C5" i="37"/>
  <c r="B5" i="37"/>
  <c r="C4" i="37"/>
  <c r="B4" i="37"/>
  <c r="C17" i="37" l="1"/>
  <c r="C223" i="36"/>
  <c r="C222" i="36"/>
  <c r="C221" i="36"/>
  <c r="C220" i="36"/>
  <c r="C219" i="36"/>
  <c r="C218" i="36"/>
  <c r="C217" i="36"/>
  <c r="C216" i="36"/>
  <c r="C215" i="36"/>
  <c r="C214" i="36"/>
  <c r="C213" i="36"/>
  <c r="C212" i="36"/>
  <c r="C211" i="36"/>
  <c r="C210" i="36"/>
  <c r="C209" i="36"/>
  <c r="C208" i="36"/>
  <c r="C207" i="36"/>
  <c r="C206" i="36"/>
  <c r="C205" i="36"/>
  <c r="C204" i="36"/>
  <c r="C203" i="36"/>
  <c r="C202" i="36"/>
  <c r="C201" i="36"/>
  <c r="C200" i="36"/>
  <c r="C199" i="36"/>
  <c r="C198" i="36"/>
  <c r="C197" i="36"/>
  <c r="C196" i="36"/>
  <c r="C195" i="36"/>
  <c r="C194" i="36"/>
  <c r="C193" i="36"/>
  <c r="C192" i="36"/>
  <c r="C191" i="36"/>
  <c r="C190" i="36"/>
  <c r="C189" i="36"/>
  <c r="C188" i="36"/>
  <c r="C187" i="36"/>
  <c r="C186" i="36"/>
  <c r="C185" i="36"/>
  <c r="C184" i="36"/>
  <c r="C183" i="36"/>
  <c r="C182" i="36"/>
  <c r="C181" i="36"/>
  <c r="C180" i="36"/>
  <c r="C179" i="36"/>
  <c r="C178" i="36"/>
  <c r="C177" i="36"/>
  <c r="C176" i="36"/>
  <c r="C175" i="36"/>
  <c r="C174" i="36"/>
  <c r="C173" i="36"/>
  <c r="C172" i="36"/>
  <c r="C171" i="36"/>
  <c r="C170" i="36"/>
  <c r="C169" i="36"/>
  <c r="C168" i="36"/>
  <c r="C167" i="36"/>
  <c r="C166" i="36"/>
  <c r="C165" i="36"/>
  <c r="C164" i="36"/>
  <c r="C163" i="36"/>
  <c r="C162" i="36"/>
  <c r="C161" i="36"/>
  <c r="C160" i="36"/>
  <c r="C159" i="36"/>
  <c r="C158" i="36"/>
  <c r="C157" i="36"/>
  <c r="C156" i="36"/>
  <c r="C155" i="36"/>
  <c r="C154" i="36"/>
  <c r="C153" i="36"/>
  <c r="C152" i="36"/>
  <c r="C151" i="36"/>
  <c r="C150" i="36"/>
  <c r="C149" i="36"/>
  <c r="C148" i="36"/>
  <c r="C147" i="36"/>
  <c r="C146" i="36"/>
  <c r="C145" i="36"/>
  <c r="C144" i="36"/>
  <c r="B144" i="36"/>
  <c r="B145" i="36" s="1"/>
  <c r="B146" i="36" s="1"/>
  <c r="B147" i="36" s="1"/>
  <c r="B148" i="36" s="1"/>
  <c r="B149" i="36" s="1"/>
  <c r="B150" i="36" s="1"/>
  <c r="B151" i="36" s="1"/>
  <c r="B152" i="36" s="1"/>
  <c r="B153" i="36" s="1"/>
  <c r="B154" i="36" s="1"/>
  <c r="B155" i="36" s="1"/>
  <c r="B156" i="36" s="1"/>
  <c r="B157" i="36" s="1"/>
  <c r="B158" i="36" s="1"/>
  <c r="B159" i="36" s="1"/>
  <c r="B160" i="36" s="1"/>
  <c r="B161" i="36" s="1"/>
  <c r="B162" i="36" s="1"/>
  <c r="B163" i="36" s="1"/>
  <c r="B164" i="36" s="1"/>
  <c r="B165" i="36" s="1"/>
  <c r="B166" i="36" s="1"/>
  <c r="B167" i="36" s="1"/>
  <c r="B168" i="36" s="1"/>
  <c r="B169" i="36" s="1"/>
  <c r="B170" i="36" s="1"/>
  <c r="B171" i="36" s="1"/>
  <c r="B172" i="36" s="1"/>
  <c r="B173" i="36" s="1"/>
  <c r="B174" i="36" s="1"/>
  <c r="B175" i="36" s="1"/>
  <c r="B176" i="36" s="1"/>
  <c r="B177" i="36" s="1"/>
  <c r="B178" i="36" s="1"/>
  <c r="B179" i="36" s="1"/>
  <c r="B180" i="36" s="1"/>
  <c r="B181" i="36" s="1"/>
  <c r="B182" i="36" s="1"/>
  <c r="B183" i="36" s="1"/>
  <c r="B184" i="36" s="1"/>
  <c r="B185" i="36" s="1"/>
  <c r="B186" i="36" s="1"/>
  <c r="B187" i="36" s="1"/>
  <c r="B188" i="36" s="1"/>
  <c r="B189" i="36" s="1"/>
  <c r="B190" i="36" s="1"/>
  <c r="B191" i="36" s="1"/>
  <c r="B192" i="36" s="1"/>
  <c r="B193" i="36" s="1"/>
  <c r="B194" i="36" s="1"/>
  <c r="B195" i="36" s="1"/>
  <c r="B196" i="36" s="1"/>
  <c r="B197" i="36" s="1"/>
  <c r="B198" i="36" s="1"/>
  <c r="B199" i="36" s="1"/>
  <c r="B200" i="36" s="1"/>
  <c r="B201" i="36" s="1"/>
  <c r="B202" i="36" s="1"/>
  <c r="B203" i="36" s="1"/>
  <c r="B204" i="36" s="1"/>
  <c r="B205" i="36" s="1"/>
  <c r="B206" i="36" s="1"/>
  <c r="B207" i="36" s="1"/>
  <c r="B208" i="36" s="1"/>
  <c r="B209" i="36" s="1"/>
  <c r="B210" i="36" s="1"/>
  <c r="B211" i="36" s="1"/>
  <c r="B212" i="36" s="1"/>
  <c r="B213" i="36" s="1"/>
  <c r="B214" i="36" s="1"/>
  <c r="B215" i="36" s="1"/>
  <c r="B216" i="36" s="1"/>
  <c r="B217" i="36" s="1"/>
  <c r="B218" i="36" s="1"/>
  <c r="B219" i="36" s="1"/>
  <c r="B220" i="36" s="1"/>
  <c r="B221" i="36" s="1"/>
  <c r="B222" i="36" s="1"/>
  <c r="B223" i="36" s="1"/>
  <c r="C143" i="36"/>
  <c r="C140" i="36"/>
  <c r="C138" i="36"/>
  <c r="C137" i="36"/>
  <c r="C136" i="36"/>
  <c r="C135" i="36"/>
  <c r="C125" i="36"/>
  <c r="C122" i="36"/>
  <c r="C121" i="36"/>
  <c r="C120" i="36"/>
  <c r="C119" i="36"/>
  <c r="C118" i="36"/>
  <c r="C117" i="36"/>
  <c r="C116" i="36"/>
  <c r="C115" i="36"/>
  <c r="C114" i="36"/>
  <c r="C113" i="36"/>
  <c r="C112" i="36"/>
  <c r="C111" i="36"/>
  <c r="C110" i="36"/>
  <c r="C109" i="36"/>
  <c r="C108" i="36"/>
  <c r="C107" i="36"/>
  <c r="C106" i="36"/>
  <c r="C105" i="36"/>
  <c r="C104" i="36"/>
  <c r="C103" i="36"/>
  <c r="C102" i="36"/>
  <c r="C101" i="36"/>
  <c r="C100" i="36"/>
  <c r="C99" i="36"/>
  <c r="C98" i="36"/>
  <c r="C97" i="36"/>
  <c r="C96" i="36"/>
  <c r="C93" i="36"/>
  <c r="C92" i="36"/>
  <c r="C91" i="36"/>
  <c r="C90" i="36"/>
  <c r="C89" i="36"/>
  <c r="C88" i="36"/>
  <c r="C87" i="36"/>
  <c r="C86" i="36"/>
  <c r="C85" i="36"/>
  <c r="C82" i="36"/>
  <c r="C81" i="36"/>
  <c r="C80" i="36"/>
  <c r="C79" i="36"/>
  <c r="C78" i="36"/>
  <c r="C77" i="36"/>
  <c r="C76" i="36"/>
  <c r="C75" i="36"/>
  <c r="C74" i="36"/>
  <c r="C73" i="36"/>
  <c r="C72" i="36"/>
  <c r="C71" i="36"/>
  <c r="C70" i="36"/>
  <c r="C69" i="36"/>
  <c r="C68" i="36"/>
  <c r="C67" i="36"/>
  <c r="C66" i="36"/>
  <c r="C65" i="36"/>
  <c r="C64" i="36"/>
  <c r="C63" i="36"/>
  <c r="C62" i="36"/>
  <c r="C61" i="36"/>
  <c r="C60" i="36"/>
  <c r="C59" i="36"/>
  <c r="C58" i="36"/>
  <c r="C57" i="36"/>
  <c r="C56" i="36"/>
  <c r="C55" i="36"/>
  <c r="C54" i="36"/>
  <c r="C53" i="36"/>
  <c r="C52" i="36"/>
  <c r="C51" i="36"/>
  <c r="C50" i="36"/>
  <c r="C49" i="36"/>
  <c r="C48" i="36"/>
  <c r="C47" i="36"/>
  <c r="C46" i="36"/>
  <c r="C45" i="36"/>
  <c r="C44" i="36"/>
  <c r="C43" i="36"/>
  <c r="C42" i="36"/>
  <c r="C41" i="36"/>
  <c r="C38" i="36"/>
  <c r="C37" i="36"/>
  <c r="C36" i="36"/>
  <c r="C35" i="36"/>
  <c r="C34" i="36"/>
  <c r="C33" i="36"/>
  <c r="C32" i="36"/>
  <c r="C31" i="36"/>
  <c r="C30" i="36"/>
  <c r="C29" i="36"/>
  <c r="C28" i="36"/>
  <c r="C23" i="36"/>
  <c r="C22" i="36"/>
  <c r="C21" i="36"/>
  <c r="C20" i="36"/>
  <c r="C19" i="36"/>
  <c r="C17" i="36" s="1"/>
  <c r="C18" i="36"/>
  <c r="C13" i="36"/>
  <c r="B13" i="36"/>
  <c r="C12" i="36"/>
  <c r="B12" i="36"/>
  <c r="C11" i="36"/>
  <c r="B11" i="36"/>
  <c r="C10" i="36"/>
  <c r="B10" i="36"/>
  <c r="C9" i="36"/>
  <c r="B9" i="36"/>
  <c r="C8" i="36"/>
  <c r="B8" i="36"/>
  <c r="C7" i="36"/>
  <c r="B7" i="36"/>
  <c r="C6" i="36"/>
  <c r="B6" i="36"/>
  <c r="C5" i="36"/>
  <c r="B5" i="36"/>
  <c r="C4" i="36"/>
  <c r="B4" i="36"/>
  <c r="C223" i="35" l="1"/>
  <c r="C222" i="35"/>
  <c r="C221" i="35"/>
  <c r="C220" i="35"/>
  <c r="C219" i="35"/>
  <c r="C218" i="35"/>
  <c r="C217" i="35"/>
  <c r="C216" i="35"/>
  <c r="C215" i="35"/>
  <c r="C214" i="35"/>
  <c r="C213" i="35"/>
  <c r="C212" i="35"/>
  <c r="C211" i="35"/>
  <c r="C210" i="35"/>
  <c r="C209" i="35"/>
  <c r="C208" i="35"/>
  <c r="C207" i="35"/>
  <c r="C206" i="35"/>
  <c r="C205" i="35"/>
  <c r="C204" i="35"/>
  <c r="C203" i="35"/>
  <c r="C202" i="35"/>
  <c r="C201" i="35"/>
  <c r="C200" i="35"/>
  <c r="C199" i="35"/>
  <c r="C198" i="35"/>
  <c r="C197" i="35"/>
  <c r="C196" i="35"/>
  <c r="C195" i="35"/>
  <c r="C194" i="35"/>
  <c r="C193" i="35"/>
  <c r="C192" i="35"/>
  <c r="C191" i="35"/>
  <c r="C190" i="35"/>
  <c r="C189" i="35"/>
  <c r="C188" i="35"/>
  <c r="C187" i="35"/>
  <c r="C186" i="35"/>
  <c r="C185" i="35"/>
  <c r="C184" i="35"/>
  <c r="C183" i="35"/>
  <c r="C182" i="35"/>
  <c r="C181" i="35"/>
  <c r="C180" i="35"/>
  <c r="C179" i="35"/>
  <c r="C178" i="35"/>
  <c r="C177" i="35"/>
  <c r="C176" i="35"/>
  <c r="C175" i="35"/>
  <c r="C174" i="35"/>
  <c r="C173" i="35"/>
  <c r="C172" i="35"/>
  <c r="C171" i="35"/>
  <c r="C170" i="35"/>
  <c r="C169" i="35"/>
  <c r="C168" i="35"/>
  <c r="C167" i="35"/>
  <c r="C166" i="35"/>
  <c r="C165" i="35"/>
  <c r="C164" i="35"/>
  <c r="C163" i="35"/>
  <c r="C162" i="35"/>
  <c r="C161" i="35"/>
  <c r="C160" i="35"/>
  <c r="C159" i="35"/>
  <c r="C158" i="35"/>
  <c r="C157" i="35"/>
  <c r="C156" i="35"/>
  <c r="C155" i="35"/>
  <c r="C154" i="35"/>
  <c r="C153" i="35"/>
  <c r="C152" i="35"/>
  <c r="C151" i="35"/>
  <c r="C150" i="35"/>
  <c r="C149" i="35"/>
  <c r="C148" i="35"/>
  <c r="C147" i="35"/>
  <c r="C146" i="35"/>
  <c r="C145" i="35"/>
  <c r="C144" i="35"/>
  <c r="B144" i="35"/>
  <c r="B145" i="35" s="1"/>
  <c r="B146" i="35" s="1"/>
  <c r="B147" i="35" s="1"/>
  <c r="B148" i="35" s="1"/>
  <c r="B149" i="35" s="1"/>
  <c r="B150" i="35" s="1"/>
  <c r="B151" i="35" s="1"/>
  <c r="B152" i="35" s="1"/>
  <c r="B153" i="35" s="1"/>
  <c r="B154" i="35" s="1"/>
  <c r="B155" i="35" s="1"/>
  <c r="B156" i="35" s="1"/>
  <c r="B157" i="35" s="1"/>
  <c r="B158" i="35" s="1"/>
  <c r="B159" i="35" s="1"/>
  <c r="B160" i="35" s="1"/>
  <c r="B161" i="35" s="1"/>
  <c r="B162" i="35" s="1"/>
  <c r="B163" i="35" s="1"/>
  <c r="B164" i="35" s="1"/>
  <c r="B165" i="35" s="1"/>
  <c r="B166" i="35" s="1"/>
  <c r="B167" i="35" s="1"/>
  <c r="B168" i="35" s="1"/>
  <c r="B169" i="35" s="1"/>
  <c r="B170" i="35" s="1"/>
  <c r="B171" i="35" s="1"/>
  <c r="B172" i="35" s="1"/>
  <c r="B173" i="35" s="1"/>
  <c r="B174" i="35" s="1"/>
  <c r="B175" i="35" s="1"/>
  <c r="B176" i="35" s="1"/>
  <c r="B177" i="35" s="1"/>
  <c r="B178" i="35" s="1"/>
  <c r="B179" i="35" s="1"/>
  <c r="B180" i="35" s="1"/>
  <c r="B181" i="35" s="1"/>
  <c r="B182" i="35" s="1"/>
  <c r="B183" i="35" s="1"/>
  <c r="B184" i="35" s="1"/>
  <c r="B185" i="35" s="1"/>
  <c r="B186" i="35" s="1"/>
  <c r="B187" i="35" s="1"/>
  <c r="B188" i="35" s="1"/>
  <c r="B189" i="35" s="1"/>
  <c r="B190" i="35" s="1"/>
  <c r="B191" i="35" s="1"/>
  <c r="B192" i="35" s="1"/>
  <c r="B193" i="35" s="1"/>
  <c r="B194" i="35" s="1"/>
  <c r="B195" i="35" s="1"/>
  <c r="B196" i="35" s="1"/>
  <c r="B197" i="35" s="1"/>
  <c r="B198" i="35" s="1"/>
  <c r="B199" i="35" s="1"/>
  <c r="B200" i="35" s="1"/>
  <c r="B201" i="35" s="1"/>
  <c r="B202" i="35" s="1"/>
  <c r="B203" i="35" s="1"/>
  <c r="B204" i="35" s="1"/>
  <c r="B205" i="35" s="1"/>
  <c r="B206" i="35" s="1"/>
  <c r="B207" i="35" s="1"/>
  <c r="B208" i="35" s="1"/>
  <c r="B209" i="35" s="1"/>
  <c r="B210" i="35" s="1"/>
  <c r="B211" i="35" s="1"/>
  <c r="B212" i="35" s="1"/>
  <c r="B213" i="35" s="1"/>
  <c r="B214" i="35" s="1"/>
  <c r="B215" i="35" s="1"/>
  <c r="B216" i="35" s="1"/>
  <c r="B217" i="35" s="1"/>
  <c r="B218" i="35" s="1"/>
  <c r="B219" i="35" s="1"/>
  <c r="B220" i="35" s="1"/>
  <c r="B221" i="35" s="1"/>
  <c r="B222" i="35" s="1"/>
  <c r="B223" i="35" s="1"/>
  <c r="C143" i="35"/>
  <c r="C140" i="35"/>
  <c r="C138" i="35"/>
  <c r="C137" i="35"/>
  <c r="C136" i="35"/>
  <c r="C135" i="35"/>
  <c r="C125" i="35"/>
  <c r="C122" i="35"/>
  <c r="C121" i="35"/>
  <c r="C120" i="35"/>
  <c r="C119" i="35"/>
  <c r="C118" i="35"/>
  <c r="C117" i="35"/>
  <c r="C116" i="35"/>
  <c r="C115" i="35"/>
  <c r="C114" i="35"/>
  <c r="C113" i="35"/>
  <c r="C112" i="35"/>
  <c r="C111" i="35"/>
  <c r="C110" i="35"/>
  <c r="C109" i="35"/>
  <c r="C108" i="35"/>
  <c r="C107" i="35"/>
  <c r="C106" i="35"/>
  <c r="C105" i="35"/>
  <c r="C104" i="35"/>
  <c r="C103" i="35"/>
  <c r="C102" i="35"/>
  <c r="C101" i="35"/>
  <c r="C100" i="35"/>
  <c r="C99" i="35"/>
  <c r="C98" i="35"/>
  <c r="C97" i="35"/>
  <c r="C96" i="35"/>
  <c r="C93" i="35"/>
  <c r="C92" i="35"/>
  <c r="C91" i="35"/>
  <c r="C90" i="35"/>
  <c r="C89" i="35"/>
  <c r="C88" i="35"/>
  <c r="C87" i="35"/>
  <c r="C86" i="35"/>
  <c r="C85" i="35"/>
  <c r="C82" i="35"/>
  <c r="C81" i="35"/>
  <c r="C80" i="35"/>
  <c r="C79" i="35"/>
  <c r="C78" i="35"/>
  <c r="C77" i="35"/>
  <c r="C76" i="35"/>
  <c r="C75" i="35"/>
  <c r="C74" i="35"/>
  <c r="C73" i="35"/>
  <c r="C72" i="35"/>
  <c r="C71" i="35"/>
  <c r="C70" i="35"/>
  <c r="C69" i="35"/>
  <c r="C68" i="35"/>
  <c r="C67" i="35"/>
  <c r="C66" i="35"/>
  <c r="C65" i="35"/>
  <c r="C64" i="35"/>
  <c r="C63" i="35"/>
  <c r="C62" i="35"/>
  <c r="C61" i="35"/>
  <c r="C60" i="35"/>
  <c r="C59" i="35"/>
  <c r="C58" i="35"/>
  <c r="C57" i="35"/>
  <c r="C56" i="35"/>
  <c r="C55" i="35"/>
  <c r="C54" i="35"/>
  <c r="C53" i="35"/>
  <c r="C52" i="35"/>
  <c r="C51" i="35"/>
  <c r="C50" i="35"/>
  <c r="C49" i="35"/>
  <c r="C48" i="35"/>
  <c r="C47" i="35"/>
  <c r="C46" i="35"/>
  <c r="C45" i="35"/>
  <c r="C44" i="35"/>
  <c r="C43" i="35"/>
  <c r="C42" i="35"/>
  <c r="C41" i="35"/>
  <c r="C38" i="35"/>
  <c r="C37" i="35"/>
  <c r="C36" i="35"/>
  <c r="C35" i="35"/>
  <c r="C34" i="35"/>
  <c r="C33" i="35"/>
  <c r="C32" i="35"/>
  <c r="C31" i="35"/>
  <c r="C30" i="35"/>
  <c r="C29" i="35"/>
  <c r="C28" i="35"/>
  <c r="C23" i="35"/>
  <c r="C22" i="35"/>
  <c r="C21" i="35"/>
  <c r="C20" i="35"/>
  <c r="C19" i="35"/>
  <c r="C18" i="35"/>
  <c r="C13" i="35"/>
  <c r="B13" i="35"/>
  <c r="C12" i="35"/>
  <c r="B12" i="35"/>
  <c r="C11" i="35"/>
  <c r="B11" i="35"/>
  <c r="C10" i="35"/>
  <c r="B10" i="35"/>
  <c r="C9" i="35"/>
  <c r="B9" i="35"/>
  <c r="C8" i="35"/>
  <c r="B8" i="35"/>
  <c r="C7" i="35"/>
  <c r="B7" i="35"/>
  <c r="C6" i="35"/>
  <c r="B6" i="35"/>
  <c r="C5" i="35"/>
  <c r="B5" i="35"/>
  <c r="C4" i="35"/>
  <c r="B4" i="35"/>
  <c r="C17" i="35" l="1"/>
  <c r="C223" i="34" l="1"/>
  <c r="C222" i="34"/>
  <c r="C221" i="34"/>
  <c r="C220" i="34"/>
  <c r="C219" i="34"/>
  <c r="C218" i="34"/>
  <c r="C217" i="34"/>
  <c r="C216" i="34"/>
  <c r="C215" i="34"/>
  <c r="C214" i="34"/>
  <c r="C213" i="34"/>
  <c r="C212" i="34"/>
  <c r="C211" i="34"/>
  <c r="C210" i="34"/>
  <c r="C209" i="34"/>
  <c r="C208" i="34"/>
  <c r="C207" i="34"/>
  <c r="C206" i="34"/>
  <c r="C205" i="34"/>
  <c r="C204" i="34"/>
  <c r="C203" i="34"/>
  <c r="C202" i="34"/>
  <c r="C201" i="34"/>
  <c r="C200" i="34"/>
  <c r="C199" i="34"/>
  <c r="C198" i="34"/>
  <c r="C197" i="34"/>
  <c r="C196" i="34"/>
  <c r="C195" i="34"/>
  <c r="C194" i="34"/>
  <c r="C193" i="34"/>
  <c r="C192" i="34"/>
  <c r="C191" i="34"/>
  <c r="C190" i="34"/>
  <c r="C189" i="34"/>
  <c r="C188" i="34"/>
  <c r="C187" i="34"/>
  <c r="C186" i="34"/>
  <c r="C185" i="34"/>
  <c r="C184" i="34"/>
  <c r="C183" i="34"/>
  <c r="C182" i="34"/>
  <c r="C181" i="34"/>
  <c r="C180" i="34"/>
  <c r="C179" i="34"/>
  <c r="C178" i="34"/>
  <c r="C177" i="34"/>
  <c r="C176" i="34"/>
  <c r="C175" i="34"/>
  <c r="C174" i="34"/>
  <c r="C173" i="34"/>
  <c r="C172" i="34"/>
  <c r="C171" i="34"/>
  <c r="C170" i="34"/>
  <c r="C169" i="34"/>
  <c r="C168" i="34"/>
  <c r="C167" i="34"/>
  <c r="C166" i="34"/>
  <c r="C165" i="34"/>
  <c r="C164" i="34"/>
  <c r="C163" i="34"/>
  <c r="C162" i="34"/>
  <c r="C161" i="34"/>
  <c r="C160" i="34"/>
  <c r="C159" i="34"/>
  <c r="C158" i="34"/>
  <c r="C157" i="34"/>
  <c r="C156" i="34"/>
  <c r="C155" i="34"/>
  <c r="C154" i="34"/>
  <c r="C153" i="34"/>
  <c r="C152" i="34"/>
  <c r="C151" i="34"/>
  <c r="C150" i="34"/>
  <c r="C149" i="34"/>
  <c r="C148" i="34"/>
  <c r="C147" i="34"/>
  <c r="C146" i="34"/>
  <c r="C145" i="34"/>
  <c r="C144" i="34"/>
  <c r="B144" i="34"/>
  <c r="B145" i="34" s="1"/>
  <c r="B146" i="34" s="1"/>
  <c r="B147" i="34" s="1"/>
  <c r="B148" i="34" s="1"/>
  <c r="B149" i="34" s="1"/>
  <c r="B150" i="34" s="1"/>
  <c r="B151" i="34" s="1"/>
  <c r="B152" i="34" s="1"/>
  <c r="B153" i="34" s="1"/>
  <c r="B154" i="34" s="1"/>
  <c r="B155" i="34" s="1"/>
  <c r="B156" i="34" s="1"/>
  <c r="B157" i="34" s="1"/>
  <c r="B158" i="34" s="1"/>
  <c r="B159" i="34" s="1"/>
  <c r="B160" i="34" s="1"/>
  <c r="B161" i="34" s="1"/>
  <c r="B162" i="34" s="1"/>
  <c r="B163" i="34" s="1"/>
  <c r="B164" i="34" s="1"/>
  <c r="B165" i="34" s="1"/>
  <c r="B166" i="34" s="1"/>
  <c r="B167" i="34" s="1"/>
  <c r="B168" i="34" s="1"/>
  <c r="B169" i="34" s="1"/>
  <c r="B170" i="34" s="1"/>
  <c r="B171" i="34" s="1"/>
  <c r="B172" i="34" s="1"/>
  <c r="B173" i="34" s="1"/>
  <c r="B174" i="34" s="1"/>
  <c r="B175" i="34" s="1"/>
  <c r="B176" i="34" s="1"/>
  <c r="B177" i="34" s="1"/>
  <c r="B178" i="34" s="1"/>
  <c r="B179" i="34" s="1"/>
  <c r="B180" i="34" s="1"/>
  <c r="B181" i="34" s="1"/>
  <c r="B182" i="34" s="1"/>
  <c r="B183" i="34" s="1"/>
  <c r="B184" i="34" s="1"/>
  <c r="B185" i="34" s="1"/>
  <c r="B186" i="34" s="1"/>
  <c r="B187" i="34" s="1"/>
  <c r="B188" i="34" s="1"/>
  <c r="B189" i="34" s="1"/>
  <c r="B190" i="34" s="1"/>
  <c r="B191" i="34" s="1"/>
  <c r="B192" i="34" s="1"/>
  <c r="B193" i="34" s="1"/>
  <c r="B194" i="34" s="1"/>
  <c r="B195" i="34" s="1"/>
  <c r="B196" i="34" s="1"/>
  <c r="B197" i="34" s="1"/>
  <c r="B198" i="34" s="1"/>
  <c r="B199" i="34" s="1"/>
  <c r="B200" i="34" s="1"/>
  <c r="B201" i="34" s="1"/>
  <c r="B202" i="34" s="1"/>
  <c r="B203" i="34" s="1"/>
  <c r="B204" i="34" s="1"/>
  <c r="B205" i="34" s="1"/>
  <c r="B206" i="34" s="1"/>
  <c r="B207" i="34" s="1"/>
  <c r="B208" i="34" s="1"/>
  <c r="B209" i="34" s="1"/>
  <c r="B210" i="34" s="1"/>
  <c r="B211" i="34" s="1"/>
  <c r="B212" i="34" s="1"/>
  <c r="B213" i="34" s="1"/>
  <c r="B214" i="34" s="1"/>
  <c r="B215" i="34" s="1"/>
  <c r="B216" i="34" s="1"/>
  <c r="B217" i="34" s="1"/>
  <c r="B218" i="34" s="1"/>
  <c r="B219" i="34" s="1"/>
  <c r="B220" i="34" s="1"/>
  <c r="B221" i="34" s="1"/>
  <c r="B222" i="34" s="1"/>
  <c r="B223" i="34" s="1"/>
  <c r="C143" i="34"/>
  <c r="C140" i="34"/>
  <c r="C138" i="34"/>
  <c r="C137" i="34"/>
  <c r="C136" i="34"/>
  <c r="C135" i="34"/>
  <c r="C125" i="34"/>
  <c r="C122" i="34"/>
  <c r="C121" i="34"/>
  <c r="C120" i="34"/>
  <c r="C119" i="34"/>
  <c r="C118" i="34"/>
  <c r="C117" i="34"/>
  <c r="C116" i="34"/>
  <c r="C115" i="34"/>
  <c r="C114" i="34"/>
  <c r="C113" i="34"/>
  <c r="C112" i="34"/>
  <c r="C111" i="34"/>
  <c r="C110" i="34"/>
  <c r="C109" i="34"/>
  <c r="C108" i="34"/>
  <c r="C107" i="34"/>
  <c r="C106" i="34"/>
  <c r="C105" i="34"/>
  <c r="C104" i="34"/>
  <c r="C103" i="34"/>
  <c r="C102" i="34"/>
  <c r="C101" i="34"/>
  <c r="C100" i="34"/>
  <c r="C99" i="34"/>
  <c r="C98" i="34"/>
  <c r="C97" i="34"/>
  <c r="C96" i="34"/>
  <c r="C93" i="34"/>
  <c r="C92" i="34"/>
  <c r="C91" i="34"/>
  <c r="C90" i="34"/>
  <c r="C89" i="34"/>
  <c r="C88" i="34"/>
  <c r="C87" i="34"/>
  <c r="C86" i="34"/>
  <c r="C85" i="34"/>
  <c r="C82" i="34"/>
  <c r="C81" i="34"/>
  <c r="C80" i="34"/>
  <c r="C79" i="34"/>
  <c r="C78" i="34"/>
  <c r="C77" i="34"/>
  <c r="C76" i="34"/>
  <c r="C75" i="34"/>
  <c r="C74" i="34"/>
  <c r="C73" i="34"/>
  <c r="C72" i="34"/>
  <c r="C71" i="34"/>
  <c r="C70" i="34"/>
  <c r="C69" i="34"/>
  <c r="C68" i="34"/>
  <c r="C67" i="34"/>
  <c r="C66" i="34"/>
  <c r="C65" i="34"/>
  <c r="C64" i="34"/>
  <c r="C63" i="34"/>
  <c r="C62" i="34"/>
  <c r="C61" i="34"/>
  <c r="C60" i="34"/>
  <c r="C59" i="34"/>
  <c r="C58" i="34"/>
  <c r="C57" i="34"/>
  <c r="C56" i="34"/>
  <c r="C55" i="34"/>
  <c r="C54" i="34"/>
  <c r="C53" i="34"/>
  <c r="C52" i="34"/>
  <c r="C51" i="34"/>
  <c r="C50" i="34"/>
  <c r="C49" i="34"/>
  <c r="C48" i="34"/>
  <c r="C47" i="34"/>
  <c r="C46" i="34"/>
  <c r="C45" i="34"/>
  <c r="C44" i="34"/>
  <c r="C43" i="34"/>
  <c r="C42" i="34"/>
  <c r="C41" i="34"/>
  <c r="C38" i="34"/>
  <c r="C37" i="34"/>
  <c r="C36" i="34"/>
  <c r="C35" i="34"/>
  <c r="C34" i="34"/>
  <c r="C33" i="34"/>
  <c r="C32" i="34"/>
  <c r="C31" i="34"/>
  <c r="C30" i="34"/>
  <c r="C29" i="34"/>
  <c r="C28" i="34"/>
  <c r="C23" i="34"/>
  <c r="C22" i="34"/>
  <c r="C21" i="34"/>
  <c r="C20" i="34"/>
  <c r="C19" i="34"/>
  <c r="C18" i="34"/>
  <c r="C13" i="34"/>
  <c r="B13" i="34"/>
  <c r="C12" i="34"/>
  <c r="B12" i="34"/>
  <c r="C11" i="34"/>
  <c r="B11" i="34"/>
  <c r="C10" i="34"/>
  <c r="B10" i="34"/>
  <c r="C9" i="34"/>
  <c r="B9" i="34"/>
  <c r="C8" i="34"/>
  <c r="B8" i="34"/>
  <c r="C7" i="34"/>
  <c r="B7" i="34"/>
  <c r="C6" i="34"/>
  <c r="B6" i="34"/>
  <c r="C5" i="34"/>
  <c r="B5" i="34"/>
  <c r="C4" i="34"/>
  <c r="B4" i="34"/>
  <c r="C17" i="34" l="1"/>
  <c r="C223" i="33" l="1"/>
  <c r="C222" i="33"/>
  <c r="C221" i="33"/>
  <c r="C220" i="33"/>
  <c r="C219" i="33"/>
  <c r="C218" i="33"/>
  <c r="C217" i="33"/>
  <c r="C216" i="33"/>
  <c r="C215" i="33"/>
  <c r="C214" i="33"/>
  <c r="C213" i="33"/>
  <c r="C212" i="33"/>
  <c r="C211" i="33"/>
  <c r="C210" i="33"/>
  <c r="C209" i="33"/>
  <c r="C208" i="33"/>
  <c r="C207" i="33"/>
  <c r="C206" i="33"/>
  <c r="C205" i="33"/>
  <c r="C204" i="33"/>
  <c r="C203" i="33"/>
  <c r="C202" i="33"/>
  <c r="C201" i="33"/>
  <c r="C200" i="33"/>
  <c r="C199" i="33"/>
  <c r="C198" i="33"/>
  <c r="C197" i="33"/>
  <c r="C196" i="33"/>
  <c r="C195" i="33"/>
  <c r="C194" i="33"/>
  <c r="C193" i="33"/>
  <c r="C192" i="33"/>
  <c r="C191" i="33"/>
  <c r="C190" i="33"/>
  <c r="C189" i="33"/>
  <c r="C188" i="33"/>
  <c r="C187" i="33"/>
  <c r="C186" i="33"/>
  <c r="C185" i="33"/>
  <c r="C184" i="33"/>
  <c r="C183" i="33"/>
  <c r="C182" i="33"/>
  <c r="C181" i="33"/>
  <c r="C180" i="33"/>
  <c r="C179" i="33"/>
  <c r="C178" i="33"/>
  <c r="C177" i="33"/>
  <c r="C176" i="33"/>
  <c r="C175" i="33"/>
  <c r="C174" i="33"/>
  <c r="C173" i="33"/>
  <c r="C172" i="33"/>
  <c r="C171" i="33"/>
  <c r="C170" i="33"/>
  <c r="C169" i="33"/>
  <c r="C168" i="33"/>
  <c r="C167" i="33"/>
  <c r="C166" i="33"/>
  <c r="C165" i="33"/>
  <c r="C164" i="33"/>
  <c r="C163" i="33"/>
  <c r="C162" i="33"/>
  <c r="C161" i="33"/>
  <c r="C160" i="33"/>
  <c r="C159" i="33"/>
  <c r="C158" i="33"/>
  <c r="C157" i="33"/>
  <c r="C156" i="33"/>
  <c r="C155" i="33"/>
  <c r="C154" i="33"/>
  <c r="C153" i="33"/>
  <c r="C152" i="33"/>
  <c r="C151" i="33"/>
  <c r="C150" i="33"/>
  <c r="C149" i="33"/>
  <c r="C148" i="33"/>
  <c r="C147" i="33"/>
  <c r="C146" i="33"/>
  <c r="C145" i="33"/>
  <c r="C144" i="33"/>
  <c r="B144" i="33"/>
  <c r="B145" i="33" s="1"/>
  <c r="B146" i="33" s="1"/>
  <c r="B147" i="33" s="1"/>
  <c r="B148" i="33" s="1"/>
  <c r="B149" i="33" s="1"/>
  <c r="B150" i="33" s="1"/>
  <c r="B151" i="33" s="1"/>
  <c r="B152" i="33" s="1"/>
  <c r="B153" i="33" s="1"/>
  <c r="B154" i="33" s="1"/>
  <c r="B155" i="33" s="1"/>
  <c r="B156" i="33" s="1"/>
  <c r="B157" i="33" s="1"/>
  <c r="B158" i="33" s="1"/>
  <c r="B159" i="33" s="1"/>
  <c r="B160" i="33" s="1"/>
  <c r="B161" i="33" s="1"/>
  <c r="B162" i="33" s="1"/>
  <c r="B163" i="33" s="1"/>
  <c r="B164" i="33" s="1"/>
  <c r="B165" i="33" s="1"/>
  <c r="B166" i="33" s="1"/>
  <c r="B167" i="33" s="1"/>
  <c r="B168" i="33" s="1"/>
  <c r="B169" i="33" s="1"/>
  <c r="B170" i="33" s="1"/>
  <c r="B171" i="33" s="1"/>
  <c r="B172" i="33" s="1"/>
  <c r="B173" i="33" s="1"/>
  <c r="B174" i="33" s="1"/>
  <c r="B175" i="33" s="1"/>
  <c r="B176" i="33" s="1"/>
  <c r="B177" i="33" s="1"/>
  <c r="B178" i="33" s="1"/>
  <c r="B179" i="33" s="1"/>
  <c r="B180" i="33" s="1"/>
  <c r="B181" i="33" s="1"/>
  <c r="B182" i="33" s="1"/>
  <c r="B183" i="33" s="1"/>
  <c r="B184" i="33" s="1"/>
  <c r="B185" i="33" s="1"/>
  <c r="B186" i="33" s="1"/>
  <c r="B187" i="33" s="1"/>
  <c r="B188" i="33" s="1"/>
  <c r="B189" i="33" s="1"/>
  <c r="B190" i="33" s="1"/>
  <c r="B191" i="33" s="1"/>
  <c r="B192" i="33" s="1"/>
  <c r="B193" i="33" s="1"/>
  <c r="B194" i="33" s="1"/>
  <c r="B195" i="33" s="1"/>
  <c r="B196" i="33" s="1"/>
  <c r="B197" i="33" s="1"/>
  <c r="B198" i="33" s="1"/>
  <c r="B199" i="33" s="1"/>
  <c r="B200" i="33" s="1"/>
  <c r="B201" i="33" s="1"/>
  <c r="B202" i="33" s="1"/>
  <c r="B203" i="33" s="1"/>
  <c r="B204" i="33" s="1"/>
  <c r="B205" i="33" s="1"/>
  <c r="B206" i="33" s="1"/>
  <c r="B207" i="33" s="1"/>
  <c r="B208" i="33" s="1"/>
  <c r="B209" i="33" s="1"/>
  <c r="B210" i="33" s="1"/>
  <c r="B211" i="33" s="1"/>
  <c r="B212" i="33" s="1"/>
  <c r="B213" i="33" s="1"/>
  <c r="B214" i="33" s="1"/>
  <c r="B215" i="33" s="1"/>
  <c r="B216" i="33" s="1"/>
  <c r="B217" i="33" s="1"/>
  <c r="B218" i="33" s="1"/>
  <c r="B219" i="33" s="1"/>
  <c r="B220" i="33" s="1"/>
  <c r="B221" i="33" s="1"/>
  <c r="B222" i="33" s="1"/>
  <c r="B223" i="33" s="1"/>
  <c r="C143" i="33"/>
  <c r="C140" i="33"/>
  <c r="C138" i="33"/>
  <c r="C137" i="33"/>
  <c r="C136" i="33"/>
  <c r="C135" i="33"/>
  <c r="C125" i="33"/>
  <c r="C122" i="33"/>
  <c r="C121" i="33"/>
  <c r="C120" i="33"/>
  <c r="C119" i="33"/>
  <c r="C118" i="33"/>
  <c r="C117" i="33"/>
  <c r="C116" i="33"/>
  <c r="C115" i="33"/>
  <c r="C114" i="33"/>
  <c r="C113" i="33"/>
  <c r="C112" i="33"/>
  <c r="C111" i="33"/>
  <c r="C110" i="33"/>
  <c r="C109" i="33"/>
  <c r="C108" i="33"/>
  <c r="C107" i="33"/>
  <c r="C106" i="33"/>
  <c r="C105" i="33"/>
  <c r="C104" i="33"/>
  <c r="C103" i="33"/>
  <c r="C102" i="33"/>
  <c r="C101" i="33"/>
  <c r="C100" i="33"/>
  <c r="C99" i="33"/>
  <c r="C98" i="33"/>
  <c r="C97" i="33"/>
  <c r="C96" i="33"/>
  <c r="C93" i="33"/>
  <c r="C92" i="33"/>
  <c r="C91" i="33"/>
  <c r="C90" i="33"/>
  <c r="C89" i="33"/>
  <c r="C88" i="33"/>
  <c r="C87" i="33"/>
  <c r="C86" i="33"/>
  <c r="C85" i="33"/>
  <c r="C82" i="33"/>
  <c r="C81" i="33"/>
  <c r="C80" i="33"/>
  <c r="C79" i="33"/>
  <c r="C78" i="33"/>
  <c r="C77" i="33"/>
  <c r="C76" i="33"/>
  <c r="C75" i="33"/>
  <c r="C74" i="33"/>
  <c r="C73" i="33"/>
  <c r="C72" i="33"/>
  <c r="C71" i="33"/>
  <c r="C70" i="33"/>
  <c r="C69" i="33"/>
  <c r="C68" i="33"/>
  <c r="C67" i="33"/>
  <c r="C66" i="33"/>
  <c r="C65" i="33"/>
  <c r="C64" i="33"/>
  <c r="C63" i="33"/>
  <c r="C62" i="33"/>
  <c r="C61" i="33"/>
  <c r="C60" i="33"/>
  <c r="C59" i="33"/>
  <c r="C58" i="33"/>
  <c r="C57" i="33"/>
  <c r="C56" i="33"/>
  <c r="C55" i="33"/>
  <c r="C54" i="33"/>
  <c r="C53" i="33"/>
  <c r="C52" i="33"/>
  <c r="C51" i="33"/>
  <c r="C50" i="33"/>
  <c r="C49" i="33"/>
  <c r="C48" i="33"/>
  <c r="C47" i="33"/>
  <c r="C46" i="33"/>
  <c r="C45" i="33"/>
  <c r="C44" i="33"/>
  <c r="C43" i="33"/>
  <c r="C42" i="33"/>
  <c r="C41" i="33"/>
  <c r="C38" i="33"/>
  <c r="C37" i="33"/>
  <c r="C36" i="33"/>
  <c r="C35" i="33"/>
  <c r="C34" i="33"/>
  <c r="C33" i="33"/>
  <c r="C32" i="33"/>
  <c r="C31" i="33"/>
  <c r="C30" i="33"/>
  <c r="C29" i="33"/>
  <c r="C28" i="33"/>
  <c r="C23" i="33"/>
  <c r="C22" i="33"/>
  <c r="C21" i="33"/>
  <c r="C20" i="33"/>
  <c r="C19" i="33"/>
  <c r="C18" i="33"/>
  <c r="C13" i="33"/>
  <c r="B13" i="33"/>
  <c r="C12" i="33"/>
  <c r="B12" i="33"/>
  <c r="C11" i="33"/>
  <c r="B11" i="33"/>
  <c r="C10" i="33"/>
  <c r="B10" i="33"/>
  <c r="C9" i="33"/>
  <c r="B9" i="33"/>
  <c r="C8" i="33"/>
  <c r="B8" i="33"/>
  <c r="C7" i="33"/>
  <c r="B7" i="33"/>
  <c r="C6" i="33"/>
  <c r="B6" i="33"/>
  <c r="C5" i="33"/>
  <c r="B5" i="33"/>
  <c r="C4" i="33"/>
  <c r="B4" i="33"/>
  <c r="C17" i="33" l="1"/>
  <c r="C223" i="32" l="1"/>
  <c r="C222" i="32"/>
  <c r="C221" i="32"/>
  <c r="C220" i="32"/>
  <c r="C219" i="32"/>
  <c r="C218" i="32"/>
  <c r="C217" i="32"/>
  <c r="C216" i="32"/>
  <c r="C215" i="32"/>
  <c r="C214" i="32"/>
  <c r="C213" i="32"/>
  <c r="C212" i="32"/>
  <c r="C211" i="32"/>
  <c r="C210" i="32"/>
  <c r="C209" i="32"/>
  <c r="C208" i="32"/>
  <c r="C207" i="32"/>
  <c r="C206" i="32"/>
  <c r="C205" i="32"/>
  <c r="C204" i="32"/>
  <c r="C203" i="32"/>
  <c r="C202" i="32"/>
  <c r="C201" i="32"/>
  <c r="C200" i="32"/>
  <c r="C199" i="32"/>
  <c r="C198" i="32"/>
  <c r="C197" i="32"/>
  <c r="C196" i="32"/>
  <c r="C195" i="32"/>
  <c r="C194" i="32"/>
  <c r="C193" i="32"/>
  <c r="C192" i="32"/>
  <c r="C191" i="32"/>
  <c r="C190" i="32"/>
  <c r="C189" i="32"/>
  <c r="C188" i="32"/>
  <c r="C187" i="32"/>
  <c r="C186" i="32"/>
  <c r="C185" i="32"/>
  <c r="C184" i="32"/>
  <c r="C183" i="32"/>
  <c r="C182" i="32"/>
  <c r="C181" i="32"/>
  <c r="C180" i="32"/>
  <c r="C179" i="32"/>
  <c r="C178" i="32"/>
  <c r="C177" i="32"/>
  <c r="C176" i="32"/>
  <c r="C175" i="32"/>
  <c r="C174" i="32"/>
  <c r="C173" i="32"/>
  <c r="C172" i="32"/>
  <c r="C171" i="32"/>
  <c r="C170" i="32"/>
  <c r="C169" i="32"/>
  <c r="C168" i="32"/>
  <c r="C167" i="32"/>
  <c r="C166" i="32"/>
  <c r="C165" i="32"/>
  <c r="C164" i="32"/>
  <c r="C163" i="32"/>
  <c r="C162" i="32"/>
  <c r="C161" i="32"/>
  <c r="C160" i="32"/>
  <c r="C159" i="32"/>
  <c r="C158" i="32"/>
  <c r="C157" i="32"/>
  <c r="C156" i="32"/>
  <c r="C155" i="32"/>
  <c r="C154" i="32"/>
  <c r="C153" i="32"/>
  <c r="C152" i="32"/>
  <c r="C151" i="32"/>
  <c r="C150" i="32"/>
  <c r="C149" i="32"/>
  <c r="C148" i="32"/>
  <c r="C147" i="32"/>
  <c r="C146" i="32"/>
  <c r="C145" i="32"/>
  <c r="C144" i="32"/>
  <c r="B144" i="32"/>
  <c r="B145" i="32" s="1"/>
  <c r="B146" i="32" s="1"/>
  <c r="B147" i="32" s="1"/>
  <c r="B148" i="32" s="1"/>
  <c r="B149" i="32" s="1"/>
  <c r="B150" i="32" s="1"/>
  <c r="B151" i="32" s="1"/>
  <c r="B152" i="32" s="1"/>
  <c r="B153" i="32" s="1"/>
  <c r="B154" i="32" s="1"/>
  <c r="B155" i="32" s="1"/>
  <c r="B156" i="32" s="1"/>
  <c r="B157" i="32" s="1"/>
  <c r="B158" i="32" s="1"/>
  <c r="B159" i="32" s="1"/>
  <c r="B160" i="32" s="1"/>
  <c r="B161" i="32" s="1"/>
  <c r="B162" i="32" s="1"/>
  <c r="B163" i="32" s="1"/>
  <c r="B164" i="32" s="1"/>
  <c r="B165" i="32" s="1"/>
  <c r="B166" i="32" s="1"/>
  <c r="B167" i="32" s="1"/>
  <c r="B168" i="32" s="1"/>
  <c r="B169" i="32" s="1"/>
  <c r="B170" i="32" s="1"/>
  <c r="B171" i="32" s="1"/>
  <c r="B172" i="32" s="1"/>
  <c r="B173" i="32" s="1"/>
  <c r="B174" i="32" s="1"/>
  <c r="B175" i="32" s="1"/>
  <c r="B176" i="32" s="1"/>
  <c r="B177" i="32" s="1"/>
  <c r="B178" i="32" s="1"/>
  <c r="B179" i="32" s="1"/>
  <c r="B180" i="32" s="1"/>
  <c r="B181" i="32" s="1"/>
  <c r="B182" i="32" s="1"/>
  <c r="B183" i="32" s="1"/>
  <c r="B184" i="32" s="1"/>
  <c r="B185" i="32" s="1"/>
  <c r="B186" i="32" s="1"/>
  <c r="B187" i="32" s="1"/>
  <c r="B188" i="32" s="1"/>
  <c r="B189" i="32" s="1"/>
  <c r="B190" i="32" s="1"/>
  <c r="B191" i="32" s="1"/>
  <c r="B192" i="32" s="1"/>
  <c r="B193" i="32" s="1"/>
  <c r="B194" i="32" s="1"/>
  <c r="B195" i="32" s="1"/>
  <c r="B196" i="32" s="1"/>
  <c r="B197" i="32" s="1"/>
  <c r="B198" i="32" s="1"/>
  <c r="B199" i="32" s="1"/>
  <c r="B200" i="32" s="1"/>
  <c r="B201" i="32" s="1"/>
  <c r="B202" i="32" s="1"/>
  <c r="B203" i="32" s="1"/>
  <c r="B204" i="32" s="1"/>
  <c r="B205" i="32" s="1"/>
  <c r="B206" i="32" s="1"/>
  <c r="B207" i="32" s="1"/>
  <c r="B208" i="32" s="1"/>
  <c r="B209" i="32" s="1"/>
  <c r="B210" i="32" s="1"/>
  <c r="B211" i="32" s="1"/>
  <c r="B212" i="32" s="1"/>
  <c r="B213" i="32" s="1"/>
  <c r="B214" i="32" s="1"/>
  <c r="B215" i="32" s="1"/>
  <c r="B216" i="32" s="1"/>
  <c r="B217" i="32" s="1"/>
  <c r="B218" i="32" s="1"/>
  <c r="B219" i="32" s="1"/>
  <c r="B220" i="32" s="1"/>
  <c r="B221" i="32" s="1"/>
  <c r="B222" i="32" s="1"/>
  <c r="B223" i="32" s="1"/>
  <c r="C143" i="32"/>
  <c r="C140" i="32"/>
  <c r="C138" i="32"/>
  <c r="C137" i="32"/>
  <c r="C136" i="32"/>
  <c r="C135" i="32"/>
  <c r="C125" i="32"/>
  <c r="C122" i="32"/>
  <c r="C121" i="32"/>
  <c r="C120" i="32"/>
  <c r="C119" i="32"/>
  <c r="C118" i="32"/>
  <c r="C117" i="32"/>
  <c r="C116" i="32"/>
  <c r="C115" i="32"/>
  <c r="C114" i="32"/>
  <c r="C113" i="32"/>
  <c r="C112" i="32"/>
  <c r="C111" i="32"/>
  <c r="C110" i="32"/>
  <c r="C109" i="32"/>
  <c r="C108" i="32"/>
  <c r="C107" i="32"/>
  <c r="C106" i="32"/>
  <c r="C105" i="32"/>
  <c r="C104" i="32"/>
  <c r="C103" i="32"/>
  <c r="C102" i="32"/>
  <c r="C101" i="32"/>
  <c r="C100" i="32"/>
  <c r="C99" i="32"/>
  <c r="C98" i="32"/>
  <c r="C97" i="32"/>
  <c r="C96" i="32"/>
  <c r="C93" i="32"/>
  <c r="C92" i="32"/>
  <c r="C91" i="32"/>
  <c r="C90" i="32"/>
  <c r="C89" i="32"/>
  <c r="C88" i="32"/>
  <c r="C87" i="32"/>
  <c r="C86" i="32"/>
  <c r="C85" i="32"/>
  <c r="C82" i="32"/>
  <c r="C81" i="32"/>
  <c r="C80" i="32"/>
  <c r="C79" i="32"/>
  <c r="C78" i="32"/>
  <c r="C77" i="32"/>
  <c r="C76" i="32"/>
  <c r="C75" i="32"/>
  <c r="C74" i="32"/>
  <c r="C73" i="32"/>
  <c r="C72" i="32"/>
  <c r="C71" i="32"/>
  <c r="C70" i="32"/>
  <c r="C69" i="32"/>
  <c r="C68" i="32"/>
  <c r="C67" i="32"/>
  <c r="C66" i="32"/>
  <c r="C65" i="32"/>
  <c r="C64" i="32"/>
  <c r="C63" i="32"/>
  <c r="C62" i="32"/>
  <c r="C61" i="32"/>
  <c r="C60" i="32"/>
  <c r="C59" i="32"/>
  <c r="C58" i="32"/>
  <c r="C57" i="32"/>
  <c r="C56" i="32"/>
  <c r="C55" i="32"/>
  <c r="C54" i="32"/>
  <c r="C53" i="32"/>
  <c r="C52" i="32"/>
  <c r="C51" i="32"/>
  <c r="C50" i="32"/>
  <c r="C49" i="32"/>
  <c r="C48" i="32"/>
  <c r="C47" i="32"/>
  <c r="C46" i="32"/>
  <c r="C45" i="32"/>
  <c r="C44" i="32"/>
  <c r="C43" i="32"/>
  <c r="C42" i="32"/>
  <c r="C41" i="32"/>
  <c r="C38" i="32"/>
  <c r="C37" i="32"/>
  <c r="C36" i="32"/>
  <c r="C35" i="32"/>
  <c r="C34" i="32"/>
  <c r="C33" i="32"/>
  <c r="C32" i="32"/>
  <c r="C31" i="32"/>
  <c r="C30" i="32"/>
  <c r="C29" i="32"/>
  <c r="C28" i="32"/>
  <c r="C23" i="32"/>
  <c r="C22" i="32"/>
  <c r="C21" i="32"/>
  <c r="C20" i="32"/>
  <c r="C19" i="32"/>
  <c r="C18" i="32"/>
  <c r="C13" i="32"/>
  <c r="B13" i="32"/>
  <c r="C12" i="32"/>
  <c r="B12" i="32"/>
  <c r="C11" i="32"/>
  <c r="B11" i="32"/>
  <c r="C10" i="32"/>
  <c r="B10" i="32"/>
  <c r="C9" i="32"/>
  <c r="B9" i="32"/>
  <c r="C8" i="32"/>
  <c r="B8" i="32"/>
  <c r="C7" i="32"/>
  <c r="B7" i="32"/>
  <c r="C6" i="32"/>
  <c r="B6" i="32"/>
  <c r="C5" i="32"/>
  <c r="B5" i="32"/>
  <c r="C4" i="32"/>
  <c r="B4" i="32"/>
  <c r="C17" i="32" l="1"/>
  <c r="C223" i="31" l="1"/>
  <c r="C222" i="31"/>
  <c r="C221" i="31"/>
  <c r="C220" i="31"/>
  <c r="C219" i="31"/>
  <c r="C218" i="31"/>
  <c r="C217" i="31"/>
  <c r="C216" i="31"/>
  <c r="C215" i="31"/>
  <c r="C214" i="31"/>
  <c r="C213" i="31"/>
  <c r="C212" i="31"/>
  <c r="C211" i="31"/>
  <c r="C210" i="31"/>
  <c r="C209" i="31"/>
  <c r="C208" i="31"/>
  <c r="C207" i="31"/>
  <c r="C206" i="31"/>
  <c r="C205" i="31"/>
  <c r="C204" i="31"/>
  <c r="C203" i="31"/>
  <c r="C202" i="31"/>
  <c r="C201" i="31"/>
  <c r="C200" i="31"/>
  <c r="C199" i="31"/>
  <c r="C198" i="31"/>
  <c r="C197" i="31"/>
  <c r="C196" i="31"/>
  <c r="C195" i="31"/>
  <c r="C194" i="31"/>
  <c r="C193" i="31"/>
  <c r="C192" i="31"/>
  <c r="C191" i="31"/>
  <c r="C190" i="31"/>
  <c r="C189" i="31"/>
  <c r="C188" i="31"/>
  <c r="C187" i="31"/>
  <c r="C186" i="31"/>
  <c r="C185" i="31"/>
  <c r="C184" i="31"/>
  <c r="C183" i="31"/>
  <c r="C182" i="31"/>
  <c r="C181" i="31"/>
  <c r="C180" i="31"/>
  <c r="C179" i="31"/>
  <c r="C178" i="31"/>
  <c r="C177" i="31"/>
  <c r="C176" i="31"/>
  <c r="C175" i="31"/>
  <c r="C174" i="31"/>
  <c r="C173" i="31"/>
  <c r="C172" i="31"/>
  <c r="C171" i="31"/>
  <c r="C170" i="31"/>
  <c r="C169" i="31"/>
  <c r="C168" i="31"/>
  <c r="C167" i="31"/>
  <c r="C166" i="31"/>
  <c r="C165" i="31"/>
  <c r="C164" i="31"/>
  <c r="C163" i="31"/>
  <c r="C162" i="31"/>
  <c r="C161" i="31"/>
  <c r="C160" i="31"/>
  <c r="C159" i="31"/>
  <c r="C158" i="31"/>
  <c r="C157" i="31"/>
  <c r="C156" i="31"/>
  <c r="C155" i="31"/>
  <c r="C154" i="31"/>
  <c r="C153" i="31"/>
  <c r="C152" i="31"/>
  <c r="C151" i="31"/>
  <c r="C150" i="31"/>
  <c r="C149" i="31"/>
  <c r="C148" i="31"/>
  <c r="C147" i="31"/>
  <c r="C146" i="31"/>
  <c r="C145" i="31"/>
  <c r="C144" i="31"/>
  <c r="B144" i="31"/>
  <c r="B145" i="31" s="1"/>
  <c r="B146" i="31" s="1"/>
  <c r="B147" i="31" s="1"/>
  <c r="B148" i="31" s="1"/>
  <c r="B149" i="31" s="1"/>
  <c r="B150" i="31" s="1"/>
  <c r="B151" i="31" s="1"/>
  <c r="B152" i="31" s="1"/>
  <c r="B153" i="31" s="1"/>
  <c r="B154" i="31" s="1"/>
  <c r="B155" i="31" s="1"/>
  <c r="B156" i="31" s="1"/>
  <c r="B157" i="31" s="1"/>
  <c r="B158" i="31" s="1"/>
  <c r="B159" i="31" s="1"/>
  <c r="B160" i="31" s="1"/>
  <c r="B161" i="31" s="1"/>
  <c r="B162" i="31" s="1"/>
  <c r="B163" i="31" s="1"/>
  <c r="B164" i="31" s="1"/>
  <c r="B165" i="31" s="1"/>
  <c r="B166" i="31" s="1"/>
  <c r="B167" i="31" s="1"/>
  <c r="B168" i="31" s="1"/>
  <c r="B169" i="31" s="1"/>
  <c r="B170" i="31" s="1"/>
  <c r="B171" i="31" s="1"/>
  <c r="B172" i="31" s="1"/>
  <c r="B173" i="31" s="1"/>
  <c r="B174" i="31" s="1"/>
  <c r="B175" i="31" s="1"/>
  <c r="B176" i="31" s="1"/>
  <c r="B177" i="31" s="1"/>
  <c r="B178" i="31" s="1"/>
  <c r="B179" i="31" s="1"/>
  <c r="B180" i="31" s="1"/>
  <c r="B181" i="31" s="1"/>
  <c r="B182" i="31" s="1"/>
  <c r="B183" i="31" s="1"/>
  <c r="B184" i="31" s="1"/>
  <c r="B185" i="31" s="1"/>
  <c r="B186" i="31" s="1"/>
  <c r="B187" i="31" s="1"/>
  <c r="B188" i="31" s="1"/>
  <c r="B189" i="31" s="1"/>
  <c r="B190" i="31" s="1"/>
  <c r="B191" i="31" s="1"/>
  <c r="B192" i="31" s="1"/>
  <c r="B193" i="31" s="1"/>
  <c r="B194" i="31" s="1"/>
  <c r="B195" i="31" s="1"/>
  <c r="B196" i="31" s="1"/>
  <c r="B197" i="31" s="1"/>
  <c r="B198" i="31" s="1"/>
  <c r="B199" i="31" s="1"/>
  <c r="B200" i="31" s="1"/>
  <c r="B201" i="31" s="1"/>
  <c r="B202" i="31" s="1"/>
  <c r="B203" i="31" s="1"/>
  <c r="B204" i="31" s="1"/>
  <c r="B205" i="31" s="1"/>
  <c r="B206" i="31" s="1"/>
  <c r="B207" i="31" s="1"/>
  <c r="B208" i="31" s="1"/>
  <c r="B209" i="31" s="1"/>
  <c r="B210" i="31" s="1"/>
  <c r="B211" i="31" s="1"/>
  <c r="B212" i="31" s="1"/>
  <c r="B213" i="31" s="1"/>
  <c r="B214" i="31" s="1"/>
  <c r="B215" i="31" s="1"/>
  <c r="B216" i="31" s="1"/>
  <c r="B217" i="31" s="1"/>
  <c r="B218" i="31" s="1"/>
  <c r="B219" i="31" s="1"/>
  <c r="B220" i="31" s="1"/>
  <c r="B221" i="31" s="1"/>
  <c r="B222" i="31" s="1"/>
  <c r="B223" i="31" s="1"/>
  <c r="C143" i="31"/>
  <c r="C140" i="31"/>
  <c r="C138" i="31"/>
  <c r="C137" i="31"/>
  <c r="C136" i="31"/>
  <c r="C135" i="31"/>
  <c r="C125" i="31"/>
  <c r="C122" i="31"/>
  <c r="C121" i="31"/>
  <c r="C120" i="31"/>
  <c r="C119" i="31"/>
  <c r="C118" i="31"/>
  <c r="C117" i="31"/>
  <c r="C116" i="31"/>
  <c r="C115" i="31"/>
  <c r="C114" i="31"/>
  <c r="C113" i="31"/>
  <c r="C112" i="31"/>
  <c r="C111" i="31"/>
  <c r="C110" i="31"/>
  <c r="C109" i="31"/>
  <c r="C108" i="31"/>
  <c r="C107" i="31"/>
  <c r="C106" i="31"/>
  <c r="C105" i="31"/>
  <c r="C104" i="31"/>
  <c r="C103" i="31"/>
  <c r="C102" i="31"/>
  <c r="C101" i="31"/>
  <c r="C100" i="31"/>
  <c r="C99" i="31"/>
  <c r="C98" i="31"/>
  <c r="C97" i="31"/>
  <c r="C96" i="31"/>
  <c r="C93" i="31"/>
  <c r="C92" i="31"/>
  <c r="C91" i="31"/>
  <c r="C90" i="31"/>
  <c r="C89" i="31"/>
  <c r="C88" i="31"/>
  <c r="C87" i="31"/>
  <c r="C86" i="31"/>
  <c r="C85" i="31"/>
  <c r="C82" i="31"/>
  <c r="C81" i="31"/>
  <c r="C80" i="31"/>
  <c r="C79" i="31"/>
  <c r="C78" i="31"/>
  <c r="C77" i="31"/>
  <c r="C76" i="31"/>
  <c r="C75" i="31"/>
  <c r="C74" i="31"/>
  <c r="C73" i="31"/>
  <c r="C72" i="31"/>
  <c r="C71" i="31"/>
  <c r="C70" i="31"/>
  <c r="C69" i="31"/>
  <c r="C68" i="31"/>
  <c r="C67" i="31"/>
  <c r="C66" i="31"/>
  <c r="C65" i="31"/>
  <c r="C64" i="31"/>
  <c r="C63" i="31"/>
  <c r="C62" i="31"/>
  <c r="C61" i="31"/>
  <c r="C60" i="31"/>
  <c r="C59" i="31"/>
  <c r="C58" i="31"/>
  <c r="C57" i="31"/>
  <c r="C56" i="31"/>
  <c r="C55" i="31"/>
  <c r="C54" i="31"/>
  <c r="C53" i="31"/>
  <c r="C52" i="31"/>
  <c r="C51" i="31"/>
  <c r="C50" i="31"/>
  <c r="C49" i="31"/>
  <c r="C48" i="31"/>
  <c r="C47" i="31"/>
  <c r="C46" i="31"/>
  <c r="C45" i="31"/>
  <c r="C44" i="31"/>
  <c r="C43" i="31"/>
  <c r="C42" i="31"/>
  <c r="C41" i="31"/>
  <c r="C38" i="31"/>
  <c r="C37" i="31"/>
  <c r="C36" i="31"/>
  <c r="C35" i="31"/>
  <c r="C34" i="31"/>
  <c r="C33" i="31"/>
  <c r="C32" i="31"/>
  <c r="C31" i="31"/>
  <c r="C30" i="31"/>
  <c r="C29" i="31"/>
  <c r="C28" i="31"/>
  <c r="C23" i="31"/>
  <c r="C22" i="31"/>
  <c r="C21" i="31"/>
  <c r="C20" i="31"/>
  <c r="C19" i="31"/>
  <c r="C18" i="31"/>
  <c r="C13" i="31"/>
  <c r="B13" i="31"/>
  <c r="C12" i="31"/>
  <c r="B12" i="31"/>
  <c r="C11" i="31"/>
  <c r="B11" i="31"/>
  <c r="C10" i="31"/>
  <c r="B10" i="31"/>
  <c r="C9" i="31"/>
  <c r="B9" i="31"/>
  <c r="C8" i="31"/>
  <c r="B8" i="31"/>
  <c r="C7" i="31"/>
  <c r="B7" i="31"/>
  <c r="C6" i="31"/>
  <c r="B6" i="31"/>
  <c r="C5" i="31"/>
  <c r="B5" i="31"/>
  <c r="C4" i="31"/>
  <c r="B4" i="31"/>
  <c r="C17" i="31" l="1"/>
  <c r="C223" i="30" l="1"/>
  <c r="C222" i="30"/>
  <c r="C221" i="30"/>
  <c r="C220" i="30"/>
  <c r="C219" i="30"/>
  <c r="C218" i="30"/>
  <c r="C217" i="30"/>
  <c r="C216" i="30"/>
  <c r="C215" i="30"/>
  <c r="C214" i="30"/>
  <c r="C213" i="30"/>
  <c r="C212" i="30"/>
  <c r="C211" i="30"/>
  <c r="C210" i="30"/>
  <c r="C209" i="30"/>
  <c r="C208" i="30"/>
  <c r="C207" i="30"/>
  <c r="C206" i="30"/>
  <c r="C205" i="30"/>
  <c r="C204" i="30"/>
  <c r="C203" i="30"/>
  <c r="C202" i="30"/>
  <c r="C201" i="30"/>
  <c r="C200" i="30"/>
  <c r="C199" i="30"/>
  <c r="C198" i="30"/>
  <c r="C197" i="30"/>
  <c r="C196" i="30"/>
  <c r="C195" i="30"/>
  <c r="C194" i="30"/>
  <c r="C193" i="30"/>
  <c r="C192" i="30"/>
  <c r="C191" i="30"/>
  <c r="C190" i="30"/>
  <c r="C189" i="30"/>
  <c r="C188" i="30"/>
  <c r="C187" i="30"/>
  <c r="C186" i="30"/>
  <c r="C185" i="30"/>
  <c r="C184" i="30"/>
  <c r="C183" i="30"/>
  <c r="C182" i="30"/>
  <c r="C181" i="30"/>
  <c r="C180" i="30"/>
  <c r="C179" i="30"/>
  <c r="C178" i="30"/>
  <c r="C177" i="30"/>
  <c r="C176" i="30"/>
  <c r="C175" i="30"/>
  <c r="C174" i="30"/>
  <c r="C173" i="30"/>
  <c r="C172" i="30"/>
  <c r="C171" i="30"/>
  <c r="C170" i="30"/>
  <c r="C169" i="30"/>
  <c r="C168" i="30"/>
  <c r="C167" i="30"/>
  <c r="C166" i="30"/>
  <c r="C165" i="30"/>
  <c r="C164" i="30"/>
  <c r="C163" i="30"/>
  <c r="C162" i="30"/>
  <c r="C161" i="30"/>
  <c r="C160" i="30"/>
  <c r="C159" i="30"/>
  <c r="C158" i="30"/>
  <c r="C157" i="30"/>
  <c r="C156" i="30"/>
  <c r="C155" i="30"/>
  <c r="C154" i="30"/>
  <c r="C153" i="30"/>
  <c r="C152" i="30"/>
  <c r="C151" i="30"/>
  <c r="C150" i="30"/>
  <c r="C149" i="30"/>
  <c r="C148" i="30"/>
  <c r="C147" i="30"/>
  <c r="C146" i="30"/>
  <c r="C145" i="30"/>
  <c r="C144" i="30"/>
  <c r="B144" i="30"/>
  <c r="B145" i="30" s="1"/>
  <c r="B146" i="30" s="1"/>
  <c r="B147" i="30" s="1"/>
  <c r="B148" i="30" s="1"/>
  <c r="B149" i="30" s="1"/>
  <c r="B150" i="30" s="1"/>
  <c r="B151" i="30" s="1"/>
  <c r="B152" i="30" s="1"/>
  <c r="B153" i="30" s="1"/>
  <c r="B154" i="30" s="1"/>
  <c r="B155" i="30" s="1"/>
  <c r="B156" i="30" s="1"/>
  <c r="B157" i="30" s="1"/>
  <c r="B158" i="30" s="1"/>
  <c r="B159" i="30" s="1"/>
  <c r="B160" i="30" s="1"/>
  <c r="B161" i="30" s="1"/>
  <c r="B162" i="30" s="1"/>
  <c r="B163" i="30" s="1"/>
  <c r="B164" i="30" s="1"/>
  <c r="B165" i="30" s="1"/>
  <c r="B166" i="30" s="1"/>
  <c r="B167" i="30" s="1"/>
  <c r="B168" i="30" s="1"/>
  <c r="B169" i="30" s="1"/>
  <c r="B170" i="30" s="1"/>
  <c r="B171" i="30" s="1"/>
  <c r="B172" i="30" s="1"/>
  <c r="B173" i="30" s="1"/>
  <c r="B174" i="30" s="1"/>
  <c r="B175" i="30" s="1"/>
  <c r="B176" i="30" s="1"/>
  <c r="B177" i="30" s="1"/>
  <c r="B178" i="30" s="1"/>
  <c r="B179" i="30" s="1"/>
  <c r="B180" i="30" s="1"/>
  <c r="B181" i="30" s="1"/>
  <c r="B182" i="30" s="1"/>
  <c r="B183" i="30" s="1"/>
  <c r="B184" i="30" s="1"/>
  <c r="B185" i="30" s="1"/>
  <c r="B186" i="30" s="1"/>
  <c r="B187" i="30" s="1"/>
  <c r="B188" i="30" s="1"/>
  <c r="B189" i="30" s="1"/>
  <c r="B190" i="30" s="1"/>
  <c r="B191" i="30" s="1"/>
  <c r="B192" i="30" s="1"/>
  <c r="B193" i="30" s="1"/>
  <c r="B194" i="30" s="1"/>
  <c r="B195" i="30" s="1"/>
  <c r="B196" i="30" s="1"/>
  <c r="B197" i="30" s="1"/>
  <c r="B198" i="30" s="1"/>
  <c r="B199" i="30" s="1"/>
  <c r="B200" i="30" s="1"/>
  <c r="B201" i="30" s="1"/>
  <c r="B202" i="30" s="1"/>
  <c r="B203" i="30" s="1"/>
  <c r="B204" i="30" s="1"/>
  <c r="B205" i="30" s="1"/>
  <c r="B206" i="30" s="1"/>
  <c r="B207" i="30" s="1"/>
  <c r="B208" i="30" s="1"/>
  <c r="B209" i="30" s="1"/>
  <c r="B210" i="30" s="1"/>
  <c r="B211" i="30" s="1"/>
  <c r="B212" i="30" s="1"/>
  <c r="B213" i="30" s="1"/>
  <c r="B214" i="30" s="1"/>
  <c r="B215" i="30" s="1"/>
  <c r="B216" i="30" s="1"/>
  <c r="B217" i="30" s="1"/>
  <c r="B218" i="30" s="1"/>
  <c r="B219" i="30" s="1"/>
  <c r="B220" i="30" s="1"/>
  <c r="B221" i="30" s="1"/>
  <c r="B222" i="30" s="1"/>
  <c r="B223" i="30" s="1"/>
  <c r="C143" i="30"/>
  <c r="C140" i="30"/>
  <c r="C138" i="30"/>
  <c r="C137" i="30"/>
  <c r="C136" i="30"/>
  <c r="C135" i="30"/>
  <c r="C125" i="30"/>
  <c r="C122" i="30"/>
  <c r="C121" i="30"/>
  <c r="C120" i="30"/>
  <c r="C119" i="30"/>
  <c r="C118" i="30"/>
  <c r="C117" i="30"/>
  <c r="C116" i="30"/>
  <c r="C115" i="30"/>
  <c r="C114" i="30"/>
  <c r="C113" i="30"/>
  <c r="C112" i="30"/>
  <c r="C111" i="30"/>
  <c r="C110" i="30"/>
  <c r="C109" i="30"/>
  <c r="C108" i="30"/>
  <c r="C107" i="30"/>
  <c r="C106" i="30"/>
  <c r="C105" i="30"/>
  <c r="C104" i="30"/>
  <c r="C103" i="30"/>
  <c r="C102" i="30"/>
  <c r="C101" i="30"/>
  <c r="C100" i="30"/>
  <c r="C99" i="30"/>
  <c r="C98" i="30"/>
  <c r="C97" i="30"/>
  <c r="C96" i="30"/>
  <c r="C93" i="30"/>
  <c r="C92" i="30"/>
  <c r="C91" i="30"/>
  <c r="C90" i="30"/>
  <c r="C89" i="30"/>
  <c r="C88" i="30"/>
  <c r="C87" i="30"/>
  <c r="C86" i="30"/>
  <c r="C85" i="30"/>
  <c r="C82" i="30"/>
  <c r="C81" i="30"/>
  <c r="C80" i="30"/>
  <c r="C79" i="30"/>
  <c r="C78" i="30"/>
  <c r="C77" i="30"/>
  <c r="C76" i="30"/>
  <c r="C75" i="30"/>
  <c r="C74" i="30"/>
  <c r="C73" i="30"/>
  <c r="C72" i="30"/>
  <c r="C71" i="30"/>
  <c r="C70" i="30"/>
  <c r="C69" i="30"/>
  <c r="C68" i="30"/>
  <c r="C67" i="30"/>
  <c r="C66" i="30"/>
  <c r="C65" i="30"/>
  <c r="C64" i="30"/>
  <c r="C63" i="30"/>
  <c r="C62" i="30"/>
  <c r="C61" i="30"/>
  <c r="C60" i="30"/>
  <c r="C59" i="30"/>
  <c r="C58" i="30"/>
  <c r="C57" i="30"/>
  <c r="C56" i="30"/>
  <c r="C55" i="30"/>
  <c r="C54" i="30"/>
  <c r="C53" i="30"/>
  <c r="C52" i="30"/>
  <c r="C51" i="30"/>
  <c r="C50" i="30"/>
  <c r="C49" i="30"/>
  <c r="C48" i="30"/>
  <c r="C47" i="30"/>
  <c r="C46" i="30"/>
  <c r="C45" i="30"/>
  <c r="C44" i="30"/>
  <c r="C43" i="30"/>
  <c r="C42" i="30"/>
  <c r="C41" i="30"/>
  <c r="C38" i="30"/>
  <c r="C37" i="30"/>
  <c r="C36" i="30"/>
  <c r="C35" i="30"/>
  <c r="C34" i="30"/>
  <c r="C33" i="30"/>
  <c r="C32" i="30"/>
  <c r="C31" i="30"/>
  <c r="C30" i="30"/>
  <c r="C29" i="30"/>
  <c r="C28" i="30"/>
  <c r="C23" i="30"/>
  <c r="C22" i="30"/>
  <c r="C21" i="30"/>
  <c r="C20" i="30"/>
  <c r="C19" i="30"/>
  <c r="C18" i="30"/>
  <c r="C13" i="30"/>
  <c r="B13" i="30"/>
  <c r="C12" i="30"/>
  <c r="B12" i="30"/>
  <c r="C11" i="30"/>
  <c r="B11" i="30"/>
  <c r="C10" i="30"/>
  <c r="B10" i="30"/>
  <c r="C9" i="30"/>
  <c r="B9" i="30"/>
  <c r="C8" i="30"/>
  <c r="B8" i="30"/>
  <c r="C7" i="30"/>
  <c r="B7" i="30"/>
  <c r="C6" i="30"/>
  <c r="B6" i="30"/>
  <c r="C5" i="30"/>
  <c r="B5" i="30"/>
  <c r="C4" i="30"/>
  <c r="B4" i="30"/>
  <c r="C17" i="30" l="1"/>
  <c r="C223" i="29" l="1"/>
  <c r="C222" i="29"/>
  <c r="C221" i="29"/>
  <c r="C220" i="29"/>
  <c r="C219" i="29"/>
  <c r="C218" i="29"/>
  <c r="C217" i="29"/>
  <c r="C216" i="29"/>
  <c r="C215" i="29"/>
  <c r="C214" i="29"/>
  <c r="C213" i="29"/>
  <c r="C212" i="29"/>
  <c r="C211" i="29"/>
  <c r="C210" i="29"/>
  <c r="C209" i="29"/>
  <c r="C208" i="29"/>
  <c r="C207" i="29"/>
  <c r="C206" i="29"/>
  <c r="C205" i="29"/>
  <c r="C204" i="29"/>
  <c r="C203" i="29"/>
  <c r="C202" i="29"/>
  <c r="C201" i="29"/>
  <c r="C200" i="29"/>
  <c r="C199" i="29"/>
  <c r="C198" i="29"/>
  <c r="C197" i="29"/>
  <c r="C196" i="29"/>
  <c r="C195" i="29"/>
  <c r="C194" i="29"/>
  <c r="C193" i="29"/>
  <c r="C192" i="29"/>
  <c r="C191" i="29"/>
  <c r="C190" i="29"/>
  <c r="C189" i="29"/>
  <c r="C188" i="29"/>
  <c r="C187" i="29"/>
  <c r="C186" i="29"/>
  <c r="C185" i="29"/>
  <c r="C184" i="29"/>
  <c r="C183" i="29"/>
  <c r="C182" i="29"/>
  <c r="C181" i="29"/>
  <c r="C180" i="29"/>
  <c r="C179" i="29"/>
  <c r="C178" i="29"/>
  <c r="C177" i="29"/>
  <c r="C176" i="29"/>
  <c r="C175" i="29"/>
  <c r="C174" i="29"/>
  <c r="C173" i="29"/>
  <c r="C172" i="29"/>
  <c r="C171" i="29"/>
  <c r="C170" i="29"/>
  <c r="C169" i="29"/>
  <c r="C168" i="29"/>
  <c r="C167" i="29"/>
  <c r="C166" i="29"/>
  <c r="C165" i="29"/>
  <c r="C164" i="29"/>
  <c r="C163" i="29"/>
  <c r="C162" i="29"/>
  <c r="C161" i="29"/>
  <c r="C160" i="29"/>
  <c r="C159" i="29"/>
  <c r="C158" i="29"/>
  <c r="C157" i="29"/>
  <c r="C156" i="29"/>
  <c r="C155" i="29"/>
  <c r="C154" i="29"/>
  <c r="C153" i="29"/>
  <c r="C152" i="29"/>
  <c r="C151" i="29"/>
  <c r="C150" i="29"/>
  <c r="C149" i="29"/>
  <c r="C148" i="29"/>
  <c r="C147" i="29"/>
  <c r="C146" i="29"/>
  <c r="C145" i="29"/>
  <c r="C144" i="29"/>
  <c r="B144" i="29"/>
  <c r="B145" i="29" s="1"/>
  <c r="B146" i="29" s="1"/>
  <c r="B147" i="29" s="1"/>
  <c r="B148" i="29" s="1"/>
  <c r="B149" i="29" s="1"/>
  <c r="B150" i="29" s="1"/>
  <c r="B151" i="29" s="1"/>
  <c r="B152" i="29" s="1"/>
  <c r="B153" i="29" s="1"/>
  <c r="B154" i="29" s="1"/>
  <c r="B155" i="29" s="1"/>
  <c r="B156" i="29" s="1"/>
  <c r="B157" i="29" s="1"/>
  <c r="B158" i="29" s="1"/>
  <c r="B159" i="29" s="1"/>
  <c r="B160" i="29" s="1"/>
  <c r="B161" i="29" s="1"/>
  <c r="B162" i="29" s="1"/>
  <c r="B163" i="29" s="1"/>
  <c r="B164" i="29" s="1"/>
  <c r="B165" i="29" s="1"/>
  <c r="B166" i="29" s="1"/>
  <c r="B167" i="29" s="1"/>
  <c r="B168" i="29" s="1"/>
  <c r="B169" i="29" s="1"/>
  <c r="B170" i="29" s="1"/>
  <c r="B171" i="29" s="1"/>
  <c r="B172" i="29" s="1"/>
  <c r="B173" i="29" s="1"/>
  <c r="B174" i="29" s="1"/>
  <c r="B175" i="29" s="1"/>
  <c r="B176" i="29" s="1"/>
  <c r="B177" i="29" s="1"/>
  <c r="B178" i="29" s="1"/>
  <c r="B179" i="29" s="1"/>
  <c r="B180" i="29" s="1"/>
  <c r="B181" i="29" s="1"/>
  <c r="B182" i="29" s="1"/>
  <c r="B183" i="29" s="1"/>
  <c r="B184" i="29" s="1"/>
  <c r="B185" i="29" s="1"/>
  <c r="B186" i="29" s="1"/>
  <c r="B187" i="29" s="1"/>
  <c r="B188" i="29" s="1"/>
  <c r="B189" i="29" s="1"/>
  <c r="B190" i="29" s="1"/>
  <c r="B191" i="29" s="1"/>
  <c r="B192" i="29" s="1"/>
  <c r="B193" i="29" s="1"/>
  <c r="B194" i="29" s="1"/>
  <c r="B195" i="29" s="1"/>
  <c r="B196" i="29" s="1"/>
  <c r="B197" i="29" s="1"/>
  <c r="B198" i="29" s="1"/>
  <c r="B199" i="29" s="1"/>
  <c r="B200" i="29" s="1"/>
  <c r="B201" i="29" s="1"/>
  <c r="B202" i="29" s="1"/>
  <c r="B203" i="29" s="1"/>
  <c r="B204" i="29" s="1"/>
  <c r="B205" i="29" s="1"/>
  <c r="B206" i="29" s="1"/>
  <c r="B207" i="29" s="1"/>
  <c r="B208" i="29" s="1"/>
  <c r="B209" i="29" s="1"/>
  <c r="B210" i="29" s="1"/>
  <c r="B211" i="29" s="1"/>
  <c r="B212" i="29" s="1"/>
  <c r="B213" i="29" s="1"/>
  <c r="B214" i="29" s="1"/>
  <c r="B215" i="29" s="1"/>
  <c r="B216" i="29" s="1"/>
  <c r="B217" i="29" s="1"/>
  <c r="B218" i="29" s="1"/>
  <c r="B219" i="29" s="1"/>
  <c r="B220" i="29" s="1"/>
  <c r="B221" i="29" s="1"/>
  <c r="B222" i="29" s="1"/>
  <c r="B223" i="29" s="1"/>
  <c r="C143" i="29"/>
  <c r="D140" i="29"/>
  <c r="C140" i="29"/>
  <c r="C138" i="29"/>
  <c r="C137" i="29"/>
  <c r="C136" i="29"/>
  <c r="C135" i="29"/>
  <c r="C125" i="29"/>
  <c r="D122" i="29"/>
  <c r="C122" i="29"/>
  <c r="C121" i="29"/>
  <c r="C120" i="29"/>
  <c r="C119" i="29"/>
  <c r="C118" i="29"/>
  <c r="C117" i="29"/>
  <c r="C116" i="29"/>
  <c r="C115" i="29"/>
  <c r="C114" i="29"/>
  <c r="C113" i="29"/>
  <c r="C112" i="29"/>
  <c r="D111" i="29"/>
  <c r="C111" i="29"/>
  <c r="D110" i="29"/>
  <c r="C110" i="29"/>
  <c r="D109" i="29"/>
  <c r="C109" i="29"/>
  <c r="D108" i="29"/>
  <c r="C108" i="29"/>
  <c r="C107" i="29"/>
  <c r="C106" i="29"/>
  <c r="C105" i="29"/>
  <c r="C104" i="29"/>
  <c r="D103" i="29"/>
  <c r="C103" i="29"/>
  <c r="C102" i="29"/>
  <c r="C101" i="29"/>
  <c r="C100" i="29"/>
  <c r="C99" i="29"/>
  <c r="C98" i="29"/>
  <c r="C97" i="29"/>
  <c r="C96" i="29"/>
  <c r="C93" i="29"/>
  <c r="D92" i="29"/>
  <c r="C92" i="29"/>
  <c r="C91" i="29"/>
  <c r="C90" i="29"/>
  <c r="D89" i="29"/>
  <c r="C89" i="29"/>
  <c r="C88" i="29"/>
  <c r="C87" i="29"/>
  <c r="D86" i="29"/>
  <c r="C86" i="29"/>
  <c r="C85" i="29"/>
  <c r="C82" i="29"/>
  <c r="C81" i="29"/>
  <c r="D80" i="29"/>
  <c r="C80" i="29"/>
  <c r="C79" i="29"/>
  <c r="C78" i="29"/>
  <c r="D78" i="29" s="1"/>
  <c r="D77" i="29"/>
  <c r="C77" i="29"/>
  <c r="C76" i="29"/>
  <c r="C75" i="29"/>
  <c r="D74" i="29"/>
  <c r="C74" i="29"/>
  <c r="C73" i="29"/>
  <c r="D72" i="29"/>
  <c r="C72" i="29"/>
  <c r="C71" i="29"/>
  <c r="D71" i="29" s="1"/>
  <c r="C70" i="29"/>
  <c r="C69" i="29"/>
  <c r="D68" i="29"/>
  <c r="C68" i="29"/>
  <c r="C67" i="29"/>
  <c r="C66" i="29"/>
  <c r="C65" i="29"/>
  <c r="C64" i="29"/>
  <c r="D63" i="29"/>
  <c r="C63" i="29"/>
  <c r="C62" i="29"/>
  <c r="C61" i="29"/>
  <c r="C60" i="29"/>
  <c r="C59" i="29"/>
  <c r="C58" i="29"/>
  <c r="C57" i="29"/>
  <c r="C56" i="29"/>
  <c r="C55" i="29"/>
  <c r="C54" i="29"/>
  <c r="C53" i="29"/>
  <c r="C52" i="29"/>
  <c r="C51" i="29"/>
  <c r="C50" i="29"/>
  <c r="C49" i="29"/>
  <c r="D48" i="29"/>
  <c r="C48" i="29"/>
  <c r="D47" i="29"/>
  <c r="C47" i="29"/>
  <c r="C46" i="29"/>
  <c r="C45" i="29"/>
  <c r="D44" i="29"/>
  <c r="C44" i="29"/>
  <c r="D43" i="29"/>
  <c r="C43" i="29"/>
  <c r="D42" i="29"/>
  <c r="C42" i="29"/>
  <c r="C41" i="29"/>
  <c r="C38" i="29"/>
  <c r="C37" i="29"/>
  <c r="C36" i="29"/>
  <c r="C35" i="29"/>
  <c r="C34" i="29"/>
  <c r="C33" i="29"/>
  <c r="C32" i="29"/>
  <c r="D31" i="29"/>
  <c r="C31" i="29"/>
  <c r="D30" i="29"/>
  <c r="C30" i="29"/>
  <c r="D29" i="29"/>
  <c r="C29" i="29"/>
  <c r="D28" i="29"/>
  <c r="C28" i="29"/>
  <c r="C23" i="29"/>
  <c r="C22" i="29"/>
  <c r="C21" i="29"/>
  <c r="C20" i="29"/>
  <c r="C19" i="29"/>
  <c r="C17" i="29" s="1"/>
  <c r="C18" i="29"/>
  <c r="C13" i="29"/>
  <c r="B13" i="29"/>
  <c r="C12" i="29"/>
  <c r="B12" i="29"/>
  <c r="C11" i="29"/>
  <c r="B11" i="29"/>
  <c r="C10" i="29"/>
  <c r="B10" i="29"/>
  <c r="C9" i="29"/>
  <c r="B9" i="29"/>
  <c r="C8" i="29"/>
  <c r="B8" i="29"/>
  <c r="C7" i="29"/>
  <c r="B7" i="29"/>
  <c r="C6" i="29"/>
  <c r="B6" i="29"/>
  <c r="C5" i="29"/>
  <c r="B5" i="29"/>
  <c r="C4" i="29"/>
  <c r="B4" i="29"/>
  <c r="C223" i="28" l="1"/>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C145" i="28"/>
  <c r="B145" i="28"/>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C144" i="28"/>
  <c r="B144" i="28"/>
  <c r="C143" i="28"/>
  <c r="C140" i="28"/>
  <c r="C138" i="28"/>
  <c r="C137" i="28"/>
  <c r="C136" i="28"/>
  <c r="C135" i="28"/>
  <c r="C125" i="28"/>
  <c r="C122" i="28"/>
  <c r="C121" i="28"/>
  <c r="C120" i="28"/>
  <c r="C119" i="28"/>
  <c r="C118" i="28"/>
  <c r="C117" i="28"/>
  <c r="C116" i="28"/>
  <c r="C115" i="28"/>
  <c r="C114" i="28"/>
  <c r="C113" i="28"/>
  <c r="C112" i="28"/>
  <c r="C111" i="28"/>
  <c r="C110" i="28"/>
  <c r="C109" i="28"/>
  <c r="C108" i="28"/>
  <c r="C107" i="28"/>
  <c r="C106" i="28"/>
  <c r="C105" i="28"/>
  <c r="C104" i="28"/>
  <c r="C103" i="28"/>
  <c r="C102" i="28"/>
  <c r="C101" i="28"/>
  <c r="C100" i="28"/>
  <c r="C99" i="28"/>
  <c r="C98" i="28"/>
  <c r="C97" i="28"/>
  <c r="C96" i="28"/>
  <c r="C93" i="28"/>
  <c r="C92" i="28"/>
  <c r="C91" i="28"/>
  <c r="C90" i="28"/>
  <c r="C89" i="28"/>
  <c r="C88" i="28"/>
  <c r="C87" i="28"/>
  <c r="C86" i="28"/>
  <c r="C85"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5" i="28"/>
  <c r="C44" i="28"/>
  <c r="C43" i="28"/>
  <c r="C42" i="28"/>
  <c r="C41" i="28"/>
  <c r="C38" i="28"/>
  <c r="C37" i="28"/>
  <c r="C36" i="28"/>
  <c r="C35" i="28"/>
  <c r="C34" i="28"/>
  <c r="C33" i="28"/>
  <c r="C32" i="28"/>
  <c r="C31" i="28"/>
  <c r="C30" i="28"/>
  <c r="C29" i="28"/>
  <c r="C28" i="28"/>
  <c r="C23" i="28"/>
  <c r="C22" i="28"/>
  <c r="C21" i="28"/>
  <c r="C20" i="28"/>
  <c r="C19" i="28"/>
  <c r="C18" i="28"/>
  <c r="C17" i="28" s="1"/>
  <c r="C13" i="28"/>
  <c r="B13" i="28"/>
  <c r="C12" i="28"/>
  <c r="B12" i="28"/>
  <c r="C11" i="28"/>
  <c r="B11" i="28"/>
  <c r="C10" i="28"/>
  <c r="B10" i="28"/>
  <c r="C9" i="28"/>
  <c r="B9" i="28"/>
  <c r="C8" i="28"/>
  <c r="B8" i="28"/>
  <c r="C7" i="28"/>
  <c r="B7" i="28"/>
  <c r="C6" i="28"/>
  <c r="B6" i="28"/>
  <c r="C5" i="28"/>
  <c r="B5" i="28"/>
  <c r="C4" i="28"/>
  <c r="B4" i="28"/>
  <c r="C223" i="27" l="1"/>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C145" i="27"/>
  <c r="C144" i="27"/>
  <c r="B144" i="27"/>
  <c r="B145" i="27" s="1"/>
  <c r="B146" i="27" s="1"/>
  <c r="B147" i="27" s="1"/>
  <c r="B148" i="27" s="1"/>
  <c r="B149" i="27" s="1"/>
  <c r="B150" i="27" s="1"/>
  <c r="B151" i="27" s="1"/>
  <c r="B152" i="27" s="1"/>
  <c r="B153" i="27" s="1"/>
  <c r="B154" i="27" s="1"/>
  <c r="B155" i="27" s="1"/>
  <c r="B156" i="27" s="1"/>
  <c r="B157" i="27" s="1"/>
  <c r="B158" i="27" s="1"/>
  <c r="B159" i="27" s="1"/>
  <c r="B160" i="27" s="1"/>
  <c r="B161" i="27" s="1"/>
  <c r="B162" i="27" s="1"/>
  <c r="B163" i="27" s="1"/>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C143" i="27"/>
  <c r="C140" i="27"/>
  <c r="C138" i="27"/>
  <c r="C137" i="27"/>
  <c r="C136" i="27"/>
  <c r="C135" i="27"/>
  <c r="C125" i="27"/>
  <c r="C122" i="27"/>
  <c r="C121" i="27"/>
  <c r="C120" i="27"/>
  <c r="C119" i="27"/>
  <c r="C118" i="27"/>
  <c r="C117" i="27"/>
  <c r="C116" i="27"/>
  <c r="C115" i="27"/>
  <c r="C114" i="27"/>
  <c r="C113" i="27"/>
  <c r="C112" i="27"/>
  <c r="C111" i="27"/>
  <c r="C110" i="27"/>
  <c r="C109" i="27"/>
  <c r="C108" i="27"/>
  <c r="C107" i="27"/>
  <c r="C106" i="27"/>
  <c r="C105" i="27"/>
  <c r="C104" i="27"/>
  <c r="C103" i="27"/>
  <c r="C102" i="27"/>
  <c r="C101" i="27"/>
  <c r="C100" i="27"/>
  <c r="C99" i="27"/>
  <c r="C98" i="27"/>
  <c r="C97" i="27"/>
  <c r="C96" i="27"/>
  <c r="C93" i="27"/>
  <c r="C92" i="27"/>
  <c r="C91" i="27"/>
  <c r="C90" i="27"/>
  <c r="C89" i="27"/>
  <c r="C88" i="27"/>
  <c r="C87" i="27"/>
  <c r="C86" i="27"/>
  <c r="C85"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5" i="27"/>
  <c r="C44" i="27"/>
  <c r="C43" i="27"/>
  <c r="C42" i="27"/>
  <c r="C41" i="27"/>
  <c r="C38" i="27"/>
  <c r="C37" i="27"/>
  <c r="C36" i="27"/>
  <c r="C35" i="27"/>
  <c r="C34" i="27"/>
  <c r="C33" i="27"/>
  <c r="C32" i="27"/>
  <c r="C31" i="27"/>
  <c r="C30" i="27"/>
  <c r="C29" i="27"/>
  <c r="C28" i="27"/>
  <c r="C23" i="27"/>
  <c r="C22" i="27"/>
  <c r="C21" i="27"/>
  <c r="C20" i="27"/>
  <c r="C19" i="27"/>
  <c r="C18" i="27"/>
  <c r="C13" i="27"/>
  <c r="B13" i="27"/>
  <c r="C12" i="27"/>
  <c r="B12" i="27"/>
  <c r="C11" i="27"/>
  <c r="B11" i="27"/>
  <c r="C10" i="27"/>
  <c r="B10" i="27"/>
  <c r="C9" i="27"/>
  <c r="B9" i="27"/>
  <c r="C8" i="27"/>
  <c r="B8" i="27"/>
  <c r="C7" i="27"/>
  <c r="B7" i="27"/>
  <c r="C6" i="27"/>
  <c r="B6" i="27"/>
  <c r="C5" i="27"/>
  <c r="B5" i="27"/>
  <c r="C4" i="27"/>
  <c r="B4" i="27"/>
  <c r="C17" i="27" l="1"/>
  <c r="C223" i="26" l="1"/>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C146" i="26"/>
  <c r="C145" i="26"/>
  <c r="C144" i="26"/>
  <c r="B144" i="26"/>
  <c r="B145" i="26" s="1"/>
  <c r="B146" i="26" s="1"/>
  <c r="B147" i="26" s="1"/>
  <c r="B148" i="26" s="1"/>
  <c r="B149" i="26" s="1"/>
  <c r="B150" i="26" s="1"/>
  <c r="B151" i="26" s="1"/>
  <c r="B152" i="26" s="1"/>
  <c r="B153" i="26" s="1"/>
  <c r="B154" i="26" s="1"/>
  <c r="B155" i="26" s="1"/>
  <c r="B156" i="26" s="1"/>
  <c r="B157" i="26" s="1"/>
  <c r="B158" i="26" s="1"/>
  <c r="B159" i="26" s="1"/>
  <c r="B160" i="26" s="1"/>
  <c r="B161" i="26" s="1"/>
  <c r="B162" i="26" s="1"/>
  <c r="B163" i="26" s="1"/>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C143" i="26"/>
  <c r="C140" i="26"/>
  <c r="C138" i="26"/>
  <c r="C137" i="26"/>
  <c r="C136" i="26"/>
  <c r="C135" i="26"/>
  <c r="C125" i="26"/>
  <c r="C122" i="26"/>
  <c r="C121" i="26"/>
  <c r="C120" i="26"/>
  <c r="C119" i="26"/>
  <c r="C118" i="26"/>
  <c r="C117" i="26"/>
  <c r="C116" i="26"/>
  <c r="C115" i="26"/>
  <c r="C114" i="26"/>
  <c r="C113" i="26"/>
  <c r="C112" i="26"/>
  <c r="C111" i="26"/>
  <c r="C110" i="26"/>
  <c r="C109" i="26"/>
  <c r="C108" i="26"/>
  <c r="C107" i="26"/>
  <c r="C106" i="26"/>
  <c r="C105" i="26"/>
  <c r="C104" i="26"/>
  <c r="C103" i="26"/>
  <c r="C102" i="26"/>
  <c r="C101" i="26"/>
  <c r="C100" i="26"/>
  <c r="C99" i="26"/>
  <c r="C98" i="26"/>
  <c r="C97" i="26"/>
  <c r="C96" i="26"/>
  <c r="C93" i="26"/>
  <c r="C92" i="26"/>
  <c r="C91" i="26"/>
  <c r="C90" i="26"/>
  <c r="C89" i="26"/>
  <c r="C88" i="26"/>
  <c r="C87" i="26"/>
  <c r="C86" i="26"/>
  <c r="C85"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5" i="26"/>
  <c r="C44" i="26"/>
  <c r="C43" i="26"/>
  <c r="C42" i="26"/>
  <c r="C41" i="26"/>
  <c r="C38" i="26"/>
  <c r="C37" i="26"/>
  <c r="C36" i="26"/>
  <c r="C35" i="26"/>
  <c r="C34" i="26"/>
  <c r="C33" i="26"/>
  <c r="C32" i="26"/>
  <c r="C31" i="26"/>
  <c r="C30" i="26"/>
  <c r="C29" i="26"/>
  <c r="C28" i="26"/>
  <c r="C23" i="26"/>
  <c r="C22" i="26"/>
  <c r="C21" i="26"/>
  <c r="C20" i="26"/>
  <c r="C19" i="26"/>
  <c r="C18" i="26"/>
  <c r="C13" i="26"/>
  <c r="B13" i="26"/>
  <c r="C12" i="26"/>
  <c r="B12" i="26"/>
  <c r="C11" i="26"/>
  <c r="B11" i="26"/>
  <c r="C10" i="26"/>
  <c r="B10" i="26"/>
  <c r="C9" i="26"/>
  <c r="B9" i="26"/>
  <c r="C8" i="26"/>
  <c r="B8" i="26"/>
  <c r="C7" i="26"/>
  <c r="B7" i="26"/>
  <c r="C6" i="26"/>
  <c r="B6" i="26"/>
  <c r="C5" i="26"/>
  <c r="B5" i="26"/>
  <c r="C4" i="26"/>
  <c r="B4" i="26"/>
  <c r="C17" i="26" l="1"/>
  <c r="C223" i="24" l="1"/>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C145" i="24"/>
  <c r="C144" i="24"/>
  <c r="B144" i="24"/>
  <c r="B145" i="24" s="1"/>
  <c r="B146" i="24" s="1"/>
  <c r="B147" i="24" s="1"/>
  <c r="B148" i="24" s="1"/>
  <c r="B149" i="24" s="1"/>
  <c r="B150" i="24" s="1"/>
  <c r="B151" i="24" s="1"/>
  <c r="B152" i="24" s="1"/>
  <c r="B153" i="24" s="1"/>
  <c r="B154" i="24" s="1"/>
  <c r="B155" i="24" s="1"/>
  <c r="B156" i="24" s="1"/>
  <c r="B157" i="24" s="1"/>
  <c r="B158" i="24" s="1"/>
  <c r="B159" i="24" s="1"/>
  <c r="B160" i="24" s="1"/>
  <c r="B161" i="24" s="1"/>
  <c r="B162" i="24" s="1"/>
  <c r="B163" i="24" s="1"/>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C143" i="24"/>
  <c r="C140" i="24"/>
  <c r="C138" i="24"/>
  <c r="C137" i="24"/>
  <c r="C136" i="24"/>
  <c r="C135" i="24"/>
  <c r="C125" i="24"/>
  <c r="C122" i="24"/>
  <c r="C121" i="24"/>
  <c r="C120" i="24"/>
  <c r="C119" i="24"/>
  <c r="C118" i="24"/>
  <c r="C117" i="24"/>
  <c r="C116" i="24"/>
  <c r="C115" i="24"/>
  <c r="C114" i="24"/>
  <c r="C113" i="24"/>
  <c r="C112" i="24"/>
  <c r="C111" i="24"/>
  <c r="C110" i="24"/>
  <c r="C109" i="24"/>
  <c r="C108" i="24"/>
  <c r="C107" i="24"/>
  <c r="C106" i="24"/>
  <c r="C105" i="24"/>
  <c r="C104" i="24"/>
  <c r="C103" i="24"/>
  <c r="C102" i="24"/>
  <c r="C101" i="24"/>
  <c r="C100" i="24"/>
  <c r="C99" i="24"/>
  <c r="C98" i="24"/>
  <c r="C97" i="24"/>
  <c r="C96" i="24"/>
  <c r="C93" i="24"/>
  <c r="C92" i="24"/>
  <c r="C91" i="24"/>
  <c r="C90" i="24"/>
  <c r="C89" i="24"/>
  <c r="C88" i="24"/>
  <c r="C87" i="24"/>
  <c r="C86" i="24"/>
  <c r="C85"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5" i="24"/>
  <c r="C44" i="24"/>
  <c r="C43" i="24"/>
  <c r="C42" i="24"/>
  <c r="C41" i="24"/>
  <c r="C38" i="24"/>
  <c r="C37" i="24"/>
  <c r="C36" i="24"/>
  <c r="C35" i="24"/>
  <c r="C34" i="24"/>
  <c r="C33" i="24"/>
  <c r="C32" i="24"/>
  <c r="C31" i="24"/>
  <c r="C30" i="24"/>
  <c r="C29" i="24"/>
  <c r="C28" i="24"/>
  <c r="C23" i="24"/>
  <c r="C22" i="24"/>
  <c r="C21" i="24"/>
  <c r="C20" i="24"/>
  <c r="C19" i="24"/>
  <c r="C18" i="24"/>
  <c r="C13" i="24"/>
  <c r="B13" i="24"/>
  <c r="C12" i="24"/>
  <c r="B12" i="24"/>
  <c r="C11" i="24"/>
  <c r="B11" i="24"/>
  <c r="C10" i="24"/>
  <c r="B10" i="24"/>
  <c r="C9" i="24"/>
  <c r="B9" i="24"/>
  <c r="C8" i="24"/>
  <c r="B8" i="24"/>
  <c r="C7" i="24"/>
  <c r="B7" i="24"/>
  <c r="C6" i="24"/>
  <c r="B6" i="24"/>
  <c r="C5" i="24"/>
  <c r="B5" i="24"/>
  <c r="C4" i="24"/>
  <c r="B4" i="24"/>
  <c r="C17" i="24" l="1"/>
  <c r="C223" i="25" l="1"/>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C145" i="25"/>
  <c r="C144" i="25"/>
  <c r="B144" i="25"/>
  <c r="B145" i="25" s="1"/>
  <c r="B146" i="25" s="1"/>
  <c r="B147" i="25" s="1"/>
  <c r="B148" i="25" s="1"/>
  <c r="B149" i="25" s="1"/>
  <c r="B150" i="25" s="1"/>
  <c r="B151" i="25" s="1"/>
  <c r="B152" i="25" s="1"/>
  <c r="B153" i="25" s="1"/>
  <c r="B154" i="25" s="1"/>
  <c r="B155" i="25" s="1"/>
  <c r="B156" i="25" s="1"/>
  <c r="B157" i="25" s="1"/>
  <c r="B158" i="25" s="1"/>
  <c r="B159" i="25" s="1"/>
  <c r="B160" i="25" s="1"/>
  <c r="B161" i="25" s="1"/>
  <c r="B162" i="25" s="1"/>
  <c r="B163" i="25" s="1"/>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C143" i="25"/>
  <c r="C140" i="25"/>
  <c r="C138" i="25"/>
  <c r="C137" i="25"/>
  <c r="C136" i="25"/>
  <c r="C135" i="25"/>
  <c r="C125" i="25"/>
  <c r="C122" i="25"/>
  <c r="C121" i="25"/>
  <c r="C120" i="25"/>
  <c r="C119" i="25"/>
  <c r="C118" i="25"/>
  <c r="C117" i="25"/>
  <c r="C116" i="25"/>
  <c r="C115" i="25"/>
  <c r="C114" i="25"/>
  <c r="C113" i="25"/>
  <c r="C112" i="25"/>
  <c r="C111" i="25"/>
  <c r="C110" i="25"/>
  <c r="C109" i="25"/>
  <c r="C108" i="25"/>
  <c r="C107" i="25"/>
  <c r="C106" i="25"/>
  <c r="C105" i="25"/>
  <c r="C104" i="25"/>
  <c r="C103" i="25"/>
  <c r="C102" i="25"/>
  <c r="C101" i="25"/>
  <c r="C100" i="25"/>
  <c r="C99" i="25"/>
  <c r="C98" i="25"/>
  <c r="C97" i="25"/>
  <c r="C96" i="25"/>
  <c r="C93" i="25"/>
  <c r="C92" i="25"/>
  <c r="C91" i="25"/>
  <c r="C90" i="25"/>
  <c r="C89" i="25"/>
  <c r="C88" i="25"/>
  <c r="C87" i="25"/>
  <c r="C86" i="25"/>
  <c r="C85"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5" i="25"/>
  <c r="C44" i="25"/>
  <c r="C43" i="25"/>
  <c r="C42" i="25"/>
  <c r="C41" i="25"/>
  <c r="C38" i="25"/>
  <c r="C37" i="25"/>
  <c r="C36" i="25"/>
  <c r="C35" i="25"/>
  <c r="C34" i="25"/>
  <c r="C33" i="25"/>
  <c r="C32" i="25"/>
  <c r="C31" i="25"/>
  <c r="C30" i="25"/>
  <c r="C29" i="25"/>
  <c r="C28" i="25"/>
  <c r="C23" i="25"/>
  <c r="C22" i="25"/>
  <c r="C21" i="25"/>
  <c r="C20" i="25"/>
  <c r="C19" i="25"/>
  <c r="C18" i="25"/>
  <c r="C13" i="25"/>
  <c r="B13" i="25"/>
  <c r="C12" i="25"/>
  <c r="B12" i="25"/>
  <c r="C11" i="25"/>
  <c r="B11" i="25"/>
  <c r="C10" i="25"/>
  <c r="B10" i="25"/>
  <c r="C9" i="25"/>
  <c r="B9" i="25"/>
  <c r="C8" i="25"/>
  <c r="B8" i="25"/>
  <c r="C7" i="25"/>
  <c r="B7" i="25"/>
  <c r="C6" i="25"/>
  <c r="B6" i="25"/>
  <c r="C5" i="25"/>
  <c r="B5" i="25"/>
  <c r="C4" i="25"/>
  <c r="B4" i="25"/>
  <c r="C17" i="25" l="1"/>
  <c r="C223" i="23" l="1"/>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C144" i="23"/>
  <c r="B144" i="23"/>
  <c r="B145" i="23" s="1"/>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7" i="23"/>
  <c r="C13" i="23"/>
  <c r="B13" i="23"/>
  <c r="C12" i="23"/>
  <c r="B12" i="23"/>
  <c r="C11" i="23"/>
  <c r="B11" i="23"/>
  <c r="C10" i="23"/>
  <c r="B10" i="23"/>
  <c r="C9" i="23"/>
  <c r="B9" i="23"/>
  <c r="C8" i="23"/>
  <c r="B8" i="23"/>
  <c r="C7" i="23"/>
  <c r="B7" i="23"/>
  <c r="C6" i="23"/>
  <c r="B6" i="23"/>
  <c r="C5" i="23"/>
  <c r="B5" i="23"/>
  <c r="C4" i="23"/>
  <c r="B4" i="23"/>
  <c r="C223" i="22" l="1"/>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C144" i="22"/>
  <c r="B144" i="22"/>
  <c r="B145" i="22" s="1"/>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9" i="22"/>
  <c r="C18" i="22"/>
  <c r="C13" i="22"/>
  <c r="B13" i="22"/>
  <c r="C12" i="22"/>
  <c r="B12" i="22"/>
  <c r="C11" i="22"/>
  <c r="B11" i="22"/>
  <c r="C10" i="22"/>
  <c r="B10" i="22"/>
  <c r="C9" i="22"/>
  <c r="B9" i="22"/>
  <c r="C8" i="22"/>
  <c r="B8" i="22"/>
  <c r="C7" i="22"/>
  <c r="B7" i="22"/>
  <c r="C6" i="22"/>
  <c r="B6" i="22"/>
  <c r="C5" i="22"/>
  <c r="B5" i="22"/>
  <c r="C4" i="22"/>
  <c r="B4" i="22"/>
  <c r="C17" i="22" l="1"/>
  <c r="C223" i="21" l="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B145" i="2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4" i="21"/>
  <c r="B144" i="2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9" i="21"/>
  <c r="C18" i="21"/>
  <c r="C17" i="21" s="1"/>
  <c r="C13" i="21"/>
  <c r="B13" i="21"/>
  <c r="C12" i="21"/>
  <c r="B12" i="21"/>
  <c r="C11" i="21"/>
  <c r="B11" i="21"/>
  <c r="C10" i="21"/>
  <c r="B10" i="21"/>
  <c r="C9" i="21"/>
  <c r="B9" i="21"/>
  <c r="C8" i="21"/>
  <c r="B8" i="21"/>
  <c r="C7" i="21"/>
  <c r="B7" i="21"/>
  <c r="C6" i="21"/>
  <c r="B6" i="21"/>
  <c r="C5" i="21"/>
  <c r="B5" i="21"/>
  <c r="C4" i="21"/>
  <c r="B4" i="21"/>
</calcChain>
</file>

<file path=xl/sharedStrings.xml><?xml version="1.0" encoding="utf-8"?>
<sst xmlns="http://schemas.openxmlformats.org/spreadsheetml/2006/main" count="4714" uniqueCount="246">
  <si>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</si>
  <si>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</si>
  <si>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</si>
  <si>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</si>
  <si>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</si>
  <si>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</si>
  <si>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</si>
  <si>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</si>
  <si>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</si>
  <si>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</si>
  <si>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</si>
  <si>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</si>
  <si>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</si>
  <si>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</si>
  <si>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</si>
  <si>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</si>
  <si>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</si>
  <si>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</si>
  <si>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</si>
  <si>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</si>
  <si>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</si>
  <si>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</si>
  <si>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</si>
  <si>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</si>
  <si>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</si>
  <si>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</si>
  <si>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</si>
  <si>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</si>
  <si>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</si>
  <si>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</si>
  <si>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</si>
  <si>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</si>
  <si>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</si>
  <si>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</si>
  <si>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</si>
  <si>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</si>
  <si>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</si>
  <si>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</si>
  <si>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</si>
  <si>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</si>
  <si>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</si>
  <si>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</si>
  <si>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</si>
  <si>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</si>
  <si>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</si>
  <si>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</si>
  <si>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</si>
  <si>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</si>
  <si>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</si>
  <si>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</si>
  <si>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</si>
  <si>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</si>
  <si>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</si>
  <si>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</si>
  <si>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</si>
  <si>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</si>
  <si>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</si>
  <si>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</si>
  <si>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</si>
  <si>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</si>
  <si>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</si>
  <si>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</si>
  <si>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</si>
  <si>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</si>
  <si>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</si>
  <si>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</si>
  <si>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</si>
  <si>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</si>
  <si>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</si>
  <si>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</si>
  <si>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</si>
  <si>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</si>
  <si>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</si>
  <si>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</si>
  <si>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</si>
  <si>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</si>
  <si>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</si>
  <si>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</si>
  <si>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</si>
  <si>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</si>
  <si>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</si>
  <si>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</si>
  <si>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</si>
  <si>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</si>
  <si>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</si>
  <si>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</si>
  <si>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</si>
  <si>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</si>
  <si>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</si>
  <si>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</si>
  <si>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</si>
  <si>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</si>
  <si>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</si>
  <si>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</si>
  <si>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</si>
  <si>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</si>
  <si>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</si>
  <si>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</si>
  <si>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</si>
  <si>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</si>
  <si>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</si>
  <si>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</si>
  <si>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</si>
  <si>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</si>
  <si>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</si>
  <si>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</si>
  <si>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</si>
  <si>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</si>
  <si>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</si>
  <si>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</si>
  <si>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</si>
  <si>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</si>
  <si>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</si>
  <si>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</si>
  <si>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</si>
  <si>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</si>
  <si>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</si>
  <si>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</si>
  <si>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</si>
  <si>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</si>
  <si>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</si>
  <si>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</si>
  <si>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</si>
  <si>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</si>
  <si>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</si>
  <si>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</si>
  <si>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</si>
  <si>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</si>
  <si>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</si>
  <si>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</si>
  <si>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</si>
  <si>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</si>
  <si>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</si>
  <si>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</si>
  <si>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</si>
  <si>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</si>
  <si>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</si>
  <si>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</si>
  <si>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</si>
  <si>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</si>
  <si>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</si>
  <si>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</si>
  <si>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</si>
  <si>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</si>
  <si>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</si>
  <si>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</si>
  <si>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</si>
  <si>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</si>
  <si>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</si>
  <si>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</si>
  <si>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</si>
  <si>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</si>
  <si>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</si>
  <si>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</si>
  <si>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</si>
  <si>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</si>
  <si>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</si>
  <si>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</si>
  <si>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</si>
  <si>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</si>
  <si>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</si>
  <si>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</si>
  <si>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</si>
  <si>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</si>
  <si>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</si>
  <si>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</si>
  <si>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</si>
  <si>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</si>
  <si>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</si>
  <si>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</si>
  <si>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</si>
  <si>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</si>
  <si>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</si>
  <si>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</si>
  <si>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</si>
  <si>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</si>
  <si>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</si>
  <si>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</si>
  <si>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</si>
  <si>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</si>
  <si>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</si>
  <si>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</si>
  <si>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</si>
  <si>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</si>
  <si>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</si>
  <si>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</si>
  <si>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</si>
  <si>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</si>
  <si>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</si>
  <si>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</si>
  <si>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</si>
  <si>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</si>
  <si>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</si>
  <si>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</si>
  <si>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</si>
  <si>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</si>
  <si>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</si>
  <si>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</si>
  <si>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</si>
  <si>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</si>
  <si>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</si>
  <si>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</si>
  <si>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</si>
  <si>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</si>
  <si>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</si>
  <si>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</si>
  <si>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</si>
  <si>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</si>
  <si>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</si>
  <si>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</si>
  <si>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</si>
  <si>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</si>
  <si>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</si>
  <si>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</si>
  <si>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</si>
  <si>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</si>
  <si>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</si>
  <si>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</si>
  <si>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</si>
  <si>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</si>
  <si>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</si>
  <si>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</si>
  <si>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</si>
  <si>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</si>
  <si>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</si>
  <si>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</si>
  <si>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</si>
  <si>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Источник информации</t>
  </si>
  <si>
    <t>Таблица ТЭП (I)</t>
  </si>
  <si>
    <t>Постановление №1562</t>
  </si>
  <si>
    <t>Таблица ТЭП (II.1.)</t>
  </si>
  <si>
    <t>Таблица ТЭП (II.2.)</t>
  </si>
  <si>
    <t>Таблица ТЭП (IX)</t>
  </si>
  <si>
    <t>Таблица ТЭП (II) Таблица 2</t>
  </si>
  <si>
    <t>Таблица ТЭП (II) Таблица 3</t>
  </si>
  <si>
    <t>таблица 4 Сборника сметных норм дополнительных затрат при производстве строительно-монтажных работ в зимнее время (ГСН 81-05-02-2007)</t>
  </si>
  <si>
    <t>Приложение № 1 Сборника сметных норм дополнительных затрат при производстве строительно-монтажных работ в зимнее время 
(ГСН 81-05-02-2007).</t>
  </si>
  <si>
    <t>Таблица ТЭП (VIII)</t>
  </si>
  <si>
    <t>Таблица ТЭП (VII)</t>
  </si>
  <si>
    <t>Таблица ТЭП (X)</t>
  </si>
  <si>
    <t>Таблица ТЭП (XI)</t>
  </si>
  <si>
    <t>Таблица ТЭП (III)</t>
  </si>
  <si>
    <t>Таблица ТЭП (IV)</t>
  </si>
  <si>
    <t>Таблица ТЭП (II)</t>
  </si>
  <si>
    <t>Таблица ТЭП (VI)</t>
  </si>
  <si>
    <t>Таблица ТЭП (XIV)</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</si>
</sst>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
    <numFmt numFmtId="166" formatCode="0.0%"/>
  </numFmts>
  <fonts count="34" x14ac:knownFonts="1">
    <font>
      <sz val="11"/>
      <color theme="1"/>
      <name val="Calibri"/>
      <family val="2"/>
      <charset val="204"/>
      <scheme val="minor"/>
    </font>
    <font>
      <sz val="11"/>
      <color theme="1"/>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25">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style="medium">
        <color indexed="64"/>
      </right>
      <top style="thin">
        <color indexed="64"/>
      </top>
      <bottom style="thin">
        <color indexed="64"/>
      </bottom>
      <diagonal/>
    </border>
    <border>
      <left/>
      <right style="medium">
        <color indexed="64"/>
      </right>
      <top/>
      <bottom/>
      <diagonal/>
    </border>
    <border>
      <left/>
      <right style="medium">
        <color indexed="64"/>
      </right>
      <top style="medium">
        <color indexed="64"/>
      </top>
      <bottom style="thin">
        <color indexed="64"/>
      </bottom>
      <diagonal/>
    </border>
  </borders>
  <cellStyleXfs count="4">
    <xf numFmtId="0" fontId="0" fillId="0" borderId="0"/>
    <xf numFmtId="9" fontId="1" fillId="0" borderId="0" applyFont="0" applyFill="0" applyBorder="0" applyAlignment="0" applyProtection="0"/>
    <xf numFmtId="0" fontId="1" fillId="0" borderId="0"/>
    <xf numFmtId="0" fontId="29" fillId="0" borderId="0"/>
  </cellStyleXfs>
  <cellXfs count="146">
    <xf numFmtId="0" fontId="0" fillId="0" borderId="0" xfId="0"/>
    <xf numFmtId="10" fontId="3" fillId="2" borderId="0" xfId="2" applyNumberFormat="1" applyFont="1" applyFill="1" applyAlignment="1">
      <alignment wrapText="1"/>
    </xf>
    <xf numFmtId="0" fontId="3" fillId="2" borderId="0" xfId="2" applyFont="1" applyFill="1"/>
    <xf numFmtId="0" fontId="3" fillId="2" borderId="0" xfId="2" applyFont="1" applyFill="1" applyAlignment="1">
      <alignment wrapText="1"/>
    </xf>
    <xf numFmtId="0" fontId="3" fillId="2" borderId="0" xfId="2" applyFont="1" applyFill="1" applyAlignment="1">
      <alignment horizontal="right"/>
    </xf>
    <xf numFmtId="14" fontId="3" fillId="2" borderId="0" xfId="2" applyNumberFormat="1" applyFont="1" applyFill="1" applyAlignment="1">
      <alignment horizontal="center" vertical="center" wrapText="1"/>
    </xf>
    <xf numFmtId="0" fontId="5" fillId="2" borderId="0" xfId="2" applyFont="1" applyFill="1" applyAlignment="1">
      <alignment horizontal="left"/>
    </xf>
    <xf numFmtId="0" fontId="3" fillId="2" borderId="0" xfId="2" applyFont="1" applyFill="1" applyAlignment="1">
      <alignment horizontal="center" vertical="center"/>
    </xf>
    <xf numFmtId="0" fontId="3" fillId="2" borderId="0" xfId="2" applyFont="1" applyFill="1" applyBorder="1" applyAlignment="1">
      <alignment wrapText="1"/>
    </xf>
    <xf numFmtId="0" fontId="3" fillId="2" borderId="0" xfId="2" applyFont="1" applyFill="1" applyBorder="1" applyAlignment="1">
      <alignment horizontal="left" vertical="center" wrapText="1"/>
    </xf>
    <xf numFmtId="0" fontId="3" fillId="2" borderId="0" xfId="2" applyNumberFormat="1" applyFont="1" applyFill="1" applyBorder="1" applyAlignment="1">
      <alignment horizontal="center" vertical="center" wrapText="1"/>
    </xf>
    <xf numFmtId="49" fontId="3" fillId="2" borderId="0" xfId="2" applyNumberFormat="1" applyFont="1" applyFill="1" applyBorder="1" applyAlignment="1">
      <alignment horizontal="center" vertical="center" wrapText="1"/>
    </xf>
    <xf numFmtId="0" fontId="3" fillId="2" borderId="0" xfId="2" applyFont="1" applyFill="1" applyBorder="1" applyAlignment="1">
      <alignment vertical="center" wrapText="1"/>
    </xf>
    <xf numFmtId="0" fontId="3" fillId="2" borderId="0" xfId="2" applyFont="1" applyFill="1" applyBorder="1" applyAlignment="1">
      <alignment horizontal="center" vertical="center" wrapText="1"/>
    </xf>
    <xf numFmtId="1" fontId="3" fillId="2" borderId="0" xfId="2" applyNumberFormat="1" applyFont="1" applyFill="1" applyBorder="1" applyAlignment="1">
      <alignment horizontal="center" vertical="center" wrapText="1"/>
    </xf>
    <xf numFmtId="4" fontId="3" fillId="2" borderId="0" xfId="2" applyNumberFormat="1" applyFont="1" applyFill="1" applyBorder="1" applyAlignment="1">
      <alignment horizontal="center" vertical="center" wrapText="1"/>
    </xf>
    <xf numFmtId="4" fontId="5" fillId="2" borderId="2" xfId="2" applyNumberFormat="1" applyFont="1" applyFill="1" applyBorder="1" applyAlignment="1">
      <alignment horizontal="center" vertical="center" wrapText="1"/>
    </xf>
    <xf numFmtId="4" fontId="5" fillId="0" borderId="3" xfId="2" applyNumberFormat="1" applyFont="1" applyFill="1" applyBorder="1" applyAlignment="1">
      <alignment horizontal="center" vertical="center" wrapText="1"/>
    </xf>
    <xf numFmtId="4" fontId="5" fillId="0" borderId="4" xfId="2" applyNumberFormat="1" applyFont="1" applyFill="1" applyBorder="1" applyAlignment="1">
      <alignment horizontal="center" vertical="center" wrapText="1"/>
    </xf>
    <xf numFmtId="0" fontId="5" fillId="2" borderId="5" xfId="2" applyFont="1" applyFill="1" applyBorder="1" applyAlignment="1">
      <alignment horizontal="center" vertical="center" wrapText="1"/>
    </xf>
    <xf numFmtId="0" fontId="5" fillId="0" borderId="6" xfId="2" applyFont="1" applyBorder="1" applyAlignment="1">
      <alignment horizontal="center" vertical="center" wrapText="1"/>
    </xf>
    <xf numFmtId="0" fontId="5" fillId="0" borderId="7" xfId="2" applyFont="1" applyBorder="1" applyAlignment="1">
      <alignment horizontal="center" vertical="center" wrapText="1"/>
    </xf>
    <xf numFmtId="49" fontId="3" fillId="2" borderId="5" xfId="2" applyNumberFormat="1" applyFont="1" applyFill="1" applyBorder="1" applyAlignment="1">
      <alignment horizontal="right" vertical="center" wrapText="1"/>
    </xf>
    <xf numFmtId="0" fontId="5" fillId="2" borderId="6" xfId="2" applyFont="1" applyFill="1" applyBorder="1" applyAlignment="1">
      <alignment vertical="center" wrapText="1"/>
    </xf>
    <xf numFmtId="4" fontId="5" fillId="2" borderId="7" xfId="2" applyNumberFormat="1" applyFont="1" applyFill="1" applyBorder="1" applyAlignment="1">
      <alignment horizontal="center" vertical="center" wrapText="1"/>
    </xf>
    <xf numFmtId="0" fontId="3" fillId="2" borderId="6" xfId="2" applyFont="1" applyFill="1" applyBorder="1" applyAlignment="1">
      <alignment horizontal="left" vertical="center" wrapText="1"/>
    </xf>
    <xf numFmtId="4" fontId="3" fillId="2" borderId="7" xfId="2" applyNumberFormat="1" applyFont="1" applyFill="1" applyBorder="1" applyAlignment="1">
      <alignment horizontal="center" vertical="center" wrapText="1"/>
    </xf>
    <xf numFmtId="49" fontId="3" fillId="2" borderId="8" xfId="2" applyNumberFormat="1" applyFont="1" applyFill="1" applyBorder="1" applyAlignment="1">
      <alignment horizontal="right" vertical="center" wrapText="1"/>
    </xf>
    <xf numFmtId="4" fontId="3" fillId="2" borderId="10" xfId="2" applyNumberFormat="1" applyFont="1" applyFill="1" applyBorder="1" applyAlignment="1">
      <alignment horizontal="center" vertical="center" wrapText="1"/>
    </xf>
    <xf numFmtId="4" fontId="5" fillId="2" borderId="11" xfId="2" applyNumberFormat="1" applyFont="1" applyFill="1" applyBorder="1" applyAlignment="1">
      <alignment horizontal="center" vertical="center" wrapText="1"/>
    </xf>
    <xf numFmtId="4" fontId="5" fillId="2" borderId="3" xfId="2" applyNumberFormat="1" applyFont="1" applyFill="1" applyBorder="1" applyAlignment="1">
      <alignment horizontal="center" vertical="center" wrapText="1"/>
    </xf>
    <xf numFmtId="3" fontId="5" fillId="2" borderId="12" xfId="2" applyNumberFormat="1" applyFont="1" applyFill="1" applyBorder="1" applyAlignment="1">
      <alignment horizontal="center" vertical="center" wrapText="1"/>
    </xf>
    <xf numFmtId="3" fontId="5" fillId="2" borderId="6" xfId="2" applyNumberFormat="1" applyFont="1" applyFill="1" applyBorder="1" applyAlignment="1">
      <alignment horizontal="center" vertical="center" wrapText="1"/>
    </xf>
    <xf numFmtId="0" fontId="3" fillId="2" borderId="12" xfId="2" applyFont="1" applyFill="1" applyBorder="1" applyAlignment="1">
      <alignment horizontal="left" vertical="center" wrapText="1" indent="2"/>
    </xf>
    <xf numFmtId="4" fontId="3" fillId="2" borderId="6" xfId="2" applyNumberFormat="1" applyFont="1" applyFill="1" applyBorder="1" applyAlignment="1">
      <alignment horizontal="center" vertical="center" wrapText="1"/>
    </xf>
    <xf numFmtId="10" fontId="3" fillId="2" borderId="6" xfId="1" applyNumberFormat="1" applyFont="1" applyFill="1" applyBorder="1" applyAlignment="1">
      <alignment horizontal="center" vertical="center" wrapText="1"/>
    </xf>
    <xf numFmtId="0" fontId="11" fillId="2" borderId="12" xfId="2" applyFont="1" applyFill="1" applyBorder="1" applyAlignment="1">
      <alignment horizontal="left" vertical="center" wrapText="1" indent="2"/>
    </xf>
    <xf numFmtId="4" fontId="3" fillId="2" borderId="6" xfId="2" applyNumberFormat="1" applyFont="1" applyFill="1" applyBorder="1" applyAlignment="1">
      <alignment horizontal="center" vertical="center"/>
    </xf>
    <xf numFmtId="3" fontId="3" fillId="2" borderId="6" xfId="2" applyNumberFormat="1" applyFont="1" applyFill="1" applyBorder="1" applyAlignment="1">
      <alignment horizontal="center" vertical="center"/>
    </xf>
    <xf numFmtId="0" fontId="3" fillId="2" borderId="6" xfId="2" applyFont="1" applyFill="1" applyBorder="1" applyAlignment="1">
      <alignment horizontal="left" vertical="center" wrapText="1" indent="2"/>
    </xf>
    <xf numFmtId="164" fontId="3" fillId="2" borderId="6" xfId="2" applyNumberFormat="1" applyFont="1" applyFill="1" applyBorder="1" applyAlignment="1">
      <alignment horizontal="center" vertical="center" wrapText="1"/>
    </xf>
    <xf numFmtId="49" fontId="8" fillId="2" borderId="5" xfId="0" applyNumberFormat="1" applyFont="1" applyFill="1" applyBorder="1" applyAlignment="1">
      <alignment horizontal="right" vertical="center"/>
    </xf>
    <xf numFmtId="0" fontId="15" fillId="0" borderId="6" xfId="0" applyFont="1" applyFill="1" applyBorder="1" applyAlignment="1">
      <alignment horizontal="left" vertical="center" wrapText="1" indent="3"/>
    </xf>
    <xf numFmtId="0" fontId="8" fillId="2" borderId="6" xfId="0" applyFont="1" applyFill="1" applyBorder="1" applyAlignment="1">
      <alignment horizontal="left" vertical="center" wrapText="1" indent="5"/>
    </xf>
    <xf numFmtId="0" fontId="14" fillId="2" borderId="6" xfId="0" applyFont="1" applyFill="1" applyBorder="1" applyAlignment="1">
      <alignment horizontal="left" vertical="center" wrapText="1" indent="5"/>
    </xf>
    <xf numFmtId="0" fontId="11" fillId="2" borderId="14" xfId="2" applyFont="1" applyFill="1" applyBorder="1" applyAlignment="1">
      <alignment horizontal="left" vertical="center" wrapText="1" indent="2"/>
    </xf>
    <xf numFmtId="164" fontId="3" fillId="2" borderId="9" xfId="2" applyNumberFormat="1" applyFont="1" applyFill="1" applyBorder="1" applyAlignment="1">
      <alignment horizontal="center" vertical="center" wrapText="1"/>
    </xf>
    <xf numFmtId="49" fontId="3" fillId="2" borderId="15" xfId="2" applyNumberFormat="1" applyFont="1" applyFill="1" applyBorder="1" applyAlignment="1">
      <alignment horizontal="right" vertical="center" wrapText="1"/>
    </xf>
    <xf numFmtId="0" fontId="3" fillId="0" borderId="0" xfId="2" applyFont="1" applyFill="1" applyBorder="1" applyAlignment="1">
      <alignment horizontal="left" vertical="center" wrapText="1" indent="2"/>
    </xf>
    <xf numFmtId="4" fontId="3" fillId="0" borderId="0" xfId="2" applyNumberFormat="1" applyFont="1" applyFill="1" applyBorder="1" applyAlignment="1">
      <alignment horizontal="center" vertical="center" wrapText="1"/>
    </xf>
    <xf numFmtId="49" fontId="3" fillId="2" borderId="2" xfId="2" applyNumberFormat="1" applyFont="1" applyFill="1" applyBorder="1" applyAlignment="1">
      <alignment horizontal="right" vertical="center" wrapText="1"/>
    </xf>
    <xf numFmtId="49" fontId="3" fillId="2" borderId="6" xfId="2" applyNumberFormat="1" applyFont="1" applyFill="1" applyBorder="1" applyAlignment="1">
      <alignment horizontal="center" vertical="center" wrapText="1"/>
    </xf>
    <xf numFmtId="0" fontId="3" fillId="2" borderId="6" xfId="2" applyFont="1" applyFill="1" applyBorder="1" applyAlignment="1">
      <alignment horizontal="center" vertical="center" wrapText="1"/>
    </xf>
    <xf numFmtId="0" fontId="3" fillId="2" borderId="12" xfId="2" applyFont="1" applyFill="1" applyBorder="1" applyAlignment="1">
      <alignment horizontal="left" vertical="center" wrapText="1" indent="4"/>
    </xf>
    <xf numFmtId="0" fontId="3" fillId="2" borderId="12" xfId="2" applyFont="1" applyFill="1" applyBorder="1" applyAlignment="1">
      <alignment horizontal="left" vertical="center" wrapText="1" indent="7"/>
    </xf>
    <xf numFmtId="0" fontId="11" fillId="2" borderId="12" xfId="2" applyFont="1" applyFill="1" applyBorder="1" applyAlignment="1">
      <alignment horizontal="left" vertical="center" wrapText="1" indent="7"/>
    </xf>
    <xf numFmtId="0" fontId="14" fillId="2" borderId="6" xfId="0" applyFont="1" applyFill="1" applyBorder="1" applyAlignment="1">
      <alignment horizontal="left" vertical="center" wrapText="1" indent="7"/>
    </xf>
    <xf numFmtId="0" fontId="8" fillId="2" borderId="6" xfId="0" applyFont="1" applyFill="1" applyBorder="1" applyAlignment="1">
      <alignment horizontal="left" vertical="center" wrapText="1" indent="7"/>
    </xf>
    <xf numFmtId="0" fontId="11" fillId="2" borderId="12" xfId="2" applyFont="1" applyFill="1" applyBorder="1" applyAlignment="1">
      <alignment horizontal="left" vertical="center" wrapText="1" indent="4"/>
    </xf>
    <xf numFmtId="49" fontId="3" fillId="2" borderId="5" xfId="2" applyNumberFormat="1" applyFont="1" applyFill="1" applyBorder="1" applyAlignment="1">
      <alignment horizontal="right" vertical="center"/>
    </xf>
    <xf numFmtId="0" fontId="14" fillId="2" borderId="6" xfId="0" applyFont="1" applyFill="1" applyBorder="1" applyAlignment="1">
      <alignment horizontal="left" vertical="center" wrapText="1" indent="4"/>
    </xf>
    <xf numFmtId="0" fontId="14" fillId="2" borderId="6" xfId="0" applyFont="1" applyFill="1" applyBorder="1" applyAlignment="1">
      <alignment horizontal="left" vertical="center" wrapText="1" indent="3"/>
    </xf>
    <xf numFmtId="3" fontId="3" fillId="2" borderId="6" xfId="2" applyNumberFormat="1" applyFont="1" applyFill="1" applyBorder="1" applyAlignment="1">
      <alignment horizontal="center" vertical="center" wrapText="1"/>
    </xf>
    <xf numFmtId="0" fontId="15" fillId="2" borderId="0" xfId="2" applyFont="1" applyFill="1"/>
    <xf numFmtId="0" fontId="8" fillId="2" borderId="6" xfId="0" applyFont="1" applyFill="1" applyBorder="1" applyAlignment="1">
      <alignment horizontal="left" vertical="center" wrapText="1" indent="2"/>
    </xf>
    <xf numFmtId="0" fontId="3" fillId="2" borderId="12" xfId="2" applyFont="1" applyFill="1" applyBorder="1" applyAlignment="1">
      <alignment horizontal="left" vertical="center" wrapText="1" indent="5"/>
    </xf>
    <xf numFmtId="0" fontId="11" fillId="2" borderId="12" xfId="2" applyFont="1" applyFill="1" applyBorder="1" applyAlignment="1">
      <alignment horizontal="left" vertical="center" wrapText="1" indent="5"/>
    </xf>
    <xf numFmtId="165" fontId="3" fillId="2" borderId="6" xfId="2" applyNumberFormat="1" applyFont="1" applyFill="1" applyBorder="1" applyAlignment="1">
      <alignment horizontal="center" vertical="center" wrapText="1"/>
    </xf>
    <xf numFmtId="4" fontId="15" fillId="2" borderId="6" xfId="2" applyNumberFormat="1" applyFont="1" applyFill="1" applyBorder="1" applyAlignment="1">
      <alignment horizontal="center" vertical="center"/>
    </xf>
    <xf numFmtId="0" fontId="3" fillId="2" borderId="12" xfId="2" applyFont="1" applyFill="1" applyBorder="1" applyAlignment="1">
      <alignment horizontal="left" wrapText="1" indent="5"/>
    </xf>
    <xf numFmtId="10" fontId="15" fillId="2" borderId="6" xfId="1" applyNumberFormat="1" applyFont="1" applyFill="1" applyBorder="1" applyAlignment="1">
      <alignment horizontal="center" vertical="center"/>
    </xf>
    <xf numFmtId="0" fontId="14" fillId="2" borderId="12" xfId="2" applyFont="1" applyFill="1" applyBorder="1" applyAlignment="1">
      <alignment horizontal="left" vertical="center" wrapText="1" indent="4"/>
    </xf>
    <xf numFmtId="49" fontId="3" fillId="2" borderId="8" xfId="2" applyNumberFormat="1" applyFont="1" applyFill="1" applyBorder="1" applyAlignment="1">
      <alignment horizontal="right" vertical="center"/>
    </xf>
    <xf numFmtId="0" fontId="11" fillId="2" borderId="14" xfId="2" applyFont="1" applyFill="1" applyBorder="1" applyAlignment="1">
      <alignment horizontal="left" vertical="center" wrapText="1" indent="4"/>
    </xf>
    <xf numFmtId="10" fontId="3" fillId="2" borderId="9" xfId="1" applyNumberFormat="1" applyFont="1" applyFill="1" applyBorder="1" applyAlignment="1">
      <alignment horizontal="center" vertical="center" wrapText="1"/>
    </xf>
    <xf numFmtId="0" fontId="3" fillId="2" borderId="0" xfId="2" applyFont="1" applyFill="1" applyBorder="1" applyAlignment="1">
      <alignment horizontal="left" vertical="center" wrapText="1" indent="2"/>
    </xf>
    <xf numFmtId="49" fontId="15" fillId="2" borderId="2" xfId="2" applyNumberFormat="1" applyFont="1" applyFill="1" applyBorder="1" applyAlignment="1">
      <alignment horizontal="right" vertical="center"/>
    </xf>
    <xf numFmtId="49" fontId="15" fillId="2" borderId="5" xfId="2" applyNumberFormat="1" applyFont="1" applyFill="1" applyBorder="1" applyAlignment="1">
      <alignment horizontal="right" vertical="center"/>
    </xf>
    <xf numFmtId="9" fontId="3" fillId="2" borderId="6" xfId="1" applyFont="1" applyFill="1" applyBorder="1" applyAlignment="1">
      <alignment horizontal="center" vertical="center" wrapText="1"/>
    </xf>
    <xf numFmtId="0" fontId="11" fillId="0" borderId="12" xfId="2" applyFont="1" applyFill="1" applyBorder="1" applyAlignment="1">
      <alignment horizontal="left" vertical="center" wrapText="1" indent="4"/>
    </xf>
    <xf numFmtId="166" fontId="3" fillId="2" borderId="6" xfId="1" applyNumberFormat="1" applyFont="1" applyFill="1" applyBorder="1" applyAlignment="1">
      <alignment horizontal="center" vertical="center" wrapText="1"/>
    </xf>
    <xf numFmtId="49" fontId="15" fillId="2" borderId="8" xfId="2" applyNumberFormat="1" applyFont="1" applyFill="1" applyBorder="1" applyAlignment="1">
      <alignment horizontal="right" vertical="center"/>
    </xf>
    <xf numFmtId="0" fontId="8" fillId="2" borderId="9" xfId="0" applyFont="1" applyFill="1" applyBorder="1" applyAlignment="1">
      <alignment horizontal="left" vertical="center" wrapText="1" indent="4"/>
    </xf>
    <xf numFmtId="4" fontId="3" fillId="2" borderId="9" xfId="2" applyNumberFormat="1" applyFont="1" applyFill="1" applyBorder="1" applyAlignment="1">
      <alignment horizontal="center" vertical="center" wrapText="1"/>
    </xf>
    <xf numFmtId="49" fontId="3" fillId="2" borderId="2" xfId="2" applyNumberFormat="1" applyFont="1" applyFill="1" applyBorder="1" applyAlignment="1">
      <alignment horizontal="right" vertical="center"/>
    </xf>
    <xf numFmtId="0" fontId="3" fillId="2" borderId="6" xfId="2" applyNumberFormat="1" applyFont="1" applyFill="1" applyBorder="1" applyAlignment="1">
      <alignment horizontal="center" vertical="center" wrapText="1"/>
    </xf>
    <xf numFmtId="0" fontId="3" fillId="2" borderId="6" xfId="2" applyFont="1" applyFill="1" applyBorder="1" applyAlignment="1">
      <alignment horizontal="left" vertical="center" wrapText="1" indent="4"/>
    </xf>
    <xf numFmtId="0" fontId="8" fillId="2" borderId="6" xfId="0" applyFont="1" applyFill="1" applyBorder="1" applyAlignment="1">
      <alignment horizontal="left" vertical="center" wrapText="1" indent="6"/>
    </xf>
    <xf numFmtId="0" fontId="8" fillId="2" borderId="9" xfId="0" applyFont="1" applyFill="1" applyBorder="1" applyAlignment="1">
      <alignment horizontal="left" vertical="center" wrapText="1" indent="7"/>
    </xf>
    <xf numFmtId="0" fontId="3" fillId="2" borderId="0" xfId="2" applyFont="1" applyFill="1" applyBorder="1"/>
    <xf numFmtId="0" fontId="3" fillId="2" borderId="14" xfId="2" applyFont="1" applyFill="1" applyBorder="1" applyAlignment="1">
      <alignment horizontal="left" vertical="center" wrapText="1" indent="2"/>
    </xf>
    <xf numFmtId="0" fontId="15" fillId="2" borderId="6" xfId="2" applyFont="1" applyFill="1" applyBorder="1" applyAlignment="1">
      <alignment horizontal="left" vertical="center" wrapText="1" indent="2"/>
    </xf>
    <xf numFmtId="4" fontId="3" fillId="2" borderId="6" xfId="1" applyNumberFormat="1" applyFont="1" applyFill="1" applyBorder="1" applyAlignment="1">
      <alignment horizontal="center" vertical="center" wrapText="1"/>
    </xf>
    <xf numFmtId="0" fontId="15" fillId="2" borderId="9" xfId="2" applyFont="1" applyFill="1" applyBorder="1" applyAlignment="1">
      <alignment horizontal="left" vertical="center" wrapText="1" indent="2"/>
    </xf>
    <xf numFmtId="4" fontId="15" fillId="2" borderId="9" xfId="2" applyNumberFormat="1" applyFont="1" applyFill="1" applyBorder="1" applyAlignment="1">
      <alignment horizontal="center" vertical="center" wrapText="1"/>
    </xf>
    <xf numFmtId="49" fontId="3" fillId="2" borderId="17" xfId="2" applyNumberFormat="1" applyFont="1" applyFill="1" applyBorder="1" applyAlignment="1">
      <alignment horizontal="right" vertical="center"/>
    </xf>
    <xf numFmtId="0" fontId="3" fillId="2" borderId="18" xfId="2" applyFont="1" applyFill="1" applyBorder="1" applyAlignment="1">
      <alignment horizontal="left" vertical="center" wrapText="1" indent="4"/>
    </xf>
    <xf numFmtId="10" fontId="3" fillId="2" borderId="18" xfId="1" applyNumberFormat="1" applyFont="1" applyFill="1" applyBorder="1" applyAlignment="1">
      <alignment horizontal="center" vertical="center" wrapText="1"/>
    </xf>
    <xf numFmtId="0" fontId="3" fillId="2" borderId="9" xfId="2" applyFont="1" applyFill="1" applyBorder="1" applyAlignment="1">
      <alignment horizontal="left" vertical="center" wrapText="1" indent="4"/>
    </xf>
    <xf numFmtId="0" fontId="21" fillId="2" borderId="3" xfId="0" applyFont="1" applyFill="1" applyBorder="1" applyAlignment="1">
      <alignment horizontal="left" vertical="center" wrapText="1"/>
    </xf>
    <xf numFmtId="4" fontId="3" fillId="2" borderId="3" xfId="2" applyNumberFormat="1" applyFont="1" applyFill="1" applyBorder="1" applyAlignment="1">
      <alignment horizontal="center" vertical="center" wrapText="1"/>
    </xf>
    <xf numFmtId="0" fontId="11" fillId="2" borderId="6" xfId="2" applyFont="1" applyFill="1" applyBorder="1" applyAlignment="1">
      <alignment horizontal="left" vertical="center" wrapText="1" indent="4"/>
    </xf>
    <xf numFmtId="0" fontId="11" fillId="2" borderId="9" xfId="2" applyFont="1" applyFill="1" applyBorder="1" applyAlignment="1">
      <alignment horizontal="left" vertical="center" wrapText="1" indent="4"/>
    </xf>
    <xf numFmtId="0" fontId="30" fillId="2" borderId="3" xfId="3" applyFont="1" applyFill="1" applyBorder="1" applyAlignment="1">
      <alignment horizontal="left" vertical="center" wrapText="1"/>
    </xf>
    <xf numFmtId="10" fontId="3" fillId="2" borderId="3" xfId="1" applyNumberFormat="1" applyFont="1" applyFill="1" applyBorder="1" applyAlignment="1">
      <alignment horizontal="center" vertical="center" wrapText="1"/>
    </xf>
    <xf numFmtId="0" fontId="3" fillId="2" borderId="0" xfId="2" applyFont="1" applyFill="1" applyBorder="1" applyAlignment="1">
      <alignment horizontal="right" vertical="center"/>
    </xf>
    <xf numFmtId="0" fontId="3" fillId="2" borderId="20" xfId="2" applyFont="1" applyFill="1" applyBorder="1" applyAlignment="1">
      <alignment horizontal="right" wrapText="1" indent="1"/>
    </xf>
    <xf numFmtId="0" fontId="3" fillId="2" borderId="21" xfId="2" applyFont="1" applyFill="1" applyBorder="1" applyAlignment="1">
      <alignment horizontal="center" vertical="center" wrapText="1"/>
    </xf>
    <xf numFmtId="0" fontId="3" fillId="2" borderId="2" xfId="2" applyFont="1" applyFill="1" applyBorder="1"/>
    <xf numFmtId="10" fontId="15" fillId="2" borderId="4" xfId="2" applyNumberFormat="1" applyFont="1" applyFill="1" applyBorder="1" applyAlignment="1" applyProtection="1">
      <alignment vertical="center"/>
    </xf>
    <xf numFmtId="0" fontId="3" fillId="2" borderId="5" xfId="2" applyFont="1" applyFill="1" applyBorder="1"/>
    <xf numFmtId="10" fontId="15" fillId="2" borderId="7" xfId="2" applyNumberFormat="1" applyFont="1" applyFill="1" applyBorder="1" applyAlignment="1" applyProtection="1">
      <alignment vertical="center"/>
    </xf>
    <xf numFmtId="0" fontId="3" fillId="2" borderId="8" xfId="2" applyFont="1" applyFill="1" applyBorder="1"/>
    <xf numFmtId="10" fontId="15" fillId="2" borderId="10" xfId="2" applyNumberFormat="1" applyFont="1" applyFill="1" applyBorder="1" applyAlignment="1" applyProtection="1">
      <alignment vertical="center"/>
    </xf>
    <xf numFmtId="0" fontId="3" fillId="2" borderId="17" xfId="2" applyFont="1" applyFill="1" applyBorder="1"/>
    <xf numFmtId="10" fontId="15" fillId="2" borderId="19" xfId="2" applyNumberFormat="1" applyFont="1" applyFill="1" applyBorder="1" applyAlignment="1" applyProtection="1">
      <alignment vertical="center"/>
    </xf>
    <xf numFmtId="0" fontId="3" fillId="2" borderId="0" xfId="2" applyFont="1" applyFill="1" applyAlignment="1" applyProtection="1">
      <alignment horizontal="center" vertical="center"/>
    </xf>
    <xf numFmtId="0" fontId="3" fillId="2" borderId="9" xfId="2" applyFont="1" applyFill="1" applyBorder="1" applyAlignment="1">
      <alignment horizontal="left" vertical="center" wrapText="1"/>
    </xf>
    <xf numFmtId="0" fontId="3" fillId="2" borderId="0" xfId="2" applyFont="1" applyFill="1" applyAlignment="1">
      <alignment horizontal="left"/>
    </xf>
    <xf numFmtId="0" fontId="3" fillId="2" borderId="0" xfId="2" applyFont="1" applyFill="1" applyBorder="1" applyAlignment="1">
      <alignment horizontal="left"/>
    </xf>
    <xf numFmtId="4" fontId="5" fillId="2" borderId="4" xfId="2" applyNumberFormat="1" applyFont="1" applyFill="1" applyBorder="1" applyAlignment="1">
      <alignment horizontal="left" vertical="center" wrapText="1"/>
    </xf>
    <xf numFmtId="3" fontId="5" fillId="2" borderId="7" xfId="2" applyNumberFormat="1" applyFont="1" applyFill="1" applyBorder="1" applyAlignment="1">
      <alignment horizontal="center" vertical="center" wrapText="1"/>
    </xf>
    <xf numFmtId="0" fontId="3" fillId="2" borderId="7" xfId="2" applyFont="1" applyFill="1" applyBorder="1" applyAlignment="1">
      <alignment horizontal="left" vertical="center" wrapText="1"/>
    </xf>
    <xf numFmtId="0" fontId="3" fillId="2" borderId="7" xfId="2" applyFont="1" applyFill="1" applyBorder="1" applyAlignment="1">
      <alignment horizontal="left" vertical="center"/>
    </xf>
    <xf numFmtId="0" fontId="15" fillId="2" borderId="7" xfId="2" applyFont="1" applyFill="1" applyBorder="1" applyAlignment="1">
      <alignment horizontal="left" vertical="center" wrapText="1"/>
    </xf>
    <xf numFmtId="0" fontId="3" fillId="2" borderId="10" xfId="2" applyFont="1" applyFill="1" applyBorder="1" applyAlignment="1">
      <alignment horizontal="left" vertical="center" wrapText="1"/>
    </xf>
    <xf numFmtId="0" fontId="3" fillId="0" borderId="23" xfId="2" applyFont="1" applyFill="1" applyBorder="1" applyAlignment="1">
      <alignment horizontal="left" vertical="center"/>
    </xf>
    <xf numFmtId="0" fontId="3" fillId="2" borderId="7" xfId="2" applyNumberFormat="1" applyFont="1" applyFill="1" applyBorder="1" applyAlignment="1">
      <alignment horizontal="left" vertical="center" wrapText="1"/>
    </xf>
    <xf numFmtId="4" fontId="3" fillId="2" borderId="7" xfId="2" applyNumberFormat="1" applyFont="1" applyFill="1" applyBorder="1" applyAlignment="1">
      <alignment horizontal="left" vertical="center" wrapText="1"/>
    </xf>
    <xf numFmtId="10" fontId="3" fillId="2" borderId="7" xfId="2" applyNumberFormat="1" applyFont="1" applyFill="1" applyBorder="1" applyAlignment="1">
      <alignment horizontal="left" vertical="center" wrapText="1"/>
    </xf>
    <xf numFmtId="0" fontId="3" fillId="2" borderId="10" xfId="2" applyFont="1" applyFill="1" applyBorder="1" applyAlignment="1">
      <alignment horizontal="left" vertical="center"/>
    </xf>
    <xf numFmtId="0" fontId="3" fillId="2" borderId="23" xfId="2" applyFont="1" applyFill="1" applyBorder="1" applyAlignment="1">
      <alignment horizontal="left" vertical="center"/>
    </xf>
    <xf numFmtId="0" fontId="15" fillId="2" borderId="10" xfId="2" applyFont="1" applyFill="1" applyBorder="1" applyAlignment="1">
      <alignment horizontal="left" vertical="center" wrapText="1"/>
    </xf>
    <xf numFmtId="0" fontId="3" fillId="2" borderId="19" xfId="2" applyFont="1" applyFill="1" applyBorder="1" applyAlignment="1">
      <alignment horizontal="left" vertical="center" wrapText="1"/>
    </xf>
    <xf numFmtId="0" fontId="3" fillId="2" borderId="4" xfId="2" applyFont="1" applyFill="1" applyBorder="1" applyAlignment="1">
      <alignment horizontal="left" vertical="center" wrapText="1"/>
    </xf>
    <xf numFmtId="0" fontId="3" fillId="2" borderId="4" xfId="2" applyFont="1" applyFill="1" applyBorder="1" applyAlignment="1">
      <alignment horizontal="left" vertical="top" wrapText="1"/>
    </xf>
    <xf numFmtId="0" fontId="5" fillId="2" borderId="16" xfId="2" applyFont="1" applyFill="1" applyBorder="1" applyAlignment="1">
      <alignment horizontal="left" vertical="center" wrapText="1"/>
    </xf>
    <xf numFmtId="0" fontId="5" fillId="2" borderId="3" xfId="2" applyFont="1" applyFill="1" applyBorder="1" applyAlignment="1">
      <alignment horizontal="left" vertical="center" wrapText="1"/>
    </xf>
    <xf numFmtId="0" fontId="3" fillId="2" borderId="9" xfId="2" applyFont="1" applyFill="1" applyBorder="1" applyAlignment="1">
      <alignment horizontal="left" vertical="center" wrapText="1"/>
    </xf>
    <xf numFmtId="0" fontId="4" fillId="2" borderId="0" xfId="2" applyFont="1" applyFill="1" applyBorder="1" applyAlignment="1">
      <alignment horizontal="center" vertical="center" wrapText="1"/>
    </xf>
    <xf numFmtId="0" fontId="5" fillId="2" borderId="1" xfId="2" applyFont="1" applyFill="1" applyBorder="1" applyAlignment="1">
      <alignment horizontal="left" wrapText="1"/>
    </xf>
    <xf numFmtId="0" fontId="5" fillId="2" borderId="13" xfId="2" applyFont="1" applyFill="1" applyBorder="1" applyAlignment="1">
      <alignment horizontal="left" vertical="center" wrapText="1"/>
    </xf>
    <xf numFmtId="0" fontId="5" fillId="2" borderId="24" xfId="2" applyFont="1" applyFill="1" applyBorder="1" applyAlignment="1">
      <alignment horizontal="left" vertical="center" wrapText="1"/>
    </xf>
    <xf numFmtId="0" fontId="5" fillId="2" borderId="4" xfId="2" applyFont="1" applyFill="1" applyBorder="1" applyAlignment="1">
      <alignment horizontal="left" vertical="center" wrapText="1"/>
    </xf>
    <xf numFmtId="0" fontId="3" fillId="2" borderId="10" xfId="2" applyFont="1" applyFill="1" applyBorder="1" applyAlignment="1">
      <alignment horizontal="left" vertical="center" wrapText="1"/>
    </xf>
    <xf numFmtId="0" fontId="5" fillId="2" borderId="22" xfId="2" applyFont="1" applyFill="1" applyBorder="1" applyAlignment="1">
      <alignment horizontal="left" vertical="center" wrapText="1"/>
    </xf>
  </cellXfs>
  <cellStyles count="4">
    <cellStyle name="Обычный" xfId="0" builtinId="0"/>
    <cellStyle name="Обычный 80" xfId="2"/>
    <cellStyle name="Обычный_Копия Condition-все вар13.12.08-утнах17-50" xfId="3"/>
    <cellStyle name="Процентный"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7.xml"/><Relationship Id="rId39" Type="http://schemas.openxmlformats.org/officeDocument/2006/relationships/theme" Target="theme/theme1.xml"/><Relationship Id="rId21" Type="http://schemas.openxmlformats.org/officeDocument/2006/relationships/externalLink" Target="externalLinks/externalLink2.xml"/><Relationship Id="rId34" Type="http://schemas.openxmlformats.org/officeDocument/2006/relationships/externalLink" Target="externalLinks/externalLink15.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29" Type="http://schemas.openxmlformats.org/officeDocument/2006/relationships/externalLink" Target="externalLinks/externalLink10.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5.xml"/><Relationship Id="rId32" Type="http://schemas.openxmlformats.org/officeDocument/2006/relationships/externalLink" Target="externalLinks/externalLink13.xml"/><Relationship Id="rId37" Type="http://schemas.openxmlformats.org/officeDocument/2006/relationships/externalLink" Target="externalLinks/externalLink18.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4.xml"/><Relationship Id="rId28" Type="http://schemas.openxmlformats.org/officeDocument/2006/relationships/externalLink" Target="externalLinks/externalLink9.xml"/><Relationship Id="rId36" Type="http://schemas.openxmlformats.org/officeDocument/2006/relationships/externalLink" Target="externalLinks/externalLink17.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 Id="rId27" Type="http://schemas.openxmlformats.org/officeDocument/2006/relationships/externalLink" Target="externalLinks/externalLink8.xml"/><Relationship Id="rId30" Type="http://schemas.openxmlformats.org/officeDocument/2006/relationships/externalLink" Target="externalLinks/externalLink11.xml"/><Relationship Id="rId35" Type="http://schemas.openxmlformats.org/officeDocument/2006/relationships/externalLink" Target="externalLinks/externalLink16.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6.xml"/><Relationship Id="rId33" Type="http://schemas.openxmlformats.org/officeDocument/2006/relationships/externalLink" Target="externalLinks/externalLink14.xml"/><Relationship Id="rId38" Type="http://schemas.openxmlformats.org/officeDocument/2006/relationships/externalLink" Target="externalLinks/externalLink19.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0</xdr:row>
          <xdr:rowOff>85725</xdr:rowOff>
        </xdr:from>
        <xdr:to>
          <xdr:col>5</xdr:col>
          <xdr:colOff>1000125</xdr:colOff>
          <xdr:row>0</xdr:row>
          <xdr:rowOff>238125</xdr:rowOff>
        </xdr:to>
        <xdr:sp macro="" textlink="">
          <xdr:nvSpPr>
            <xdr:cNvPr id="38913" name="Button 1" hidden="1">
              <a:extLst>
                <a:ext uri="{63B3BB69-23CF-44E3-9099-C40C66FF867C}">
                  <a14:compatExt spid="_x0000_s3891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0</xdr:row>
          <xdr:rowOff>85725</xdr:rowOff>
        </xdr:from>
        <xdr:to>
          <xdr:col>5</xdr:col>
          <xdr:colOff>1000125</xdr:colOff>
          <xdr:row>0</xdr:row>
          <xdr:rowOff>238125</xdr:rowOff>
        </xdr:to>
        <xdr:sp macro="" textlink="">
          <xdr:nvSpPr>
            <xdr:cNvPr id="47105" name="Button 1" hidden="1">
              <a:extLst>
                <a:ext uri="{63B3BB69-23CF-44E3-9099-C40C66FF867C}">
                  <a14:compatExt spid="_x0000_s4710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0</xdr:row>
          <xdr:rowOff>85725</xdr:rowOff>
        </xdr:from>
        <xdr:to>
          <xdr:col>5</xdr:col>
          <xdr:colOff>1000125</xdr:colOff>
          <xdr:row>0</xdr:row>
          <xdr:rowOff>238125</xdr:rowOff>
        </xdr:to>
        <xdr:sp macro="" textlink="">
          <xdr:nvSpPr>
            <xdr:cNvPr id="49153" name="Button 1" hidden="1">
              <a:extLst>
                <a:ext uri="{63B3BB69-23CF-44E3-9099-C40C66FF867C}">
                  <a14:compatExt spid="_x0000_s4915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64;&#1072;&#1073;&#1083;&#1086;&#1085;%20&#1062;&#1040;&#1050;_&#1091;&#1075;&#1086;&#1083;&#1100;_&#1062;&#1055;%20(&#1073;&#1077;&#1079;%20&#1053;&#1044;&#1057;)_2&#1087;&#1075;2024&#1075;_&#1084;&#1077;&#1085;&#1077;&#1077;%2050%20&#1090;&#1099;&#1089;%20&#1088;.&#1087;.%20&#1050;&#1088;&#1072;&#1089;&#1085;&#1086;&#1079;&#1077;&#1088;&#1089;&#1082;&#1086;&#1077;.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64;&#1072;&#1073;&#1083;&#1086;&#1085;%20&#1062;&#1040;&#1050;_&#1091;&#1075;&#1086;&#1083;&#1100;_&#1062;&#1055;%20(&#1073;&#1077;&#1079;%20&#1053;&#1044;&#1057;)_2&#1087;&#1075;2024&#1075;_&#1084;&#1077;&#1085;&#1077;&#1077;%2050%20&#1090;&#1099;&#1089;%20&#1040;&#1082;&#1089;&#1077;&#1085;&#1080;&#1093;&#1080;&#1085;&#1089;&#1082;&#1080;&#1081;.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64;&#1072;&#1073;&#1083;&#1086;&#1085;%20&#1062;&#1040;&#1050;_&#1091;&#1075;&#1086;&#1083;&#1100;_&#1062;&#1055;%20(&#1073;&#1077;&#1079;%20&#1053;&#1044;&#1057;)_2&#1087;&#1075;2024&#1075;_&#1084;&#1077;&#1085;&#1077;&#1077;%2050%20&#1090;&#1099;&#1089;%20&#1042;&#1077;&#1089;&#1077;&#1083;&#1086;&#1074;&#1089;&#1082;&#1080;&#1081;.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47;&#1091;&#1073;&#1082;&#1086;&#1074;&#1089;&#1082;&#1080;&#1081;.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5.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0;&#1072;&#1081;&#1075;&#1086;&#1088;&#1086;&#1076;&#1089;&#1082;&#1080;&#1081;.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0;&#1086;&#1083;&#1099;&#1073;&#1077;&#1083;&#1100;&#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0;&#1086;&#1085;&#1077;&#1074;&#1089;&#1082;&#1080;&#108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1;&#1086;&#1073;&#1080;&#1085;&#1089;&#1082;&#1080;&#1081;.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1;&#1086;&#1090;&#1086;&#1096;&#1072;&#1085;&#1089;&#1082;&#1080;&#1081;.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2;&#1072;&#1081;&#1089;&#1082;&#1080;&#1081;.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2;&#1086;&#1093;&#1085;&#1072;&#1090;&#1086;&#1083;&#1086;&#1075;&#1086;&#1074;&#1089;&#1082;&#1080;&#1081;.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3;&#1080;&#1078;&#1085;&#1077;&#1095;&#1077;&#1088;&#1077;&#1084;&#1086;&#1096;&#1077;&#1085;&#1089;&#1082;&#1080;&#1081;.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4;&#1082;&#1090;&#1103;&#1073;&#1088;&#1100;&#1089;&#1082;&#1080;&#1081;.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4;&#1088;&#1077;&#1093;&#1086;&#1074;&#1086;-&#1051;&#1086;&#1075;&#1086;&#1074;&#1089;&#1082;&#1086;&#1081;.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5;&#1086;&#1083;&#1086;&#1074;&#1080;&#1085;&#1089;&#1082;&#1080;&#1081;.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5;&#1086;&#1083;&#1086;&#1081;&#1089;&#1082;&#1080;&#1081;.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7;&#1072;&#1076;&#1086;&#1074;&#1089;&#1082;&#1080;&#1081;.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8;&#1072;&#1089;&#1085;&#1086;&#1079;&#1077;&#1088;&#1089;&#1082;&#1080;&#1081;%20&#1088;&#1072;&#1081;&#1086;&#1085;/&#1057;&#1074;&#1077;&#1090;&#1083;&#1086;&#1074;&#1089;&#1082;&#1080;&#108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рабочий поселок Краснозерское, Краснозерский муниципальный район</v>
          </cell>
        </row>
        <row r="15">
          <cell r="D15" t="str">
            <v/>
          </cell>
        </row>
        <row r="16">
          <cell r="D16" t="str">
            <v>Код ОКТМО</v>
          </cell>
          <cell r="E16" t="str">
            <v xml:space="preserve"> (50627151051)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657.43726519536142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2953.8941666666665</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498.44917670035835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65.050525000000007</v>
          </cell>
        </row>
        <row r="27">
          <cell r="F27">
            <v>1291.2863994686898</v>
          </cell>
        </row>
        <row r="28">
          <cell r="F28">
            <v>991.77142816335618</v>
          </cell>
        </row>
        <row r="29">
          <cell r="F29">
            <v>299.51497130533357</v>
          </cell>
        </row>
        <row r="30">
          <cell r="F30">
            <v>2173.6242366179517</v>
          </cell>
        </row>
        <row r="33">
          <cell r="F33">
            <v>975.10415296379119</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17.175000000000001</v>
          </cell>
        </row>
        <row r="19">
          <cell r="E19">
            <v>23.616666666666667</v>
          </cell>
        </row>
      </sheetData>
      <sheetData sheetId="29" refreshError="1"/>
      <sheetData sheetId="30">
        <row r="12">
          <cell r="F12">
            <v>102.24471636744467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Аксениха, Краснозерский муниципальный район</v>
          </cell>
        </row>
        <row r="15">
          <cell r="D15" t="str">
            <v/>
          </cell>
        </row>
        <row r="16">
          <cell r="D16" t="str">
            <v>Код ОКТМО</v>
          </cell>
          <cell r="E16" t="str">
            <v xml:space="preserve"> (50627402101)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1058.9608587597793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3819.9416666666671</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525.74842312354588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55.406275000000001</v>
          </cell>
        </row>
        <row r="27">
          <cell r="F27">
            <v>1291.2863994686898</v>
          </cell>
        </row>
        <row r="28">
          <cell r="F28">
            <v>991.77142816335618</v>
          </cell>
        </row>
        <row r="29">
          <cell r="F29">
            <v>299.51497130533357</v>
          </cell>
        </row>
        <row r="30">
          <cell r="F30">
            <v>2757.9520305089245</v>
          </cell>
        </row>
        <row r="33">
          <cell r="F33">
            <v>1560.2323598526916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14.424999999999999</v>
          </cell>
        </row>
        <row r="19">
          <cell r="E19">
            <v>23.616666666666667</v>
          </cell>
        </row>
      </sheetData>
      <sheetData sheetId="29" refreshError="1"/>
      <sheetData sheetId="30">
        <row r="12">
          <cell r="F12">
            <v>110.82117316719679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Веселовское, Краснозерский муниципальный район </v>
          </cell>
        </row>
        <row r="15">
          <cell r="D15" t="str">
            <v/>
          </cell>
        </row>
        <row r="16">
          <cell r="D16" t="str">
            <v>Код ОКТМО</v>
          </cell>
          <cell r="E16" t="str">
            <v>(50627404101)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1108.8810913919096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4000.0166666666673</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530.51038822551845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70.546824999999998</v>
          </cell>
        </row>
        <row r="27">
          <cell r="F27">
            <v>1291.2863994686898</v>
          </cell>
        </row>
        <row r="28">
          <cell r="F28">
            <v>991.77142816335618</v>
          </cell>
        </row>
        <row r="29">
          <cell r="F29">
            <v>299.51497130533357</v>
          </cell>
        </row>
        <row r="30">
          <cell r="F30">
            <v>2831.9558497776643</v>
          </cell>
        </row>
        <row r="33">
          <cell r="F33">
            <v>1632.9796072764698</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19.141666666666666</v>
          </cell>
        </row>
        <row r="19">
          <cell r="E19">
            <v>16.75</v>
          </cell>
        </row>
      </sheetData>
      <sheetData sheetId="29" refreshError="1"/>
      <sheetData sheetId="30">
        <row r="12">
          <cell r="F12">
            <v>111.91481712187884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Зубково, Краснозерский муниципальный район</v>
          </cell>
        </row>
        <row r="15">
          <cell r="D15" t="str">
            <v/>
          </cell>
        </row>
        <row r="16">
          <cell r="D16" t="str">
            <v>Код ОКТМО</v>
          </cell>
          <cell r="E16" t="str">
            <v xml:space="preserve"> (50627407101)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1157.8125758373328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4176.5250000000005</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530.28497485522507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26.941125</v>
          </cell>
        </row>
        <row r="27">
          <cell r="F27">
            <v>1291.2863994686898</v>
          </cell>
        </row>
        <row r="28">
          <cell r="F28">
            <v>991.77142816335618</v>
          </cell>
        </row>
        <row r="29">
          <cell r="F29">
            <v>299.51497130533357</v>
          </cell>
        </row>
        <row r="30">
          <cell r="F30">
            <v>2899.643221393334</v>
          </cell>
        </row>
        <row r="33">
          <cell r="F33">
            <v>1704.2859818279546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6.3083333333333336</v>
          </cell>
        </row>
        <row r="19">
          <cell r="E19">
            <v>23.616666666666667</v>
          </cell>
        </row>
      </sheetData>
      <sheetData sheetId="29" refreshError="1"/>
      <sheetData sheetId="30">
        <row r="12">
          <cell r="F12">
            <v>112.88893854338144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Казанак, Краснозерский муниципальный район </v>
          </cell>
        </row>
        <row r="15">
          <cell r="D15" t="str">
            <v/>
          </cell>
        </row>
        <row r="16">
          <cell r="D16" t="str">
            <v>Код ОКТМО</v>
          </cell>
          <cell r="E16" t="str">
            <v>(50627408101)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1087.0385350710806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3921.2250000000004</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529.16474301051517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72.736700000000013</v>
          </cell>
        </row>
        <row r="27">
          <cell r="F27">
            <v>1291.2863994686898</v>
          </cell>
        </row>
        <row r="28">
          <cell r="F28">
            <v>991.77142816335618</v>
          </cell>
        </row>
        <row r="29">
          <cell r="F29">
            <v>299.51497130533357</v>
          </cell>
        </row>
        <row r="30">
          <cell r="F30">
            <v>2800.3070981538958</v>
          </cell>
        </row>
        <row r="33">
          <cell r="F33">
            <v>1601.1491095953263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19.366666666666667</v>
          </cell>
        </row>
        <row r="19">
          <cell r="E19">
            <v>23.616666666666667</v>
          </cell>
        </row>
      </sheetData>
      <sheetData sheetId="29" refreshError="1"/>
      <sheetData sheetId="30">
        <row r="12">
          <cell r="F12">
            <v>111.45105309116219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Кайгородский, Краснозерский муниципальный район</v>
          </cell>
        </row>
        <row r="15">
          <cell r="D15" t="str">
            <v/>
          </cell>
        </row>
        <row r="16">
          <cell r="D16" t="str">
            <v>Код ОКТМО</v>
          </cell>
          <cell r="E16" t="str">
            <v xml:space="preserve"> (50627409101)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1057.272132300707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3813.85</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527.12530253382499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73.264750000000006</v>
          </cell>
        </row>
        <row r="27">
          <cell r="F27">
            <v>1291.2863994686898</v>
          </cell>
        </row>
        <row r="28">
          <cell r="F28">
            <v>991.77142816335618</v>
          </cell>
        </row>
        <row r="29">
          <cell r="F29">
            <v>299.51497130533357</v>
          </cell>
        </row>
        <row r="30">
          <cell r="F30">
            <v>2756.9732432203991</v>
          </cell>
        </row>
        <row r="33">
          <cell r="F33">
            <v>1557.7714297834245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19.916666666666668</v>
          </cell>
        </row>
        <row r="19">
          <cell r="E19">
            <v>16.75</v>
          </cell>
        </row>
      </sheetData>
      <sheetData sheetId="29" refreshError="1"/>
      <sheetData sheetId="30">
        <row r="12">
          <cell r="F12">
            <v>110.81493622622092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Колыбелька, Краснозерский муниципальный район</v>
          </cell>
        </row>
        <row r="15">
          <cell r="D15" t="str">
            <v/>
          </cell>
        </row>
        <row r="16">
          <cell r="D16" t="str">
            <v>Код ОКТМО</v>
          </cell>
          <cell r="E16" t="str">
            <v xml:space="preserve"> (50627410101)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1063.6897548770437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3837</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524.29598196486211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34.103250000000003</v>
          </cell>
        </row>
        <row r="27">
          <cell r="F27">
            <v>1291.2863994686898</v>
          </cell>
        </row>
        <row r="28">
          <cell r="F28">
            <v>991.77142816335618</v>
          </cell>
        </row>
        <row r="29">
          <cell r="F29">
            <v>299.51497130533357</v>
          </cell>
        </row>
        <row r="30">
          <cell r="F30">
            <v>2763.0752889183195</v>
          </cell>
        </row>
        <row r="33">
          <cell r="F33">
            <v>1567.1236373517183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8.75</v>
          </cell>
        </row>
        <row r="19">
          <cell r="E19">
            <v>16.75</v>
          </cell>
        </row>
      </sheetData>
      <sheetData sheetId="29" refreshError="1"/>
      <sheetData sheetId="30">
        <row r="12">
          <cell r="F12">
            <v>110.88670226636842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Конево, Краснозерский муниципальный район</v>
          </cell>
        </row>
        <row r="15">
          <cell r="D15" t="str">
            <v/>
          </cell>
        </row>
        <row r="16">
          <cell r="D16" t="str">
            <v>Код ОКТМО</v>
          </cell>
          <cell r="E16" t="str">
            <v xml:space="preserve"> (50627413101)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1063.6897548770437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3837</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524.24830410298182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33.533749999999998</v>
          </cell>
        </row>
        <row r="27">
          <cell r="F27">
            <v>1291.2863994686898</v>
          </cell>
        </row>
        <row r="28">
          <cell r="F28">
            <v>991.77142816335618</v>
          </cell>
        </row>
        <row r="29">
          <cell r="F29">
            <v>299.51497130533357</v>
          </cell>
        </row>
        <row r="30">
          <cell r="F30">
            <v>2763.0280239467229</v>
          </cell>
        </row>
        <row r="33">
          <cell r="F33">
            <v>1567.1236373517183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8.75</v>
          </cell>
        </row>
        <row r="19">
          <cell r="E19">
            <v>13.958333333333334</v>
          </cell>
        </row>
      </sheetData>
      <sheetData sheetId="29" refreshError="1"/>
      <sheetData sheetId="30">
        <row r="12">
          <cell r="F12">
            <v>110.88574870913081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Лобински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Лобино, Краснозерский муниципальный район</v>
          </cell>
        </row>
        <row r="15">
          <cell r="D15" t="str">
            <v/>
          </cell>
        </row>
        <row r="16">
          <cell r="D16" t="str">
            <v>Код ОКТМО</v>
          </cell>
          <cell r="E16" t="str">
            <v xml:space="preserve"> (50627419101)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1034.1959509058092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0">
          <cell r="I10" t="str">
            <v>информация с официального сайта единой информационной системы в сфере закупок</v>
          </cell>
        </row>
        <row r="11">
          <cell r="I11" t="str">
            <v>рыночные цены на топливо, сложившиеся на организованных торговых площадках, в т.ч. на биржах, функционирующих на территории РФ</v>
          </cell>
        </row>
        <row r="12">
          <cell r="I12" t="str">
            <v>рыночные цены на топливо, информация о которых предоставляется независимыми специализированными информационно-аналитическими организациями</v>
          </cell>
        </row>
        <row r="13">
          <cell r="E13" t="str">
            <v>уголь (вид угля не указан в топливном балансе)</v>
          </cell>
          <cell r="I13" t="str">
            <v>данные Федеральной службы государственной статистики</v>
          </cell>
        </row>
        <row r="16">
          <cell r="E16">
            <v>5100</v>
          </cell>
        </row>
        <row r="19">
          <cell r="E19">
            <v>1.4E-2</v>
          </cell>
          <cell r="F19" t="str">
            <v xml:space="preserve">Прогноз социально-экономического развития Российской Федерации на 2023 год и на плановый период 2024 и 2025 годов (размещен на официальном сайте Министерства экономического развития Российской Федерации (далее -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ell>
        </row>
        <row r="20">
          <cell r="E20">
            <v>0.04</v>
          </cell>
          <cell r="F20" t="str">
            <v xml:space="preserve">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ell>
        </row>
        <row r="23">
          <cell r="E23" t="str">
            <v>данные Федеральной службы государственной статистики</v>
          </cell>
        </row>
        <row r="27">
          <cell r="E27">
            <v>3730.6083333333331</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cell r="F13" t="str">
            <v xml:space="preserve"> Приложение А (обязательное) "Общее сейсмическое районирование территории Российской Федерации ОСР-2015. Список населенных пунктов Российской Федерации, расположенных в сейсмических районах, с указанием расчетной сейсмической интенсивности в баллах шкалы MSK-64 для средних грунтовых условий и трех степеней сейсмической опасности - A (10%), B (5%), C (1%) в течение 50 лет" к своду правил "СП 14.13330.2018 Строительство в сейсмических районах. Актуализир. редакция СНиП II-7-81".</v>
          </cell>
        </row>
        <row r="14">
          <cell r="E14" t="str">
            <v>от 200 до 500</v>
          </cell>
          <cell r="F14" t="str">
            <v>Карта Российской Федерации в масштабе, позволяющем определить расстояние на транспортировку основных средств котельной, определяется как расстояние от границы системы теплоснабжения до границы ближайшего административного центра субъекта РФ с железнодорожным сообщением</v>
          </cell>
        </row>
        <row r="15">
          <cell r="E15" t="str">
            <v>нет</v>
          </cell>
        </row>
        <row r="19">
          <cell r="E19">
            <v>-38</v>
          </cell>
          <cell r="F19" t="str">
            <v>Схема теплоснабжения (расчетная температура наружного воздуха)</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row r="15">
          <cell r="D15" t="str">
            <v>на 2020: Прогноз социально-экономического развития Российской Федерации на 2022 год и на плановый период 2023 и 2024 годов (размещен на официальном сайте Минэкономразвития России 30.09.2021): файл в формате Microsoft Excel «12. Дефляторы базовый», таблица «Прогноз индексов цен производителей и индексов-дефляторов по видам экономической деятельности, в % г/г (Базовый вариант)», отрасль «Промышленность (BСDE)», (показатель «ИЦП»)
на 2021-2023 годы:  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отрасль «Промышленность (BСDE)», (показатель «ИЦП»)</v>
          </cell>
        </row>
      </sheetData>
      <sheetData sheetId="21">
        <row r="11">
          <cell r="G11" t="str">
            <v>Информация с официального сайта Банка России</v>
          </cell>
        </row>
      </sheetData>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524.08583335759624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56.253800000000012</v>
          </cell>
        </row>
        <row r="27">
          <cell r="F27">
            <v>1291.2863994686898</v>
          </cell>
        </row>
        <row r="28">
          <cell r="F28">
            <v>991.77142816335618</v>
          </cell>
        </row>
        <row r="29">
          <cell r="F29">
            <v>299.51497130533357</v>
          </cell>
        </row>
        <row r="30">
          <cell r="F30">
            <v>2721.9332175176114</v>
          </cell>
        </row>
        <row r="33">
          <cell r="F33">
            <v>1524.1432075373184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14.666666666666668</v>
          </cell>
        </row>
        <row r="19">
          <cell r="E19">
            <v>23.616666666666667</v>
          </cell>
        </row>
      </sheetData>
      <sheetData sheetId="29" refreshError="1"/>
      <sheetData sheetId="30">
        <row r="12">
          <cell r="F12">
            <v>110.29262321479838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Лотошное, Краснозерский муниципальный район </v>
          </cell>
        </row>
        <row r="15">
          <cell r="D15" t="str">
            <v/>
          </cell>
        </row>
        <row r="16">
          <cell r="D16" t="str">
            <v>Код ОКТМО</v>
          </cell>
          <cell r="E16" t="str">
            <v>(50627420101)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1108.8810913919096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4000.0166666666673</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530.62766153354676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71.947625000000002</v>
          </cell>
        </row>
        <row r="27">
          <cell r="F27">
            <v>1291.2863994686898</v>
          </cell>
        </row>
        <row r="28">
          <cell r="F28">
            <v>991.77142816335618</v>
          </cell>
        </row>
        <row r="29">
          <cell r="F29">
            <v>299.51497130533357</v>
          </cell>
        </row>
        <row r="30">
          <cell r="F30">
            <v>2832.0721074988451</v>
          </cell>
        </row>
        <row r="33">
          <cell r="F33">
            <v>1632.9796072764698</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19.141666666666666</v>
          </cell>
        </row>
        <row r="19">
          <cell r="E19">
            <v>23.616666666666667</v>
          </cell>
        </row>
      </sheetData>
      <sheetData sheetId="29" refreshError="1"/>
      <sheetData sheetId="30">
        <row r="12">
          <cell r="F12">
            <v>111.91716258803942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Майское, Краснозерский муниципальный район </v>
          </cell>
        </row>
        <row r="15">
          <cell r="D15" t="str">
            <v/>
          </cell>
        </row>
        <row r="16">
          <cell r="D16" t="str">
            <v>Код ОКТМО</v>
          </cell>
          <cell r="E16" t="str">
            <v>(50627422101)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924.68931703683063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3335.59</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514.95937781396401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38.802630000000001</v>
          </cell>
        </row>
        <row r="27">
          <cell r="F27">
            <v>1291.2863994686898</v>
          </cell>
        </row>
        <row r="28">
          <cell r="F28">
            <v>991.77142816335618</v>
          </cell>
        </row>
        <row r="29">
          <cell r="F29">
            <v>299.51497130533357</v>
          </cell>
        </row>
        <row r="30">
          <cell r="F30">
            <v>2560.9041680914443</v>
          </cell>
        </row>
        <row r="33">
          <cell r="F33">
            <v>1364.5624971003986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10.09</v>
          </cell>
        </row>
        <row r="19">
          <cell r="E19">
            <v>16.75</v>
          </cell>
        </row>
      </sheetData>
      <sheetData sheetId="29" refreshError="1"/>
      <sheetData sheetId="30">
        <row r="12">
          <cell r="F12">
            <v>107.91996142654618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Мохнатый Лог, Краснозерский муниципальный район</v>
          </cell>
        </row>
        <row r="15">
          <cell r="D15" t="str">
            <v/>
          </cell>
        </row>
        <row r="16">
          <cell r="D16" t="str">
            <v>Код ОКТМО</v>
          </cell>
          <cell r="E16" t="str">
            <v xml:space="preserve"> (50627425101)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563.62250490830445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2033.13</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491.89682357347021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65.225875000000002</v>
          </cell>
        </row>
        <row r="27">
          <cell r="F27">
            <v>1291.2863994686898</v>
          </cell>
        </row>
        <row r="28">
          <cell r="F28">
            <v>991.77142816335618</v>
          </cell>
        </row>
        <row r="29">
          <cell r="F29">
            <v>299.51497130533357</v>
          </cell>
        </row>
        <row r="30">
          <cell r="F30">
            <v>2036.9253726209827</v>
          </cell>
        </row>
        <row r="33">
          <cell r="F33">
            <v>838.39073600322365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17.225000000000001</v>
          </cell>
        </row>
        <row r="19">
          <cell r="E19">
            <v>23.616666666666667</v>
          </cell>
        </row>
      </sheetData>
      <sheetData sheetId="29" refreshError="1"/>
      <sheetData sheetId="30">
        <row r="12">
          <cell r="F12">
            <v>100.23737409916578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Нижнечеремошное, Краснозерский муниципальный район</v>
          </cell>
        </row>
        <row r="15">
          <cell r="D15" t="str">
            <v/>
          </cell>
          <cell r="E15" t="str">
            <v>село Нижнечеремошное, Краснозерский муниципальный район</v>
          </cell>
        </row>
        <row r="16">
          <cell r="D16" t="str">
            <v>Код ОКТМО</v>
          </cell>
          <cell r="E16" t="str">
            <v xml:space="preserve"> (50627428101)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1087.2418290907776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3921.9583333333339</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525.80761295656896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32.466650000000001</v>
          </cell>
        </row>
        <row r="27">
          <cell r="F27">
            <v>1291.2863994686898</v>
          </cell>
        </row>
        <row r="28">
          <cell r="F28">
            <v>991.77142816335618</v>
          </cell>
        </row>
        <row r="29">
          <cell r="F29">
            <v>299.51497130533357</v>
          </cell>
        </row>
        <row r="30">
          <cell r="F30">
            <v>2797.2611877370982</v>
          </cell>
        </row>
        <row r="33">
          <cell r="F33">
            <v>1601.4453638307516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8.2833333333333332</v>
          </cell>
        </row>
        <row r="19">
          <cell r="E19">
            <v>16.75</v>
          </cell>
        </row>
      </sheetData>
      <sheetData sheetId="29" refreshError="1"/>
      <sheetData sheetId="30">
        <row r="12">
          <cell r="F12">
            <v>111.3879763704772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Октябрьский, Краснозерский муниципальный район</v>
          </cell>
        </row>
        <row r="15">
          <cell r="D15" t="str">
            <v/>
          </cell>
          <cell r="E15" t="str">
            <v>село Нижнечеремошное, Краснозерский муниципальный район</v>
          </cell>
        </row>
        <row r="16">
          <cell r="D16" t="str">
            <v>Код ОКТМО</v>
          </cell>
          <cell r="E16" t="str">
            <v xml:space="preserve"> (50627428101)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1143.7067430615548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4125.6416666666673</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532.50761360859974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65.28432500000001</v>
          </cell>
        </row>
        <row r="27">
          <cell r="F27">
            <v>1291.2863994686898</v>
          </cell>
        </row>
        <row r="28">
          <cell r="F28">
            <v>991.77142816335618</v>
          </cell>
        </row>
        <row r="29">
          <cell r="F29">
            <v>299.51497130533357</v>
          </cell>
        </row>
        <row r="30">
          <cell r="F30">
            <v>2882.2694653255885</v>
          </cell>
        </row>
        <row r="33">
          <cell r="F33">
            <v>1683.729977719963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17.241666666666667</v>
          </cell>
        </row>
        <row r="19">
          <cell r="E19">
            <v>23.616666666666667</v>
          </cell>
        </row>
      </sheetData>
      <sheetData sheetId="29" refreshError="1"/>
      <sheetData sheetId="30">
        <row r="12">
          <cell r="F12">
            <v>112.65127466293339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Орехов Лог, Краснозерский муниципальный район</v>
          </cell>
        </row>
        <row r="15">
          <cell r="D15" t="str">
            <v/>
          </cell>
          <cell r="E15" t="str">
            <v>село Нижнечеремошное, Краснозерский муниципальный район</v>
          </cell>
        </row>
        <row r="16">
          <cell r="D16" t="str">
            <v>Код ОКТМО</v>
          </cell>
          <cell r="E16" t="str">
            <v xml:space="preserve"> (50627434101)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1034.4269668372829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3731.4416666666666</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523.4880546779732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48.920325000000005</v>
          </cell>
        </row>
        <row r="27">
          <cell r="F27">
            <v>1291.2863994686898</v>
          </cell>
        </row>
        <row r="28">
          <cell r="F28">
            <v>991.77142816335618</v>
          </cell>
        </row>
        <row r="29">
          <cell r="F29">
            <v>299.51497130533357</v>
          </cell>
        </row>
        <row r="30">
          <cell r="F30">
            <v>2721.6612370682637</v>
          </cell>
        </row>
        <row r="33">
          <cell r="F33">
            <v>1524.4798600775737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12.975000000000001</v>
          </cell>
        </row>
        <row r="19">
          <cell r="E19">
            <v>16.75</v>
          </cell>
        </row>
      </sheetData>
      <sheetData sheetId="29" refreshError="1"/>
      <sheetData sheetId="30">
        <row r="12">
          <cell r="F12">
            <v>110.2852879598354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Половинное, Краснозерский муниципальный район</v>
          </cell>
        </row>
        <row r="15">
          <cell r="D15" t="str">
            <v/>
          </cell>
        </row>
        <row r="16">
          <cell r="D16" t="str">
            <v>Код ОКТМО</v>
          </cell>
          <cell r="E16" t="str">
            <v xml:space="preserve"> (50627437101)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1000.2135073860427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3608.0250000000001</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522.3241097019818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63.624275000000004</v>
          </cell>
        </row>
        <row r="27">
          <cell r="F27">
            <v>1291.2863994686898</v>
          </cell>
        </row>
        <row r="28">
          <cell r="F28">
            <v>991.77142816335618</v>
          </cell>
        </row>
        <row r="29">
          <cell r="F29">
            <v>299.51497130533357</v>
          </cell>
        </row>
        <row r="30">
          <cell r="F30">
            <v>2673.0233326064154</v>
          </cell>
        </row>
        <row r="33">
          <cell r="F33">
            <v>1474.6216188657568</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15.258333333333333</v>
          </cell>
        </row>
        <row r="19">
          <cell r="E19">
            <v>49.575000000000003</v>
          </cell>
        </row>
      </sheetData>
      <sheetData sheetId="29" refreshError="1"/>
      <sheetData sheetId="30">
        <row r="12">
          <cell r="F12">
            <v>109.57773987129077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Полойка, Краснозерский муниципальный район</v>
          </cell>
        </row>
        <row r="15">
          <cell r="D15" t="str">
            <v/>
          </cell>
        </row>
        <row r="16">
          <cell r="D16" t="str">
            <v>Код ОКТМО</v>
          </cell>
          <cell r="E16" t="str">
            <v xml:space="preserve"> (50627440101)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1087.0385350710806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0">
          <cell r="I10" t="str">
            <v>информация с официального сайта единой информационной системы в сфере закупок</v>
          </cell>
        </row>
        <row r="11">
          <cell r="I11" t="str">
            <v>рыночные цены на топливо, сложившиеся на организованных торговых площадках, в т.ч. на биржах, функционирующих на территории РФ</v>
          </cell>
        </row>
        <row r="12">
          <cell r="I12" t="str">
            <v>рыночные цены на топливо, информация о которых предоставляется независимыми специализированными информационно-аналитическими организациями</v>
          </cell>
        </row>
        <row r="13">
          <cell r="E13" t="str">
            <v>уголь (вид угля не указан в топливном балансе)</v>
          </cell>
          <cell r="I13" t="str">
            <v>данные Федеральной службы государственной статистики</v>
          </cell>
        </row>
        <row r="16">
          <cell r="E16">
            <v>5100</v>
          </cell>
        </row>
        <row r="19">
          <cell r="E19">
            <v>1.4E-2</v>
          </cell>
          <cell r="F19" t="str">
            <v xml:space="preserve">Прогноз социально-экономического развития Российской Федерации на 2023 год и на плановый период 2024 и 2025 годов (размещен на официальном сайте Министерства экономического развития Российской Федерации (далее -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ell>
        </row>
        <row r="20">
          <cell r="E20">
            <v>0.04</v>
          </cell>
          <cell r="F20" t="str">
            <v xml:space="preserve">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ell>
        </row>
        <row r="23">
          <cell r="E23" t="str">
            <v>данные Федеральной службы государственной статистики</v>
          </cell>
        </row>
        <row r="27">
          <cell r="E27">
            <v>3921.2250000000004</v>
          </cell>
        </row>
      </sheetData>
      <sheetData sheetId="9"/>
      <sheetData sheetId="10"/>
      <sheetData sheetId="11"/>
      <sheetData sheetId="12"/>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cell r="F13" t="str">
            <v xml:space="preserve"> Приложение А (обязательное) "Общее сейсмическое районирование территории Российской Федерации ОСР-2015. Список населенных пунктов Российской Федерации, расположенных в сейсмических районах, с указанием расчетной сейсмической интенсивности в баллах шкалы MSK-64 для средних грунтовых условий и трех степеней сейсмической опасности - A (10%), B (5%), C (1%) в течение 50 лет" к своду правил "СП 14.13330.2018 Строительство в сейсмических районах. Актуализир. редакция СНиП II-7-81".</v>
          </cell>
        </row>
        <row r="14">
          <cell r="E14" t="str">
            <v>от 200 до 500</v>
          </cell>
          <cell r="F14" t="str">
            <v>Карта Российской Федерации в масштабе, позволяющем определить расстояние на транспортировку основных средств котельной, определяется как расстояние от границы системы теплоснабжения до границы ближайшего административного центра субъекта РФ с железнодорожным сообщением</v>
          </cell>
        </row>
        <row r="15">
          <cell r="E15" t="str">
            <v>нет</v>
          </cell>
        </row>
        <row r="19">
          <cell r="E19">
            <v>-38</v>
          </cell>
          <cell r="F19" t="str">
            <v>Схема теплоснабжения (расчетная температура наружного воздуха)</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row r="15">
          <cell r="D15" t="str">
            <v>на 2020: Прогноз социально-экономического развития Российской Федерации на 2022 год и на плановый период 2023 и 2024 годов (размещен на официальном сайте Минэкономразвития России 30.09.2021): файл в формате Microsoft Excel «12. Дефляторы базовый», таблица «Прогноз индексов цен производителей и индексов-дефляторов по видам экономической деятельности, в % г/г (Базовый вариант)», отрасль «Промышленность (BСDE)», (показатель «ИЦП»)
на 2021-2023 годы:  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отрасль «Промышленность (BСDE)», (показатель «ИЦП»)</v>
          </cell>
        </row>
      </sheetData>
      <sheetData sheetId="21">
        <row r="11">
          <cell r="G11" t="str">
            <v>Информация с официального сайта Банка России</v>
          </cell>
        </row>
      </sheetData>
      <sheetData sheetId="22"/>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527.27362510677995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50.147775000000003</v>
          </cell>
        </row>
        <row r="27">
          <cell r="F27">
            <v>1291.2863994686898</v>
          </cell>
        </row>
        <row r="28">
          <cell r="F28">
            <v>991.77142816335618</v>
          </cell>
        </row>
        <row r="29">
          <cell r="F29">
            <v>299.51497130533357</v>
          </cell>
        </row>
        <row r="30">
          <cell r="F30">
            <v>2798.4323573312072</v>
          </cell>
        </row>
        <row r="33">
          <cell r="F33">
            <v>1601.1491095953263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13.325000000000001</v>
          </cell>
        </row>
        <row r="19">
          <cell r="E19">
            <v>16.75</v>
          </cell>
        </row>
      </sheetData>
      <sheetData sheetId="29"/>
      <sheetData sheetId="30">
        <row r="12">
          <cell r="F12">
            <v>111.4132307330875</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Садовый, Краснозерский муниципальный район</v>
          </cell>
        </row>
        <row r="15">
          <cell r="D15" t="str">
            <v/>
          </cell>
        </row>
        <row r="16">
          <cell r="D16" t="str">
            <v>Код ОКТМО</v>
          </cell>
          <cell r="E16" t="str">
            <v xml:space="preserve"> (50627443101)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1034.4269668372829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3731.4416666666666</v>
          </cell>
        </row>
      </sheetData>
      <sheetData sheetId="9" refreshError="1"/>
      <sheetData sheetId="10" refreshError="1"/>
      <sheetData sheetId="11"/>
      <sheetData sheetId="12" refreshError="1"/>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523.4880546779732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48.920325000000005</v>
          </cell>
        </row>
        <row r="27">
          <cell r="F27">
            <v>1291.2863994686898</v>
          </cell>
        </row>
        <row r="28">
          <cell r="F28">
            <v>991.77142816335618</v>
          </cell>
        </row>
        <row r="29">
          <cell r="F29">
            <v>299.51497130533357</v>
          </cell>
        </row>
        <row r="30">
          <cell r="F30">
            <v>2721.6612370682637</v>
          </cell>
        </row>
        <row r="33">
          <cell r="F33">
            <v>1524.4798600775737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12.975000000000001</v>
          </cell>
        </row>
        <row r="19">
          <cell r="E19">
            <v>16.75</v>
          </cell>
        </row>
      </sheetData>
      <sheetData sheetId="29" refreshError="1"/>
      <sheetData sheetId="30">
        <row r="12">
          <cell r="F12">
            <v>110.2852879598354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ветловский"/>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Светлое, Краснозерский муниципальный район</v>
          </cell>
        </row>
        <row r="15">
          <cell r="D15" t="str">
            <v/>
          </cell>
        </row>
        <row r="16">
          <cell r="D16" t="str">
            <v>Код ОКТМО</v>
          </cell>
          <cell r="E16" t="str">
            <v xml:space="preserve"> (50627446101)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1108.8810913919096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0">
          <cell r="I10" t="str">
            <v>информация с официального сайта единой информационной системы в сфере закупок</v>
          </cell>
        </row>
        <row r="11">
          <cell r="I11" t="str">
            <v>рыночные цены на топливо, сложившиеся на организованных торговых площадках, в т.ч. на биржах, функционирующих на территории РФ</v>
          </cell>
        </row>
        <row r="12">
          <cell r="I12" t="str">
            <v>рыночные цены на топливо, информация о которых предоставляется независимыми специализированными информационно-аналитическими организациями</v>
          </cell>
        </row>
        <row r="13">
          <cell r="E13" t="str">
            <v>уголь (вид угля не указан в топливном балансе)</v>
          </cell>
          <cell r="I13" t="str">
            <v>данные Федеральной службы государственной статистики</v>
          </cell>
        </row>
        <row r="16">
          <cell r="E16">
            <v>5100</v>
          </cell>
        </row>
        <row r="19">
          <cell r="E19">
            <v>1.4E-2</v>
          </cell>
          <cell r="F19" t="str">
            <v xml:space="preserve">Прогноз социально-экономического развития Российской Федерации на 2023 год и на плановый период 2024 и 2025 годов (размещен на официальном сайте Министерства экономического развития Российской Федерации (далее -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ell>
        </row>
        <row r="20">
          <cell r="E20">
            <v>0.04</v>
          </cell>
          <cell r="F20" t="str">
            <v xml:space="preserve">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ell>
        </row>
        <row r="23">
          <cell r="E23" t="str">
            <v>данные Федеральной службы государственной статистики</v>
          </cell>
        </row>
        <row r="27">
          <cell r="E27">
            <v>4000.0166666666673</v>
          </cell>
        </row>
      </sheetData>
      <sheetData sheetId="9"/>
      <sheetData sheetId="10"/>
      <sheetData sheetId="11"/>
      <sheetData sheetId="12"/>
      <sheetData sheetId="13">
        <row r="12">
          <cell r="F12">
            <v>3044.8315746726421</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1349.309862285194</v>
          </cell>
        </row>
        <row r="27">
          <cell r="F27">
            <v>0.19354712999999998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cell r="F13" t="str">
            <v xml:space="preserve"> Приложение А (обязательное) "Общее сейсмическое районирование территории Российской Федерации ОСР-2015. Список населенных пунктов Российской Федерации, расположенных в сейсмических районах, с указанием расчетной сейсмической интенсивности в баллах шкалы MSK-64 для средних грунтовых условий и трех степеней сейсмической опасности - A (10%), B (5%), C (1%) в течение 50 лет" к своду правил "СП 14.13330.2018 Строительство в сейсмических районах. Актуализир. редакция СНиП II-7-81".</v>
          </cell>
        </row>
        <row r="14">
          <cell r="E14" t="str">
            <v>от 200 до 500</v>
          </cell>
          <cell r="F14" t="str">
            <v>Карта Российской Федерации в масштабе, позволяющем определить расстояние на транспортировку основных средств котельной, определяется как расстояние от границы системы теплоснабжения до границы ближайшего административного центра субъекта РФ с железнодорожным сообщением</v>
          </cell>
        </row>
        <row r="15">
          <cell r="E15" t="str">
            <v>нет</v>
          </cell>
        </row>
        <row r="19">
          <cell r="E19">
            <v>-38</v>
          </cell>
          <cell r="F19" t="str">
            <v>Схема теплоснабжения (расчетная температура наружного воздуха)</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row r="15">
          <cell r="D15" t="str">
            <v>на 2020: Прогноз социально-экономического развития Российской Федерации на 2022 год и на плановый период 2023 и 2024 годов (размещен на официальном сайте Минэкономразвития России 30.09.2021): файл в формате Microsoft Excel «12. Дефляторы базовый», таблица «Прогноз индексов цен производителей и индексов-дефляторов по видам экономической деятельности, в % г/г (Базовый вариант)», отрасль «Промышленность (BСDE)», (показатель «ИЦП»)
на 2021-2023 годы:  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отрасль «Промышленность (BСDE)», (показатель «ИЦП»)</v>
          </cell>
        </row>
      </sheetData>
      <sheetData sheetId="21">
        <row r="11">
          <cell r="G11" t="str">
            <v>Информация с официального сайта Банка России</v>
          </cell>
        </row>
      </sheetData>
      <sheetData sheetId="22"/>
      <sheetData sheetId="23">
        <row r="12">
          <cell r="F12">
            <v>911.5178018038722</v>
          </cell>
        </row>
        <row r="14">
          <cell r="F14">
            <v>14784.578474435859</v>
          </cell>
        </row>
        <row r="15">
          <cell r="F15">
            <v>0.25</v>
          </cell>
        </row>
        <row r="18">
          <cell r="F18">
            <v>15</v>
          </cell>
        </row>
        <row r="19">
          <cell r="F19">
            <v>4187.478806422544</v>
          </cell>
        </row>
        <row r="20">
          <cell r="F20">
            <v>2.1999999999999999E-2</v>
          </cell>
        </row>
        <row r="21">
          <cell r="F21">
            <v>10</v>
          </cell>
        </row>
        <row r="22">
          <cell r="F22">
            <v>4.0479295868555818</v>
          </cell>
        </row>
        <row r="23">
          <cell r="F23">
            <v>3.0000000000000001E-3</v>
          </cell>
        </row>
        <row r="24">
          <cell r="F24">
            <v>1349.309862285194</v>
          </cell>
        </row>
      </sheetData>
      <sheetData sheetId="24"/>
      <sheetData sheetId="25">
        <row r="12">
          <cell r="F12">
            <v>530.62766153354676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71.947625000000002</v>
          </cell>
        </row>
        <row r="27">
          <cell r="F27">
            <v>1291.2863994686898</v>
          </cell>
        </row>
        <row r="28">
          <cell r="F28">
            <v>991.77142816335618</v>
          </cell>
        </row>
        <row r="29">
          <cell r="F29">
            <v>299.51497130533357</v>
          </cell>
        </row>
        <row r="30">
          <cell r="F30">
            <v>2832.0721074988451</v>
          </cell>
        </row>
        <row r="33">
          <cell r="F33">
            <v>1632.9796072764698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19.141666666666666</v>
          </cell>
        </row>
        <row r="19">
          <cell r="E19">
            <v>23.616666666666667</v>
          </cell>
        </row>
      </sheetData>
      <sheetData sheetId="29"/>
      <sheetData sheetId="30">
        <row r="12">
          <cell r="F12">
            <v>111.91716258803942</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9.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17.xml.rels><?xml version="1.0" encoding="UTF-8" standalone="yes"?>
<Relationships xmlns="http://schemas.openxmlformats.org/package/2006/relationships"><Relationship Id="rId3" Type="http://schemas.openxmlformats.org/officeDocument/2006/relationships/ctrlProp" Target="../ctrlProps/ctrlProp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19.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3.vml"/><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[1]И1!D13</f>
        <v>Субъект Российской Федерации</v>
      </c>
      <c r="C4" s="10" t="str">
        <f>[1]И1!E13</f>
        <v>Новосибирская область</v>
      </c>
    </row>
    <row r="5" spans="1:3" ht="46.9" customHeight="1" x14ac:dyDescent="0.2">
      <c r="A5" s="8"/>
      <c r="B5" s="9" t="str">
        <f>[1]И1!D14</f>
        <v>Тип муниципального образования (выберите из списка)</v>
      </c>
      <c r="C5" s="10" t="str">
        <f>[1]И1!E14</f>
        <v>рабочий поселок Краснозерское, Краснозерский муниципальный район</v>
      </c>
    </row>
    <row r="6" spans="1:3" x14ac:dyDescent="0.2">
      <c r="A6" s="8"/>
      <c r="B6" s="9" t="str">
        <f>IF([1]И1!E15="","",[1]И1!D15)</f>
        <v/>
      </c>
      <c r="C6" s="10" t="str">
        <f>IF([1]И1!E15="","",[1]И1!E15)</f>
        <v/>
      </c>
    </row>
    <row r="7" spans="1:3" x14ac:dyDescent="0.2">
      <c r="A7" s="8"/>
      <c r="B7" s="9" t="str">
        <f>[1]И1!D16</f>
        <v>Код ОКТМО</v>
      </c>
      <c r="C7" s="11" t="str">
        <f>[1]И1!E16</f>
        <v xml:space="preserve"> (50627151051)</v>
      </c>
    </row>
    <row r="8" spans="1:3" x14ac:dyDescent="0.2">
      <c r="A8" s="8"/>
      <c r="B8" s="12" t="str">
        <f>[1]И1!D17</f>
        <v>Система теплоснабжения</v>
      </c>
      <c r="C8" s="13">
        <f>[1]И1!E17</f>
        <v>0</v>
      </c>
    </row>
    <row r="9" spans="1:3" x14ac:dyDescent="0.2">
      <c r="A9" s="8"/>
      <c r="B9" s="9" t="str">
        <f>[1]И1!D8</f>
        <v>Период регулирования (i)-й</v>
      </c>
      <c r="C9" s="14">
        <f>[1]И1!E8</f>
        <v>2025</v>
      </c>
    </row>
    <row r="10" spans="1:3" x14ac:dyDescent="0.2">
      <c r="A10" s="8"/>
      <c r="B10" s="9" t="str">
        <f>[1]И1!D9</f>
        <v>Период регулирования (i-1)-й</v>
      </c>
      <c r="C10" s="14">
        <f>[1]И1!E9</f>
        <v>2024</v>
      </c>
    </row>
    <row r="11" spans="1:3" x14ac:dyDescent="0.2">
      <c r="A11" s="8"/>
      <c r="B11" s="9" t="str">
        <f>[1]И1!D10</f>
        <v>Период регулирования (i-2)-й</v>
      </c>
      <c r="C11" s="14">
        <f>[1]И1!E10</f>
        <v>2023</v>
      </c>
    </row>
    <row r="12" spans="1:3" x14ac:dyDescent="0.2">
      <c r="A12" s="8"/>
      <c r="B12" s="9" t="str">
        <f>[1]И1!D11</f>
        <v>Базовый год (б)</v>
      </c>
      <c r="C12" s="14">
        <f>[1]И1!E11</f>
        <v>2019</v>
      </c>
    </row>
    <row r="13" spans="1:3" ht="38.25" x14ac:dyDescent="0.2">
      <c r="A13" s="8"/>
      <c r="B13" s="9" t="str">
        <f>[1]И1!D18</f>
        <v>Вид топлива, использование которого преобладает в системе теплоснабжения</v>
      </c>
      <c r="C13" s="15" t="str">
        <f>[1]С1.1!E13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5214.4805347396787</v>
      </c>
    </row>
    <row r="18" spans="1:3" ht="42.75" x14ac:dyDescent="0.2">
      <c r="A18" s="22" t="s">
        <v>8</v>
      </c>
      <c r="B18" s="25" t="s">
        <v>9</v>
      </c>
      <c r="C18" s="26">
        <f>[1]С1!F12</f>
        <v>657.43726519536142</v>
      </c>
    </row>
    <row r="19" spans="1:3" ht="42.75" x14ac:dyDescent="0.2">
      <c r="A19" s="22" t="s">
        <v>10</v>
      </c>
      <c r="B19" s="25" t="s">
        <v>11</v>
      </c>
      <c r="C19" s="26">
        <f>[1]С2!F12</f>
        <v>3044.8315746726421</v>
      </c>
    </row>
    <row r="20" spans="1:3" ht="30" x14ac:dyDescent="0.2">
      <c r="A20" s="22" t="s">
        <v>12</v>
      </c>
      <c r="B20" s="25" t="s">
        <v>13</v>
      </c>
      <c r="C20" s="26">
        <f>[1]С3!F12</f>
        <v>911.5178018038722</v>
      </c>
    </row>
    <row r="21" spans="1:3" ht="42.75" x14ac:dyDescent="0.2">
      <c r="A21" s="22" t="s">
        <v>14</v>
      </c>
      <c r="B21" s="25" t="s">
        <v>15</v>
      </c>
      <c r="C21" s="26">
        <f>[1]С4!F12</f>
        <v>498.44917670035835</v>
      </c>
    </row>
    <row r="22" spans="1:3" ht="30" x14ac:dyDescent="0.2">
      <c r="A22" s="22" t="s">
        <v>16</v>
      </c>
      <c r="B22" s="25" t="s">
        <v>17</v>
      </c>
      <c r="C22" s="26">
        <f>[1]С5!F12</f>
        <v>102.24471636744467</v>
      </c>
    </row>
    <row r="23" spans="1:3" ht="43.5" thickBot="1" x14ac:dyDescent="0.25">
      <c r="A23" s="27" t="s">
        <v>18</v>
      </c>
      <c r="B23" s="117" t="s">
        <v>19</v>
      </c>
      <c r="C23" s="28" t="str">
        <f>[1]С6!F12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[1]С1.1!E16</f>
        <v>5100</v>
      </c>
    </row>
    <row r="29" spans="1:3" ht="42.75" x14ac:dyDescent="0.2">
      <c r="A29" s="22" t="s">
        <v>10</v>
      </c>
      <c r="B29" s="33" t="s">
        <v>22</v>
      </c>
      <c r="C29" s="34">
        <f>[1]С1.1!E27</f>
        <v>2953.8941666666665</v>
      </c>
    </row>
    <row r="30" spans="1:3" ht="17.25" x14ac:dyDescent="0.2">
      <c r="A30" s="22" t="s">
        <v>12</v>
      </c>
      <c r="B30" s="33" t="s">
        <v>23</v>
      </c>
      <c r="C30" s="35">
        <f>[1]С1.1!E19</f>
        <v>-0.19900000000000001</v>
      </c>
    </row>
    <row r="31" spans="1:3" ht="17.25" x14ac:dyDescent="0.2">
      <c r="A31" s="22" t="s">
        <v>14</v>
      </c>
      <c r="B31" s="33" t="s">
        <v>24</v>
      </c>
      <c r="C31" s="35">
        <f>[1]С1.1!E20</f>
        <v>5.7000000000000002E-2</v>
      </c>
    </row>
    <row r="32" spans="1:3" ht="30" x14ac:dyDescent="0.2">
      <c r="A32" s="22" t="s">
        <v>16</v>
      </c>
      <c r="B32" s="36" t="s">
        <v>25</v>
      </c>
      <c r="C32" s="37">
        <f>[1]С1!F13</f>
        <v>176.4</v>
      </c>
    </row>
    <row r="33" spans="1:3" x14ac:dyDescent="0.2">
      <c r="A33" s="22" t="s">
        <v>18</v>
      </c>
      <c r="B33" s="36" t="s">
        <v>26</v>
      </c>
      <c r="C33" s="38">
        <f>[1]С1!F16</f>
        <v>7000</v>
      </c>
    </row>
    <row r="34" spans="1:3" ht="14.25" x14ac:dyDescent="0.2">
      <c r="A34" s="22" t="s">
        <v>27</v>
      </c>
      <c r="B34" s="39" t="s">
        <v>28</v>
      </c>
      <c r="C34" s="40">
        <f>[1]С1!F17</f>
        <v>0.72857142857142854</v>
      </c>
    </row>
    <row r="35" spans="1:3" ht="15.75" x14ac:dyDescent="0.2">
      <c r="A35" s="41" t="s">
        <v>29</v>
      </c>
      <c r="B35" s="42" t="s">
        <v>30</v>
      </c>
      <c r="C35" s="40">
        <f>[1]С1!F20</f>
        <v>21.588411179999994</v>
      </c>
    </row>
    <row r="36" spans="1:3" ht="15.75" x14ac:dyDescent="0.2">
      <c r="A36" s="41" t="s">
        <v>31</v>
      </c>
      <c r="B36" s="43" t="s">
        <v>32</v>
      </c>
      <c r="C36" s="40">
        <f>[1]С1!F21</f>
        <v>20.818139999999996</v>
      </c>
    </row>
    <row r="37" spans="1:3" ht="14.25" x14ac:dyDescent="0.2">
      <c r="A37" s="41" t="s">
        <v>33</v>
      </c>
      <c r="B37" s="44" t="s">
        <v>34</v>
      </c>
      <c r="C37" s="40">
        <f>[1]С1!F22</f>
        <v>1.0369999999999999</v>
      </c>
    </row>
    <row r="38" spans="1:3" ht="53.25" thickBot="1" x14ac:dyDescent="0.25">
      <c r="A38" s="27" t="s">
        <v>35</v>
      </c>
      <c r="B38" s="45" t="s">
        <v>36</v>
      </c>
      <c r="C38" s="46">
        <f>[1]С1!F23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[1]С2.1!E12</f>
        <v>V</v>
      </c>
    </row>
    <row r="42" spans="1:3" ht="25.5" x14ac:dyDescent="0.2">
      <c r="A42" s="22" t="s">
        <v>41</v>
      </c>
      <c r="B42" s="33" t="s">
        <v>42</v>
      </c>
      <c r="C42" s="51" t="str">
        <f>[1]С2.1!E13</f>
        <v>6 и менее баллов</v>
      </c>
    </row>
    <row r="43" spans="1:3" ht="25.5" x14ac:dyDescent="0.2">
      <c r="A43" s="22" t="s">
        <v>43</v>
      </c>
      <c r="B43" s="33" t="s">
        <v>44</v>
      </c>
      <c r="C43" s="51" t="str">
        <f>[1]С2.1!E14</f>
        <v>от 200 до 500</v>
      </c>
    </row>
    <row r="44" spans="1:3" ht="25.5" x14ac:dyDescent="0.2">
      <c r="A44" s="22" t="s">
        <v>45</v>
      </c>
      <c r="B44" s="33" t="s">
        <v>46</v>
      </c>
      <c r="C44" s="52" t="str">
        <f>[1]С2.1!E15</f>
        <v>нет</v>
      </c>
    </row>
    <row r="45" spans="1:3" ht="30" x14ac:dyDescent="0.2">
      <c r="A45" s="22" t="s">
        <v>47</v>
      </c>
      <c r="B45" s="33" t="s">
        <v>48</v>
      </c>
      <c r="C45" s="34">
        <f>[1]С2!F18</f>
        <v>38910.02669467502</v>
      </c>
    </row>
    <row r="46" spans="1:3" ht="30" x14ac:dyDescent="0.2">
      <c r="A46" s="22" t="s">
        <v>49</v>
      </c>
      <c r="B46" s="53" t="s">
        <v>50</v>
      </c>
      <c r="C46" s="34">
        <f>IF([1]С2!F19&gt;0,[1]С2!F19,[1]С2!F20)</f>
        <v>23441.524932855718</v>
      </c>
    </row>
    <row r="47" spans="1:3" ht="25.5" x14ac:dyDescent="0.2">
      <c r="A47" s="22" t="s">
        <v>51</v>
      </c>
      <c r="B47" s="54" t="s">
        <v>52</v>
      </c>
      <c r="C47" s="34">
        <f>[1]С2.1!E19</f>
        <v>-38</v>
      </c>
    </row>
    <row r="48" spans="1:3" ht="25.5" x14ac:dyDescent="0.2">
      <c r="A48" s="22" t="s">
        <v>53</v>
      </c>
      <c r="B48" s="54" t="s">
        <v>54</v>
      </c>
      <c r="C48" s="34" t="str">
        <f>[1]С2.1!E22</f>
        <v>нет</v>
      </c>
    </row>
    <row r="49" spans="1:3" ht="38.25" x14ac:dyDescent="0.2">
      <c r="A49" s="22" t="s">
        <v>55</v>
      </c>
      <c r="B49" s="55" t="s">
        <v>56</v>
      </c>
      <c r="C49" s="34">
        <f>[1]С2.2!E10</f>
        <v>1287</v>
      </c>
    </row>
    <row r="50" spans="1:3" ht="25.5" x14ac:dyDescent="0.2">
      <c r="A50" s="22" t="s">
        <v>57</v>
      </c>
      <c r="B50" s="56" t="s">
        <v>58</v>
      </c>
      <c r="C50" s="34">
        <f>[1]С2.2!E12</f>
        <v>5.97</v>
      </c>
    </row>
    <row r="51" spans="1:3" ht="52.5" x14ac:dyDescent="0.2">
      <c r="A51" s="22" t="s">
        <v>59</v>
      </c>
      <c r="B51" s="57" t="s">
        <v>60</v>
      </c>
      <c r="C51" s="34">
        <f>[1]С2.2!E13</f>
        <v>1</v>
      </c>
    </row>
    <row r="52" spans="1:3" ht="27.75" x14ac:dyDescent="0.2">
      <c r="A52" s="22" t="s">
        <v>61</v>
      </c>
      <c r="B52" s="56" t="s">
        <v>62</v>
      </c>
      <c r="C52" s="34">
        <f>[1]С2.2!E14</f>
        <v>12104</v>
      </c>
    </row>
    <row r="53" spans="1:3" ht="25.5" x14ac:dyDescent="0.2">
      <c r="A53" s="22" t="s">
        <v>63</v>
      </c>
      <c r="B53" s="57" t="s">
        <v>64</v>
      </c>
      <c r="C53" s="35">
        <f>[1]С2.2!E15</f>
        <v>4.8000000000000001E-2</v>
      </c>
    </row>
    <row r="54" spans="1:3" x14ac:dyDescent="0.2">
      <c r="A54" s="22" t="s">
        <v>65</v>
      </c>
      <c r="B54" s="57" t="s">
        <v>66</v>
      </c>
      <c r="C54" s="34">
        <f>[1]С2.2!E16</f>
        <v>1</v>
      </c>
    </row>
    <row r="55" spans="1:3" ht="15.75" x14ac:dyDescent="0.2">
      <c r="A55" s="22" t="s">
        <v>67</v>
      </c>
      <c r="B55" s="58" t="s">
        <v>68</v>
      </c>
      <c r="C55" s="34">
        <f>[1]С2!F21</f>
        <v>1</v>
      </c>
    </row>
    <row r="56" spans="1:3" ht="30" x14ac:dyDescent="0.2">
      <c r="A56" s="59" t="s">
        <v>69</v>
      </c>
      <c r="B56" s="33" t="s">
        <v>70</v>
      </c>
      <c r="C56" s="34">
        <f>[1]С2!F13</f>
        <v>203708.97017230222</v>
      </c>
    </row>
    <row r="57" spans="1:3" ht="30" x14ac:dyDescent="0.2">
      <c r="A57" s="59" t="s">
        <v>71</v>
      </c>
      <c r="B57" s="58" t="s">
        <v>72</v>
      </c>
      <c r="C57" s="34">
        <f>[1]С2!F14</f>
        <v>113455</v>
      </c>
    </row>
    <row r="58" spans="1:3" ht="15.75" x14ac:dyDescent="0.2">
      <c r="A58" s="59" t="s">
        <v>73</v>
      </c>
      <c r="B58" s="60" t="s">
        <v>74</v>
      </c>
      <c r="C58" s="40">
        <f>[1]С2!F15</f>
        <v>1.071</v>
      </c>
    </row>
    <row r="59" spans="1:3" ht="15.75" x14ac:dyDescent="0.2">
      <c r="A59" s="59" t="s">
        <v>75</v>
      </c>
      <c r="B59" s="60" t="s">
        <v>76</v>
      </c>
      <c r="C59" s="40">
        <f>[1]С2!F16</f>
        <v>1</v>
      </c>
    </row>
    <row r="60" spans="1:3" ht="17.25" x14ac:dyDescent="0.2">
      <c r="A60" s="59" t="s">
        <v>77</v>
      </c>
      <c r="B60" s="58" t="s">
        <v>78</v>
      </c>
      <c r="C60" s="34">
        <f>[1]С2!F17</f>
        <v>1.01</v>
      </c>
    </row>
    <row r="61" spans="1:3" s="63" customFormat="1" ht="14.25" x14ac:dyDescent="0.2">
      <c r="A61" s="59" t="s">
        <v>79</v>
      </c>
      <c r="B61" s="61" t="s">
        <v>80</v>
      </c>
      <c r="C61" s="62">
        <f>[1]С2!F33</f>
        <v>10</v>
      </c>
    </row>
    <row r="62" spans="1:3" ht="30" x14ac:dyDescent="0.2">
      <c r="A62" s="59" t="s">
        <v>81</v>
      </c>
      <c r="B62" s="64" t="s">
        <v>82</v>
      </c>
      <c r="C62" s="34">
        <f>[1]С2!F26</f>
        <v>1349.309862285194</v>
      </c>
    </row>
    <row r="63" spans="1:3" ht="17.25" x14ac:dyDescent="0.2">
      <c r="A63" s="59" t="s">
        <v>83</v>
      </c>
      <c r="B63" s="53" t="s">
        <v>84</v>
      </c>
      <c r="C63" s="34">
        <f>[1]С2!F27</f>
        <v>0.19354712999999998</v>
      </c>
    </row>
    <row r="64" spans="1:3" ht="17.25" x14ac:dyDescent="0.2">
      <c r="A64" s="59" t="s">
        <v>85</v>
      </c>
      <c r="B64" s="58" t="s">
        <v>86</v>
      </c>
      <c r="C64" s="62">
        <f>[1]С2!F28</f>
        <v>4200</v>
      </c>
    </row>
    <row r="65" spans="1:3" ht="42.75" x14ac:dyDescent="0.2">
      <c r="A65" s="59" t="s">
        <v>87</v>
      </c>
      <c r="B65" s="33" t="s">
        <v>88</v>
      </c>
      <c r="C65" s="34">
        <f>[1]С2!F22</f>
        <v>42890.921752741691</v>
      </c>
    </row>
    <row r="66" spans="1:3" ht="30" x14ac:dyDescent="0.2">
      <c r="A66" s="59" t="s">
        <v>89</v>
      </c>
      <c r="B66" s="60" t="s">
        <v>90</v>
      </c>
      <c r="C66" s="34">
        <f>[1]С2!F23</f>
        <v>1990</v>
      </c>
    </row>
    <row r="67" spans="1:3" ht="30" x14ac:dyDescent="0.2">
      <c r="A67" s="59" t="s">
        <v>91</v>
      </c>
      <c r="B67" s="53" t="s">
        <v>92</v>
      </c>
      <c r="C67" s="34">
        <f>[1]С2.1!E27</f>
        <v>14307.876789999998</v>
      </c>
    </row>
    <row r="68" spans="1:3" ht="38.25" x14ac:dyDescent="0.2">
      <c r="A68" s="59" t="s">
        <v>93</v>
      </c>
      <c r="B68" s="65" t="s">
        <v>94</v>
      </c>
      <c r="C68" s="52">
        <f>[1]С2.3!E21</f>
        <v>0</v>
      </c>
    </row>
    <row r="69" spans="1:3" ht="25.5" x14ac:dyDescent="0.2">
      <c r="A69" s="59" t="s">
        <v>95</v>
      </c>
      <c r="B69" s="66" t="s">
        <v>96</v>
      </c>
      <c r="C69" s="67">
        <f>[1]С2.3!E11</f>
        <v>9.89</v>
      </c>
    </row>
    <row r="70" spans="1:3" ht="25.5" x14ac:dyDescent="0.2">
      <c r="A70" s="59" t="s">
        <v>97</v>
      </c>
      <c r="B70" s="66" t="s">
        <v>98</v>
      </c>
      <c r="C70" s="62">
        <f>[1]С2.3!E13</f>
        <v>300</v>
      </c>
    </row>
    <row r="71" spans="1:3" ht="25.5" x14ac:dyDescent="0.2">
      <c r="A71" s="59" t="s">
        <v>99</v>
      </c>
      <c r="B71" s="65" t="s">
        <v>100</v>
      </c>
      <c r="C71" s="68">
        <f>IF([1]С2.3!E22&gt;0,[1]С2.3!E22,[1]С2.3!E14)</f>
        <v>61211</v>
      </c>
    </row>
    <row r="72" spans="1:3" ht="38.25" x14ac:dyDescent="0.2">
      <c r="A72" s="59" t="s">
        <v>101</v>
      </c>
      <c r="B72" s="65" t="s">
        <v>102</v>
      </c>
      <c r="C72" s="68">
        <f>IF([1]С2.3!E23&gt;0,[1]С2.3!E23,[1]С2.3!E15)</f>
        <v>45675</v>
      </c>
    </row>
    <row r="73" spans="1:3" ht="30" x14ac:dyDescent="0.2">
      <c r="A73" s="59" t="s">
        <v>103</v>
      </c>
      <c r="B73" s="53" t="s">
        <v>104</v>
      </c>
      <c r="C73" s="34">
        <f>[1]С2.1!E28</f>
        <v>9541.9567200000001</v>
      </c>
    </row>
    <row r="74" spans="1:3" ht="38.25" x14ac:dyDescent="0.2">
      <c r="A74" s="59" t="s">
        <v>105</v>
      </c>
      <c r="B74" s="65" t="s">
        <v>106</v>
      </c>
      <c r="C74" s="52">
        <f>[1]С2.3!E25</f>
        <v>0</v>
      </c>
    </row>
    <row r="75" spans="1:3" ht="25.5" x14ac:dyDescent="0.2">
      <c r="A75" s="59" t="s">
        <v>107</v>
      </c>
      <c r="B75" s="66" t="s">
        <v>108</v>
      </c>
      <c r="C75" s="67">
        <f>[1]С2.3!E12</f>
        <v>0.56000000000000005</v>
      </c>
    </row>
    <row r="76" spans="1:3" ht="25.5" x14ac:dyDescent="0.2">
      <c r="A76" s="59" t="s">
        <v>109</v>
      </c>
      <c r="B76" s="66" t="s">
        <v>98</v>
      </c>
      <c r="C76" s="62">
        <f>[1]С2.3!E13</f>
        <v>300</v>
      </c>
    </row>
    <row r="77" spans="1:3" ht="25.5" x14ac:dyDescent="0.2">
      <c r="A77" s="59" t="s">
        <v>110</v>
      </c>
      <c r="B77" s="69" t="s">
        <v>111</v>
      </c>
      <c r="C77" s="68">
        <f>IF([1]С2.3!E26&gt;0,[1]С2.3!E26,[1]С2.3!E16)</f>
        <v>65637</v>
      </c>
    </row>
    <row r="78" spans="1:3" ht="38.25" x14ac:dyDescent="0.2">
      <c r="A78" s="59" t="s">
        <v>112</v>
      </c>
      <c r="B78" s="69" t="s">
        <v>113</v>
      </c>
      <c r="C78" s="68">
        <f>IF([1]С2.3!E27&gt;0,[1]С2.3!E27,[1]С2.3!E17)</f>
        <v>31684</v>
      </c>
    </row>
    <row r="79" spans="1:3" ht="17.25" x14ac:dyDescent="0.2">
      <c r="A79" s="59" t="s">
        <v>114</v>
      </c>
      <c r="B79" s="33" t="s">
        <v>115</v>
      </c>
      <c r="C79" s="35">
        <f>[1]С2!F29</f>
        <v>0.17804631770487722</v>
      </c>
    </row>
    <row r="80" spans="1:3" ht="30" x14ac:dyDescent="0.2">
      <c r="A80" s="59" t="s">
        <v>116</v>
      </c>
      <c r="B80" s="53" t="s">
        <v>117</v>
      </c>
      <c r="C80" s="70">
        <f>[1]С2!F30</f>
        <v>0.1652189781021898</v>
      </c>
    </row>
    <row r="81" spans="1:3" ht="17.25" x14ac:dyDescent="0.2">
      <c r="A81" s="59" t="s">
        <v>118</v>
      </c>
      <c r="B81" s="71" t="s">
        <v>119</v>
      </c>
      <c r="C81" s="35">
        <f>[1]С2!F31</f>
        <v>0.13880000000000001</v>
      </c>
    </row>
    <row r="82" spans="1:3" s="63" customFormat="1" ht="18" thickBot="1" x14ac:dyDescent="0.25">
      <c r="A82" s="72" t="s">
        <v>120</v>
      </c>
      <c r="B82" s="73" t="s">
        <v>121</v>
      </c>
      <c r="C82" s="74">
        <f>[1]С2!F32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[1]С3!F14</f>
        <v>14784.578474435859</v>
      </c>
    </row>
    <row r="86" spans="1:3" s="63" customFormat="1" ht="42.75" x14ac:dyDescent="0.2">
      <c r="A86" s="77" t="s">
        <v>126</v>
      </c>
      <c r="B86" s="53" t="s">
        <v>127</v>
      </c>
      <c r="C86" s="78">
        <f>[1]С3!F15</f>
        <v>0.25</v>
      </c>
    </row>
    <row r="87" spans="1:3" s="63" customFormat="1" ht="14.25" x14ac:dyDescent="0.2">
      <c r="A87" s="77" t="s">
        <v>128</v>
      </c>
      <c r="B87" s="79" t="s">
        <v>129</v>
      </c>
      <c r="C87" s="62">
        <f>[1]С3!F18</f>
        <v>15</v>
      </c>
    </row>
    <row r="88" spans="1:3" s="63" customFormat="1" ht="17.25" x14ac:dyDescent="0.2">
      <c r="A88" s="77" t="s">
        <v>130</v>
      </c>
      <c r="B88" s="33" t="s">
        <v>131</v>
      </c>
      <c r="C88" s="34">
        <f>[1]С3!F19</f>
        <v>4187.478806422544</v>
      </c>
    </row>
    <row r="89" spans="1:3" s="63" customFormat="1" ht="55.5" x14ac:dyDescent="0.2">
      <c r="A89" s="77" t="s">
        <v>132</v>
      </c>
      <c r="B89" s="53" t="s">
        <v>133</v>
      </c>
      <c r="C89" s="80">
        <f>[1]С3!F20</f>
        <v>2.1999999999999999E-2</v>
      </c>
    </row>
    <row r="90" spans="1:3" s="63" customFormat="1" ht="14.25" x14ac:dyDescent="0.2">
      <c r="A90" s="77" t="s">
        <v>134</v>
      </c>
      <c r="B90" s="58" t="s">
        <v>80</v>
      </c>
      <c r="C90" s="62">
        <f>[1]С3!F21</f>
        <v>10</v>
      </c>
    </row>
    <row r="91" spans="1:3" s="63" customFormat="1" ht="17.25" x14ac:dyDescent="0.2">
      <c r="A91" s="77" t="s">
        <v>135</v>
      </c>
      <c r="B91" s="33" t="s">
        <v>136</v>
      </c>
      <c r="C91" s="34">
        <f>[1]С3!F22</f>
        <v>4.0479295868555818</v>
      </c>
    </row>
    <row r="92" spans="1:3" s="63" customFormat="1" ht="55.5" x14ac:dyDescent="0.2">
      <c r="A92" s="77" t="s">
        <v>137</v>
      </c>
      <c r="B92" s="53" t="s">
        <v>138</v>
      </c>
      <c r="C92" s="80">
        <f>[1]С3!F23</f>
        <v>3.0000000000000001E-3</v>
      </c>
    </row>
    <row r="93" spans="1:3" s="63" customFormat="1" ht="27.75" thickBot="1" x14ac:dyDescent="0.25">
      <c r="A93" s="81" t="s">
        <v>139</v>
      </c>
      <c r="B93" s="82" t="s">
        <v>140</v>
      </c>
      <c r="C93" s="83">
        <f>[1]С3!F24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[1]С4!F16</f>
        <v>1652.5</v>
      </c>
    </row>
    <row r="97" spans="1:3" ht="30" x14ac:dyDescent="0.2">
      <c r="A97" s="59" t="s">
        <v>145</v>
      </c>
      <c r="B97" s="58" t="s">
        <v>146</v>
      </c>
      <c r="C97" s="34">
        <f>[1]С4!F17</f>
        <v>73547</v>
      </c>
    </row>
    <row r="98" spans="1:3" ht="17.25" x14ac:dyDescent="0.2">
      <c r="A98" s="59" t="s">
        <v>147</v>
      </c>
      <c r="B98" s="58" t="s">
        <v>148</v>
      </c>
      <c r="C98" s="40">
        <f>[1]С4!F18</f>
        <v>0.02</v>
      </c>
    </row>
    <row r="99" spans="1:3" ht="30" x14ac:dyDescent="0.2">
      <c r="A99" s="59" t="s">
        <v>149</v>
      </c>
      <c r="B99" s="58" t="s">
        <v>150</v>
      </c>
      <c r="C99" s="34">
        <f>[1]С4!F19</f>
        <v>12104</v>
      </c>
    </row>
    <row r="100" spans="1:3" ht="31.5" x14ac:dyDescent="0.2">
      <c r="A100" s="59" t="s">
        <v>151</v>
      </c>
      <c r="B100" s="58" t="s">
        <v>152</v>
      </c>
      <c r="C100" s="40">
        <f>[1]С4!F20</f>
        <v>1.4999999999999999E-2</v>
      </c>
    </row>
    <row r="101" spans="1:3" ht="30" x14ac:dyDescent="0.2">
      <c r="A101" s="59" t="s">
        <v>153</v>
      </c>
      <c r="B101" s="33" t="s">
        <v>154</v>
      </c>
      <c r="C101" s="34">
        <f>[1]С4!F21</f>
        <v>1933.1949342509995</v>
      </c>
    </row>
    <row r="102" spans="1:3" ht="24" customHeight="1" x14ac:dyDescent="0.2">
      <c r="A102" s="59" t="s">
        <v>155</v>
      </c>
      <c r="B102" s="53" t="s">
        <v>156</v>
      </c>
      <c r="C102" s="85">
        <f>IF([1]С4.2!F8="да",[1]С4.2!D21,[1]С4.2!D15)</f>
        <v>0</v>
      </c>
    </row>
    <row r="103" spans="1:3" ht="68.25" x14ac:dyDescent="0.2">
      <c r="A103" s="59" t="s">
        <v>157</v>
      </c>
      <c r="B103" s="53" t="s">
        <v>158</v>
      </c>
      <c r="C103" s="34">
        <f>[1]С4!F22</f>
        <v>3.6112641666666665</v>
      </c>
    </row>
    <row r="104" spans="1:3" ht="30" x14ac:dyDescent="0.2">
      <c r="A104" s="59" t="s">
        <v>159</v>
      </c>
      <c r="B104" s="58" t="s">
        <v>160</v>
      </c>
      <c r="C104" s="34">
        <f>[1]С4!F23</f>
        <v>180</v>
      </c>
    </row>
    <row r="105" spans="1:3" ht="14.25" x14ac:dyDescent="0.2">
      <c r="A105" s="59" t="s">
        <v>161</v>
      </c>
      <c r="B105" s="53" t="s">
        <v>162</v>
      </c>
      <c r="C105" s="34">
        <f>[1]С4!F24</f>
        <v>8497.1999999999989</v>
      </c>
    </row>
    <row r="106" spans="1:3" ht="14.25" x14ac:dyDescent="0.2">
      <c r="A106" s="59" t="s">
        <v>163</v>
      </c>
      <c r="B106" s="58" t="s">
        <v>164</v>
      </c>
      <c r="C106" s="40">
        <f>[1]С4!F25</f>
        <v>0.35</v>
      </c>
    </row>
    <row r="107" spans="1:3" ht="17.25" x14ac:dyDescent="0.2">
      <c r="A107" s="59" t="s">
        <v>165</v>
      </c>
      <c r="B107" s="33" t="s">
        <v>166</v>
      </c>
      <c r="C107" s="34">
        <f>[1]С4!F26</f>
        <v>65.050525000000007</v>
      </c>
    </row>
    <row r="108" spans="1:3" ht="25.5" x14ac:dyDescent="0.2">
      <c r="A108" s="59" t="s">
        <v>167</v>
      </c>
      <c r="B108" s="53" t="s">
        <v>94</v>
      </c>
      <c r="C108" s="85">
        <f>[1]С4.3!E16</f>
        <v>0</v>
      </c>
    </row>
    <row r="109" spans="1:3" ht="25.5" x14ac:dyDescent="0.2">
      <c r="A109" s="59" t="s">
        <v>168</v>
      </c>
      <c r="B109" s="53" t="s">
        <v>169</v>
      </c>
      <c r="C109" s="34">
        <f>[1]С4.3!E17</f>
        <v>17.175000000000001</v>
      </c>
    </row>
    <row r="110" spans="1:3" ht="38.25" x14ac:dyDescent="0.2">
      <c r="A110" s="59" t="s">
        <v>170</v>
      </c>
      <c r="B110" s="53" t="s">
        <v>106</v>
      </c>
      <c r="C110" s="85">
        <f>[1]С4.3!E18</f>
        <v>0</v>
      </c>
    </row>
    <row r="111" spans="1:3" x14ac:dyDescent="0.2">
      <c r="A111" s="59" t="s">
        <v>171</v>
      </c>
      <c r="B111" s="53" t="s">
        <v>172</v>
      </c>
      <c r="C111" s="34">
        <f>[1]С4.3!E19</f>
        <v>23.616666666666667</v>
      </c>
    </row>
    <row r="112" spans="1:3" x14ac:dyDescent="0.2">
      <c r="A112" s="59" t="s">
        <v>173</v>
      </c>
      <c r="B112" s="58" t="s">
        <v>174</v>
      </c>
      <c r="C112" s="34">
        <f>[1]С4.3!E11</f>
        <v>1871</v>
      </c>
    </row>
    <row r="113" spans="1:3" x14ac:dyDescent="0.2">
      <c r="A113" s="59" t="s">
        <v>175</v>
      </c>
      <c r="B113" s="58" t="s">
        <v>176</v>
      </c>
      <c r="C113" s="52">
        <f>[1]С4.3!E12</f>
        <v>1636</v>
      </c>
    </row>
    <row r="114" spans="1:3" x14ac:dyDescent="0.2">
      <c r="A114" s="59" t="s">
        <v>177</v>
      </c>
      <c r="B114" s="58" t="s">
        <v>178</v>
      </c>
      <c r="C114" s="52">
        <f>[1]С4.3!E13</f>
        <v>204</v>
      </c>
    </row>
    <row r="115" spans="1:3" ht="30" x14ac:dyDescent="0.2">
      <c r="A115" s="59" t="s">
        <v>179</v>
      </c>
      <c r="B115" s="33" t="s">
        <v>180</v>
      </c>
      <c r="C115" s="34">
        <f>[1]С4!F27</f>
        <v>1291.2863994686898</v>
      </c>
    </row>
    <row r="116" spans="1:3" ht="25.5" x14ac:dyDescent="0.2">
      <c r="A116" s="59" t="s">
        <v>181</v>
      </c>
      <c r="B116" s="53" t="s">
        <v>182</v>
      </c>
      <c r="C116" s="34">
        <f>[1]С4!F28</f>
        <v>991.77142816335618</v>
      </c>
    </row>
    <row r="117" spans="1:3" ht="42.75" x14ac:dyDescent="0.2">
      <c r="A117" s="59" t="s">
        <v>183</v>
      </c>
      <c r="B117" s="53" t="s">
        <v>184</v>
      </c>
      <c r="C117" s="34">
        <f>[1]С4!F29</f>
        <v>299.51497130533357</v>
      </c>
    </row>
    <row r="118" spans="1:3" ht="30" x14ac:dyDescent="0.2">
      <c r="A118" s="59" t="s">
        <v>185</v>
      </c>
      <c r="B118" s="39" t="s">
        <v>186</v>
      </c>
      <c r="C118" s="34">
        <f>[1]С4!F30</f>
        <v>2173.6242366179517</v>
      </c>
    </row>
    <row r="119" spans="1:3" ht="42.75" x14ac:dyDescent="0.2">
      <c r="A119" s="59" t="s">
        <v>187</v>
      </c>
      <c r="B119" s="86" t="s">
        <v>188</v>
      </c>
      <c r="C119" s="34">
        <f>[1]С4!F33</f>
        <v>975.10415296379119</v>
      </c>
    </row>
    <row r="120" spans="1:3" ht="30" x14ac:dyDescent="0.2">
      <c r="A120" s="59" t="s">
        <v>189</v>
      </c>
      <c r="B120" s="87" t="s">
        <v>190</v>
      </c>
      <c r="C120" s="34">
        <f>[1]С4!F35</f>
        <v>17.040680999999999</v>
      </c>
    </row>
    <row r="121" spans="1:3" ht="14.25" x14ac:dyDescent="0.2">
      <c r="A121" s="59" t="s">
        <v>191</v>
      </c>
      <c r="B121" s="56" t="s">
        <v>192</v>
      </c>
      <c r="C121" s="34">
        <f>[1]С4!F36</f>
        <v>14319.9</v>
      </c>
    </row>
    <row r="122" spans="1:3" ht="28.5" thickBot="1" x14ac:dyDescent="0.25">
      <c r="A122" s="72" t="s">
        <v>193</v>
      </c>
      <c r="B122" s="88" t="s">
        <v>194</v>
      </c>
      <c r="C122" s="83">
        <f>[1]С4!F37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[1]С5!F17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[1]С2!F37</f>
        <v>20.818139999999996</v>
      </c>
    </row>
    <row r="136" spans="1:3" ht="14.25" x14ac:dyDescent="0.2">
      <c r="A136" s="59" t="s">
        <v>216</v>
      </c>
      <c r="B136" s="101" t="s">
        <v>217</v>
      </c>
      <c r="C136" s="34">
        <f>[1]С2!F38</f>
        <v>7</v>
      </c>
    </row>
    <row r="137" spans="1:3" ht="17.25" x14ac:dyDescent="0.2">
      <c r="A137" s="59" t="s">
        <v>218</v>
      </c>
      <c r="B137" s="101" t="s">
        <v>219</v>
      </c>
      <c r="C137" s="34">
        <f>[1]С2!F40</f>
        <v>0.97</v>
      </c>
    </row>
    <row r="138" spans="1:3" ht="15" thickBot="1" x14ac:dyDescent="0.25">
      <c r="A138" s="72" t="s">
        <v>220</v>
      </c>
      <c r="B138" s="102" t="s">
        <v>221</v>
      </c>
      <c r="C138" s="46">
        <f>[1]С2!F42</f>
        <v>0.35</v>
      </c>
    </row>
    <row r="139" spans="1:3" s="89" customFormat="1" ht="13.5" thickBot="1" x14ac:dyDescent="0.25">
      <c r="A139" s="47"/>
      <c r="B139" s="75"/>
      <c r="C139" s="15"/>
    </row>
    <row r="140" spans="1:3" ht="30" x14ac:dyDescent="0.2">
      <c r="A140" s="84" t="s">
        <v>222</v>
      </c>
      <c r="B140" s="103" t="s">
        <v>223</v>
      </c>
      <c r="C140" s="104">
        <f>[1]С2!F35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[1]С2.5!$E$11</f>
        <v>-2.9000000000000026E-2</v>
      </c>
    </row>
    <row r="144" spans="1:3" x14ac:dyDescent="0.2">
      <c r="A144" s="105"/>
      <c r="B144" s="110">
        <f>B143+1</f>
        <v>2021</v>
      </c>
      <c r="C144" s="111">
        <f>[1]С2.5!$F$11</f>
        <v>0.245</v>
      </c>
    </row>
    <row r="145" spans="1:3" x14ac:dyDescent="0.2">
      <c r="A145" s="105"/>
      <c r="B145" s="110">
        <f t="shared" ref="B145:B208" si="0">B144+1</f>
        <v>2022</v>
      </c>
      <c r="C145" s="111">
        <f>[1]С2.5!$G$11</f>
        <v>0.114</v>
      </c>
    </row>
    <row r="146" spans="1:3" ht="13.5" thickBot="1" x14ac:dyDescent="0.25">
      <c r="A146" s="105"/>
      <c r="B146" s="112">
        <f t="shared" si="0"/>
        <v>2023</v>
      </c>
      <c r="C146" s="113">
        <f>[1]С2.5!$H$11</f>
        <v>0.04</v>
      </c>
    </row>
    <row r="147" spans="1:3" x14ac:dyDescent="0.2">
      <c r="A147" s="105"/>
      <c r="B147" s="114">
        <f t="shared" si="0"/>
        <v>2024</v>
      </c>
      <c r="C147" s="115">
        <f>[1]С2.5!$I$11</f>
        <v>0.11700000000000001</v>
      </c>
    </row>
    <row r="148" spans="1:3" x14ac:dyDescent="0.2">
      <c r="A148" s="105"/>
      <c r="B148" s="110">
        <f t="shared" si="0"/>
        <v>2025</v>
      </c>
      <c r="C148" s="111">
        <f>[1]С2.5!$J$11</f>
        <v>6.0999999999999999E-2</v>
      </c>
    </row>
    <row r="149" spans="1:3" hidden="1" x14ac:dyDescent="0.2">
      <c r="A149" s="105"/>
      <c r="B149" s="110">
        <f t="shared" si="0"/>
        <v>2026</v>
      </c>
      <c r="C149" s="111">
        <f>[1]С2.5!$K$11</f>
        <v>3.5813361771260002E-2</v>
      </c>
    </row>
    <row r="150" spans="1:3" hidden="1" x14ac:dyDescent="0.2">
      <c r="A150" s="105"/>
      <c r="B150" s="110">
        <f t="shared" si="0"/>
        <v>2027</v>
      </c>
      <c r="C150" s="111">
        <f>[1]С2.5!$L$11</f>
        <v>3.2682303599220003E-2</v>
      </c>
    </row>
    <row r="151" spans="1:3" hidden="1" x14ac:dyDescent="0.2">
      <c r="A151" s="105"/>
      <c r="B151" s="110">
        <f t="shared" si="0"/>
        <v>2028</v>
      </c>
      <c r="C151" s="111">
        <f>[1]С2.5!$M$11</f>
        <v>0</v>
      </c>
    </row>
    <row r="152" spans="1:3" hidden="1" x14ac:dyDescent="0.2">
      <c r="A152" s="105"/>
      <c r="B152" s="110">
        <f t="shared" si="0"/>
        <v>2029</v>
      </c>
      <c r="C152" s="111">
        <f>[1]С2.5!$N$11</f>
        <v>0</v>
      </c>
    </row>
    <row r="153" spans="1:3" hidden="1" x14ac:dyDescent="0.2">
      <c r="A153" s="105"/>
      <c r="B153" s="110">
        <f t="shared" si="0"/>
        <v>2030</v>
      </c>
      <c r="C153" s="111">
        <f>[1]С2.5!$O$11</f>
        <v>0</v>
      </c>
    </row>
    <row r="154" spans="1:3" hidden="1" x14ac:dyDescent="0.2">
      <c r="A154" s="105"/>
      <c r="B154" s="110">
        <f t="shared" si="0"/>
        <v>2031</v>
      </c>
      <c r="C154" s="111">
        <f>[1]С2.5!$P$11</f>
        <v>0</v>
      </c>
    </row>
    <row r="155" spans="1:3" hidden="1" x14ac:dyDescent="0.2">
      <c r="A155" s="89"/>
      <c r="B155" s="110">
        <f t="shared" si="0"/>
        <v>2032</v>
      </c>
      <c r="C155" s="111">
        <f>[1]С2.5!$Q$11</f>
        <v>0</v>
      </c>
    </row>
    <row r="156" spans="1:3" hidden="1" x14ac:dyDescent="0.2">
      <c r="A156" s="89"/>
      <c r="B156" s="110">
        <f t="shared" si="0"/>
        <v>2033</v>
      </c>
      <c r="C156" s="111">
        <f>[1]С2.5!$R$11</f>
        <v>0</v>
      </c>
    </row>
    <row r="157" spans="1:3" hidden="1" x14ac:dyDescent="0.2">
      <c r="B157" s="110">
        <f t="shared" si="0"/>
        <v>2034</v>
      </c>
      <c r="C157" s="111">
        <f>[1]С2.5!$S$11</f>
        <v>0</v>
      </c>
    </row>
    <row r="158" spans="1:3" hidden="1" x14ac:dyDescent="0.2">
      <c r="B158" s="110">
        <f t="shared" si="0"/>
        <v>2035</v>
      </c>
      <c r="C158" s="111">
        <f>[1]С2.5!$T$11</f>
        <v>0</v>
      </c>
    </row>
    <row r="159" spans="1:3" hidden="1" x14ac:dyDescent="0.2">
      <c r="B159" s="110">
        <f t="shared" si="0"/>
        <v>2036</v>
      </c>
      <c r="C159" s="111">
        <f>[1]С2.5!$U$11</f>
        <v>0</v>
      </c>
    </row>
    <row r="160" spans="1:3" hidden="1" x14ac:dyDescent="0.2">
      <c r="B160" s="110">
        <f t="shared" si="0"/>
        <v>2037</v>
      </c>
      <c r="C160" s="111">
        <f>[1]С2.5!$V$11</f>
        <v>0</v>
      </c>
    </row>
    <row r="161" spans="2:3" hidden="1" x14ac:dyDescent="0.2">
      <c r="B161" s="110">
        <f t="shared" si="0"/>
        <v>2038</v>
      </c>
      <c r="C161" s="111">
        <f>[1]С2.5!$W$11</f>
        <v>0</v>
      </c>
    </row>
    <row r="162" spans="2:3" hidden="1" x14ac:dyDescent="0.2">
      <c r="B162" s="110">
        <f t="shared" si="0"/>
        <v>2039</v>
      </c>
      <c r="C162" s="111">
        <f>[1]С2.5!$X$11</f>
        <v>0</v>
      </c>
    </row>
    <row r="163" spans="2:3" hidden="1" x14ac:dyDescent="0.2">
      <c r="B163" s="110">
        <f t="shared" si="0"/>
        <v>2040</v>
      </c>
      <c r="C163" s="111">
        <f>[1]С2.5!$Y$11</f>
        <v>0</v>
      </c>
    </row>
    <row r="164" spans="2:3" hidden="1" x14ac:dyDescent="0.2">
      <c r="B164" s="110">
        <f t="shared" si="0"/>
        <v>2041</v>
      </c>
      <c r="C164" s="111">
        <f>[1]С2.5!$Z$11</f>
        <v>0</v>
      </c>
    </row>
    <row r="165" spans="2:3" hidden="1" x14ac:dyDescent="0.2">
      <c r="B165" s="110">
        <f t="shared" si="0"/>
        <v>2042</v>
      </c>
      <c r="C165" s="111">
        <f>[1]С2.5!$AA$11</f>
        <v>0</v>
      </c>
    </row>
    <row r="166" spans="2:3" hidden="1" x14ac:dyDescent="0.2">
      <c r="B166" s="110">
        <f t="shared" si="0"/>
        <v>2043</v>
      </c>
      <c r="C166" s="111">
        <f>[1]С2.5!$AB$11</f>
        <v>0</v>
      </c>
    </row>
    <row r="167" spans="2:3" hidden="1" x14ac:dyDescent="0.2">
      <c r="B167" s="110">
        <f t="shared" si="0"/>
        <v>2044</v>
      </c>
      <c r="C167" s="111">
        <f>[1]С2.5!$AC$11</f>
        <v>0</v>
      </c>
    </row>
    <row r="168" spans="2:3" hidden="1" x14ac:dyDescent="0.2">
      <c r="B168" s="110">
        <f t="shared" si="0"/>
        <v>2045</v>
      </c>
      <c r="C168" s="111">
        <f>[1]С2.5!$AD$11</f>
        <v>0</v>
      </c>
    </row>
    <row r="169" spans="2:3" hidden="1" x14ac:dyDescent="0.2">
      <c r="B169" s="110">
        <f t="shared" si="0"/>
        <v>2046</v>
      </c>
      <c r="C169" s="111">
        <f>[1]С2.5!$AE$11</f>
        <v>0</v>
      </c>
    </row>
    <row r="170" spans="2:3" hidden="1" x14ac:dyDescent="0.2">
      <c r="B170" s="110">
        <f t="shared" si="0"/>
        <v>2047</v>
      </c>
      <c r="C170" s="111">
        <f>[1]С2.5!$AF$11</f>
        <v>0</v>
      </c>
    </row>
    <row r="171" spans="2:3" hidden="1" x14ac:dyDescent="0.2">
      <c r="B171" s="110">
        <f t="shared" si="0"/>
        <v>2048</v>
      </c>
      <c r="C171" s="111">
        <f>[1]С2.5!$AG$11</f>
        <v>0</v>
      </c>
    </row>
    <row r="172" spans="2:3" hidden="1" x14ac:dyDescent="0.2">
      <c r="B172" s="110">
        <f t="shared" si="0"/>
        <v>2049</v>
      </c>
      <c r="C172" s="111">
        <f>[1]С2.5!$AH$11</f>
        <v>0</v>
      </c>
    </row>
    <row r="173" spans="2:3" hidden="1" x14ac:dyDescent="0.2">
      <c r="B173" s="110">
        <f t="shared" si="0"/>
        <v>2050</v>
      </c>
      <c r="C173" s="111">
        <f>[1]С2.5!$AI$11</f>
        <v>0</v>
      </c>
    </row>
    <row r="174" spans="2:3" hidden="1" x14ac:dyDescent="0.2">
      <c r="B174" s="110">
        <f t="shared" si="0"/>
        <v>2051</v>
      </c>
      <c r="C174" s="111">
        <f>[1]С2.5!$AJ$11</f>
        <v>0</v>
      </c>
    </row>
    <row r="175" spans="2:3" hidden="1" x14ac:dyDescent="0.2">
      <c r="B175" s="110">
        <f t="shared" si="0"/>
        <v>2052</v>
      </c>
      <c r="C175" s="111">
        <f>[1]С2.5!$AK$11</f>
        <v>0</v>
      </c>
    </row>
    <row r="176" spans="2:3" hidden="1" x14ac:dyDescent="0.2">
      <c r="B176" s="110">
        <f t="shared" si="0"/>
        <v>2053</v>
      </c>
      <c r="C176" s="111">
        <f>[1]С2.5!$AL$11</f>
        <v>0</v>
      </c>
    </row>
    <row r="177" spans="2:3" hidden="1" x14ac:dyDescent="0.2">
      <c r="B177" s="110">
        <f t="shared" si="0"/>
        <v>2054</v>
      </c>
      <c r="C177" s="111">
        <f>[1]С2.5!$AM$11</f>
        <v>0</v>
      </c>
    </row>
    <row r="178" spans="2:3" hidden="1" x14ac:dyDescent="0.2">
      <c r="B178" s="110">
        <f t="shared" si="0"/>
        <v>2055</v>
      </c>
      <c r="C178" s="111">
        <f>[1]С2.5!$AN$11</f>
        <v>0</v>
      </c>
    </row>
    <row r="179" spans="2:3" hidden="1" x14ac:dyDescent="0.2">
      <c r="B179" s="110">
        <f t="shared" si="0"/>
        <v>2056</v>
      </c>
      <c r="C179" s="111">
        <f>[1]С2.5!$AO$11</f>
        <v>0</v>
      </c>
    </row>
    <row r="180" spans="2:3" hidden="1" x14ac:dyDescent="0.2">
      <c r="B180" s="110">
        <f t="shared" si="0"/>
        <v>2057</v>
      </c>
      <c r="C180" s="111">
        <f>[1]С2.5!$AP$11</f>
        <v>0</v>
      </c>
    </row>
    <row r="181" spans="2:3" hidden="1" x14ac:dyDescent="0.2">
      <c r="B181" s="110">
        <f t="shared" si="0"/>
        <v>2058</v>
      </c>
      <c r="C181" s="111">
        <f>[1]С2.5!$AQ$11</f>
        <v>0</v>
      </c>
    </row>
    <row r="182" spans="2:3" hidden="1" x14ac:dyDescent="0.2">
      <c r="B182" s="110">
        <f t="shared" si="0"/>
        <v>2059</v>
      </c>
      <c r="C182" s="111">
        <f>[1]С2.5!$AR$11</f>
        <v>0</v>
      </c>
    </row>
    <row r="183" spans="2:3" hidden="1" x14ac:dyDescent="0.2">
      <c r="B183" s="110">
        <f t="shared" si="0"/>
        <v>2060</v>
      </c>
      <c r="C183" s="111">
        <f>[1]С2.5!$AS$11</f>
        <v>0</v>
      </c>
    </row>
    <row r="184" spans="2:3" hidden="1" x14ac:dyDescent="0.2">
      <c r="B184" s="110">
        <f t="shared" si="0"/>
        <v>2061</v>
      </c>
      <c r="C184" s="111">
        <f>[1]С2.5!$AT$11</f>
        <v>0</v>
      </c>
    </row>
    <row r="185" spans="2:3" hidden="1" x14ac:dyDescent="0.2">
      <c r="B185" s="110">
        <f t="shared" si="0"/>
        <v>2062</v>
      </c>
      <c r="C185" s="111">
        <f>[1]С2.5!$AU$11</f>
        <v>0</v>
      </c>
    </row>
    <row r="186" spans="2:3" hidden="1" x14ac:dyDescent="0.2">
      <c r="B186" s="110">
        <f t="shared" si="0"/>
        <v>2063</v>
      </c>
      <c r="C186" s="111">
        <f>[1]С2.5!$AV$11</f>
        <v>0</v>
      </c>
    </row>
    <row r="187" spans="2:3" hidden="1" x14ac:dyDescent="0.2">
      <c r="B187" s="110">
        <f t="shared" si="0"/>
        <v>2064</v>
      </c>
      <c r="C187" s="111">
        <f>[1]С2.5!$AW$11</f>
        <v>0</v>
      </c>
    </row>
    <row r="188" spans="2:3" hidden="1" x14ac:dyDescent="0.2">
      <c r="B188" s="110">
        <f t="shared" si="0"/>
        <v>2065</v>
      </c>
      <c r="C188" s="111">
        <f>[1]С2.5!$AX$11</f>
        <v>0</v>
      </c>
    </row>
    <row r="189" spans="2:3" hidden="1" x14ac:dyDescent="0.2">
      <c r="B189" s="110">
        <f t="shared" si="0"/>
        <v>2066</v>
      </c>
      <c r="C189" s="111">
        <f>[1]С2.5!$AY$11</f>
        <v>0</v>
      </c>
    </row>
    <row r="190" spans="2:3" hidden="1" x14ac:dyDescent="0.2">
      <c r="B190" s="110">
        <f t="shared" si="0"/>
        <v>2067</v>
      </c>
      <c r="C190" s="111">
        <f>[1]С2.5!$AZ$11</f>
        <v>0</v>
      </c>
    </row>
    <row r="191" spans="2:3" hidden="1" x14ac:dyDescent="0.2">
      <c r="B191" s="110">
        <f t="shared" si="0"/>
        <v>2068</v>
      </c>
      <c r="C191" s="111">
        <f>[1]С2.5!$BA$11</f>
        <v>0</v>
      </c>
    </row>
    <row r="192" spans="2:3" hidden="1" x14ac:dyDescent="0.2">
      <c r="B192" s="110">
        <f t="shared" si="0"/>
        <v>2069</v>
      </c>
      <c r="C192" s="111">
        <f>[1]С2.5!$BB$11</f>
        <v>0</v>
      </c>
    </row>
    <row r="193" spans="2:3" hidden="1" x14ac:dyDescent="0.2">
      <c r="B193" s="110">
        <f t="shared" si="0"/>
        <v>2070</v>
      </c>
      <c r="C193" s="111">
        <f>[1]С2.5!$BC$11</f>
        <v>0</v>
      </c>
    </row>
    <row r="194" spans="2:3" hidden="1" x14ac:dyDescent="0.2">
      <c r="B194" s="110">
        <f t="shared" si="0"/>
        <v>2071</v>
      </c>
      <c r="C194" s="111">
        <f>[1]С2.5!$BD$11</f>
        <v>0</v>
      </c>
    </row>
    <row r="195" spans="2:3" hidden="1" x14ac:dyDescent="0.2">
      <c r="B195" s="110">
        <f t="shared" si="0"/>
        <v>2072</v>
      </c>
      <c r="C195" s="111">
        <f>[1]С2.5!$BE$11</f>
        <v>0</v>
      </c>
    </row>
    <row r="196" spans="2:3" hidden="1" x14ac:dyDescent="0.2">
      <c r="B196" s="110">
        <f t="shared" si="0"/>
        <v>2073</v>
      </c>
      <c r="C196" s="111">
        <f>[1]С2.5!$BF$11</f>
        <v>0</v>
      </c>
    </row>
    <row r="197" spans="2:3" hidden="1" x14ac:dyDescent="0.2">
      <c r="B197" s="110">
        <f t="shared" si="0"/>
        <v>2074</v>
      </c>
      <c r="C197" s="111">
        <f>[1]С2.5!$BG$11</f>
        <v>0</v>
      </c>
    </row>
    <row r="198" spans="2:3" hidden="1" x14ac:dyDescent="0.2">
      <c r="B198" s="110">
        <f t="shared" si="0"/>
        <v>2075</v>
      </c>
      <c r="C198" s="111">
        <f>[1]С2.5!$BH$11</f>
        <v>0</v>
      </c>
    </row>
    <row r="199" spans="2:3" hidden="1" x14ac:dyDescent="0.2">
      <c r="B199" s="110">
        <f t="shared" si="0"/>
        <v>2076</v>
      </c>
      <c r="C199" s="111">
        <f>[1]С2.5!$BI$11</f>
        <v>0</v>
      </c>
    </row>
    <row r="200" spans="2:3" hidden="1" x14ac:dyDescent="0.2">
      <c r="B200" s="110">
        <f t="shared" si="0"/>
        <v>2077</v>
      </c>
      <c r="C200" s="111">
        <f>[1]С2.5!$BJ$11</f>
        <v>0</v>
      </c>
    </row>
    <row r="201" spans="2:3" hidden="1" x14ac:dyDescent="0.2">
      <c r="B201" s="110">
        <f t="shared" si="0"/>
        <v>2078</v>
      </c>
      <c r="C201" s="111">
        <f>[1]С2.5!$BK$11</f>
        <v>0</v>
      </c>
    </row>
    <row r="202" spans="2:3" hidden="1" x14ac:dyDescent="0.2">
      <c r="B202" s="110">
        <f t="shared" si="0"/>
        <v>2079</v>
      </c>
      <c r="C202" s="111">
        <f>[1]С2.5!$BL$11</f>
        <v>0</v>
      </c>
    </row>
    <row r="203" spans="2:3" hidden="1" x14ac:dyDescent="0.2">
      <c r="B203" s="110">
        <f t="shared" si="0"/>
        <v>2080</v>
      </c>
      <c r="C203" s="111">
        <f>[1]С2.5!$BM$11</f>
        <v>0</v>
      </c>
    </row>
    <row r="204" spans="2:3" hidden="1" x14ac:dyDescent="0.2">
      <c r="B204" s="110">
        <f t="shared" si="0"/>
        <v>2081</v>
      </c>
      <c r="C204" s="111">
        <f>[1]С2.5!$BN$11</f>
        <v>0</v>
      </c>
    </row>
    <row r="205" spans="2:3" hidden="1" x14ac:dyDescent="0.2">
      <c r="B205" s="110">
        <f t="shared" si="0"/>
        <v>2082</v>
      </c>
      <c r="C205" s="111">
        <f>[1]С2.5!$BO$11</f>
        <v>0</v>
      </c>
    </row>
    <row r="206" spans="2:3" hidden="1" x14ac:dyDescent="0.2">
      <c r="B206" s="110">
        <f t="shared" si="0"/>
        <v>2083</v>
      </c>
      <c r="C206" s="111">
        <f>[1]С2.5!$BP$11</f>
        <v>0</v>
      </c>
    </row>
    <row r="207" spans="2:3" hidden="1" x14ac:dyDescent="0.2">
      <c r="B207" s="110">
        <f t="shared" si="0"/>
        <v>2084</v>
      </c>
      <c r="C207" s="111">
        <f>[1]С2.5!$BQ$11</f>
        <v>0</v>
      </c>
    </row>
    <row r="208" spans="2:3" hidden="1" x14ac:dyDescent="0.2">
      <c r="B208" s="110">
        <f t="shared" si="0"/>
        <v>2085</v>
      </c>
      <c r="C208" s="111">
        <f>[1]С2.5!$BR$11</f>
        <v>0</v>
      </c>
    </row>
    <row r="209" spans="2:3" hidden="1" x14ac:dyDescent="0.2">
      <c r="B209" s="110">
        <f t="shared" ref="B209:B223" si="1">B208+1</f>
        <v>2086</v>
      </c>
      <c r="C209" s="111">
        <f>[1]С2.5!$BS$11</f>
        <v>0</v>
      </c>
    </row>
    <row r="210" spans="2:3" hidden="1" x14ac:dyDescent="0.2">
      <c r="B210" s="110">
        <f t="shared" si="1"/>
        <v>2087</v>
      </c>
      <c r="C210" s="111">
        <f>[1]С2.5!$BT$11</f>
        <v>0</v>
      </c>
    </row>
    <row r="211" spans="2:3" hidden="1" x14ac:dyDescent="0.2">
      <c r="B211" s="110">
        <f t="shared" si="1"/>
        <v>2088</v>
      </c>
      <c r="C211" s="111">
        <f>[1]С2.5!$BU$11</f>
        <v>0</v>
      </c>
    </row>
    <row r="212" spans="2:3" hidden="1" x14ac:dyDescent="0.2">
      <c r="B212" s="110">
        <f t="shared" si="1"/>
        <v>2089</v>
      </c>
      <c r="C212" s="111">
        <f>[1]С2.5!$BV$11</f>
        <v>0</v>
      </c>
    </row>
    <row r="213" spans="2:3" hidden="1" x14ac:dyDescent="0.2">
      <c r="B213" s="110">
        <f t="shared" si="1"/>
        <v>2090</v>
      </c>
      <c r="C213" s="111">
        <f>[1]С2.5!$BW$11</f>
        <v>0</v>
      </c>
    </row>
    <row r="214" spans="2:3" hidden="1" x14ac:dyDescent="0.2">
      <c r="B214" s="110">
        <f t="shared" si="1"/>
        <v>2091</v>
      </c>
      <c r="C214" s="111">
        <f>[1]С2.5!$BX$11</f>
        <v>0</v>
      </c>
    </row>
    <row r="215" spans="2:3" hidden="1" x14ac:dyDescent="0.2">
      <c r="B215" s="110">
        <f t="shared" si="1"/>
        <v>2092</v>
      </c>
      <c r="C215" s="111">
        <f>[1]С2.5!$BY$11</f>
        <v>0</v>
      </c>
    </row>
    <row r="216" spans="2:3" hidden="1" x14ac:dyDescent="0.2">
      <c r="B216" s="110">
        <f t="shared" si="1"/>
        <v>2093</v>
      </c>
      <c r="C216" s="111">
        <f>[1]С2.5!$BZ$11</f>
        <v>0</v>
      </c>
    </row>
    <row r="217" spans="2:3" hidden="1" x14ac:dyDescent="0.2">
      <c r="B217" s="110">
        <f t="shared" si="1"/>
        <v>2094</v>
      </c>
      <c r="C217" s="111">
        <f>[1]С2.5!$CA$11</f>
        <v>0</v>
      </c>
    </row>
    <row r="218" spans="2:3" hidden="1" x14ac:dyDescent="0.2">
      <c r="B218" s="110">
        <f t="shared" si="1"/>
        <v>2095</v>
      </c>
      <c r="C218" s="111">
        <f>[1]С2.5!$CB$11</f>
        <v>0</v>
      </c>
    </row>
    <row r="219" spans="2:3" hidden="1" x14ac:dyDescent="0.2">
      <c r="B219" s="110">
        <f t="shared" si="1"/>
        <v>2096</v>
      </c>
      <c r="C219" s="111">
        <f>[1]С2.5!$CC$11</f>
        <v>0</v>
      </c>
    </row>
    <row r="220" spans="2:3" hidden="1" x14ac:dyDescent="0.2">
      <c r="B220" s="110">
        <f t="shared" si="1"/>
        <v>2097</v>
      </c>
      <c r="C220" s="111">
        <f>[1]С2.5!$CD$11</f>
        <v>0</v>
      </c>
    </row>
    <row r="221" spans="2:3" hidden="1" x14ac:dyDescent="0.2">
      <c r="B221" s="110">
        <f t="shared" si="1"/>
        <v>2098</v>
      </c>
      <c r="C221" s="111">
        <f>[1]С2.5!$CE$11</f>
        <v>0</v>
      </c>
    </row>
    <row r="222" spans="2:3" hidden="1" x14ac:dyDescent="0.2">
      <c r="B222" s="110">
        <f t="shared" si="1"/>
        <v>2099</v>
      </c>
      <c r="C222" s="111">
        <f>[1]С2.5!$CF$11</f>
        <v>0</v>
      </c>
    </row>
    <row r="223" spans="2:3" ht="13.5" hidden="1" thickBot="1" x14ac:dyDescent="0.25">
      <c r="B223" s="112">
        <f t="shared" si="1"/>
        <v>2100</v>
      </c>
      <c r="C223" s="113">
        <f>[1]С2.5!$CG$11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[2]И1!D13</f>
        <v>Субъект Российской Федерации</v>
      </c>
      <c r="C4" s="10" t="str">
        <f>[2]И1!E13</f>
        <v>Новосибирская область</v>
      </c>
    </row>
    <row r="5" spans="1:3" ht="46.9" customHeight="1" x14ac:dyDescent="0.2">
      <c r="A5" s="8"/>
      <c r="B5" s="9" t="str">
        <f>[2]И1!D14</f>
        <v>Тип муниципального образования (выберите из списка)</v>
      </c>
      <c r="C5" s="10" t="str">
        <f>[2]И1!E14</f>
        <v>село Аксениха, Краснозерский муниципальный район</v>
      </c>
    </row>
    <row r="6" spans="1:3" x14ac:dyDescent="0.2">
      <c r="A6" s="8"/>
      <c r="B6" s="9" t="str">
        <f>IF([2]И1!E15="","",[2]И1!D15)</f>
        <v/>
      </c>
      <c r="C6" s="10" t="str">
        <f>IF([2]И1!E15="","",[2]И1!E15)</f>
        <v/>
      </c>
    </row>
    <row r="7" spans="1:3" x14ac:dyDescent="0.2">
      <c r="A7" s="8"/>
      <c r="B7" s="9" t="str">
        <f>[2]И1!D16</f>
        <v>Код ОКТМО</v>
      </c>
      <c r="C7" s="11" t="str">
        <f>[2]И1!E16</f>
        <v xml:space="preserve"> (50627402101)</v>
      </c>
    </row>
    <row r="8" spans="1:3" x14ac:dyDescent="0.2">
      <c r="A8" s="8"/>
      <c r="B8" s="12" t="str">
        <f>[2]И1!D17</f>
        <v>Система теплоснабжения</v>
      </c>
      <c r="C8" s="13">
        <f>[2]И1!E17</f>
        <v>0</v>
      </c>
    </row>
    <row r="9" spans="1:3" x14ac:dyDescent="0.2">
      <c r="A9" s="8"/>
      <c r="B9" s="9" t="str">
        <f>[2]И1!D8</f>
        <v>Период регулирования (i)-й</v>
      </c>
      <c r="C9" s="14">
        <f>[2]И1!E8</f>
        <v>2025</v>
      </c>
    </row>
    <row r="10" spans="1:3" x14ac:dyDescent="0.2">
      <c r="A10" s="8"/>
      <c r="B10" s="9" t="str">
        <f>[2]И1!D9</f>
        <v>Период регулирования (i-1)-й</v>
      </c>
      <c r="C10" s="14">
        <f>[2]И1!E9</f>
        <v>2024</v>
      </c>
    </row>
    <row r="11" spans="1:3" x14ac:dyDescent="0.2">
      <c r="A11" s="8"/>
      <c r="B11" s="9" t="str">
        <f>[2]И1!D10</f>
        <v>Период регулирования (i-2)-й</v>
      </c>
      <c r="C11" s="14">
        <f>[2]И1!E10</f>
        <v>2023</v>
      </c>
    </row>
    <row r="12" spans="1:3" x14ac:dyDescent="0.2">
      <c r="A12" s="8"/>
      <c r="B12" s="9" t="str">
        <f>[2]И1!D11</f>
        <v>Базовый год (б)</v>
      </c>
      <c r="C12" s="14">
        <f>[2]И1!E11</f>
        <v>2019</v>
      </c>
    </row>
    <row r="13" spans="1:3" ht="38.25" x14ac:dyDescent="0.2">
      <c r="A13" s="8"/>
      <c r="B13" s="9" t="str">
        <f>[2]И1!D18</f>
        <v>Вид топлива, использование которого преобладает в системе теплоснабжения</v>
      </c>
      <c r="C13" s="15" t="str">
        <f>[2]С1.1!E13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5651.8798315270369</v>
      </c>
    </row>
    <row r="18" spans="1:3" ht="42.75" x14ac:dyDescent="0.2">
      <c r="A18" s="22" t="s">
        <v>8</v>
      </c>
      <c r="B18" s="25" t="s">
        <v>9</v>
      </c>
      <c r="C18" s="26">
        <f>[2]С1!F12</f>
        <v>1058.9608587597793</v>
      </c>
    </row>
    <row r="19" spans="1:3" ht="42.75" x14ac:dyDescent="0.2">
      <c r="A19" s="22" t="s">
        <v>10</v>
      </c>
      <c r="B19" s="25" t="s">
        <v>11</v>
      </c>
      <c r="C19" s="26">
        <f>[2]С2!F12</f>
        <v>3044.8315746726421</v>
      </c>
    </row>
    <row r="20" spans="1:3" ht="30" x14ac:dyDescent="0.2">
      <c r="A20" s="22" t="s">
        <v>12</v>
      </c>
      <c r="B20" s="25" t="s">
        <v>13</v>
      </c>
      <c r="C20" s="26">
        <f>[2]С3!F12</f>
        <v>911.5178018038722</v>
      </c>
    </row>
    <row r="21" spans="1:3" ht="42.75" x14ac:dyDescent="0.2">
      <c r="A21" s="22" t="s">
        <v>14</v>
      </c>
      <c r="B21" s="25" t="s">
        <v>15</v>
      </c>
      <c r="C21" s="26">
        <f>[2]С4!F12</f>
        <v>525.74842312354588</v>
      </c>
    </row>
    <row r="22" spans="1:3" ht="30" x14ac:dyDescent="0.2">
      <c r="A22" s="22" t="s">
        <v>16</v>
      </c>
      <c r="B22" s="25" t="s">
        <v>17</v>
      </c>
      <c r="C22" s="26">
        <f>[2]С5!F12</f>
        <v>110.82117316719679</v>
      </c>
    </row>
    <row r="23" spans="1:3" ht="43.5" thickBot="1" x14ac:dyDescent="0.25">
      <c r="A23" s="27" t="s">
        <v>18</v>
      </c>
      <c r="B23" s="117" t="s">
        <v>19</v>
      </c>
      <c r="C23" s="28" t="str">
        <f>[2]С6!F12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[2]С1.1!E16</f>
        <v>5100</v>
      </c>
    </row>
    <row r="29" spans="1:3" ht="42.75" x14ac:dyDescent="0.2">
      <c r="A29" s="22" t="s">
        <v>10</v>
      </c>
      <c r="B29" s="33" t="s">
        <v>22</v>
      </c>
      <c r="C29" s="34">
        <f>[2]С1.1!E27</f>
        <v>3819.9416666666671</v>
      </c>
    </row>
    <row r="30" spans="1:3" ht="17.25" x14ac:dyDescent="0.2">
      <c r="A30" s="22" t="s">
        <v>12</v>
      </c>
      <c r="B30" s="33" t="s">
        <v>23</v>
      </c>
      <c r="C30" s="35">
        <f>[2]С1.1!E19</f>
        <v>1.4E-2</v>
      </c>
    </row>
    <row r="31" spans="1:3" ht="17.25" x14ac:dyDescent="0.2">
      <c r="A31" s="22" t="s">
        <v>14</v>
      </c>
      <c r="B31" s="33" t="s">
        <v>24</v>
      </c>
      <c r="C31" s="35">
        <f>[2]С1.1!E20</f>
        <v>0.04</v>
      </c>
    </row>
    <row r="32" spans="1:3" ht="30" x14ac:dyDescent="0.2">
      <c r="A32" s="22" t="s">
        <v>16</v>
      </c>
      <c r="B32" s="36" t="s">
        <v>25</v>
      </c>
      <c r="C32" s="37">
        <f>[2]С1!F13</f>
        <v>176.4</v>
      </c>
    </row>
    <row r="33" spans="1:3" x14ac:dyDescent="0.2">
      <c r="A33" s="22" t="s">
        <v>18</v>
      </c>
      <c r="B33" s="36" t="s">
        <v>26</v>
      </c>
      <c r="C33" s="38">
        <f>[2]С1!F16</f>
        <v>7000</v>
      </c>
    </row>
    <row r="34" spans="1:3" ht="14.25" x14ac:dyDescent="0.2">
      <c r="A34" s="22" t="s">
        <v>27</v>
      </c>
      <c r="B34" s="39" t="s">
        <v>28</v>
      </c>
      <c r="C34" s="40">
        <f>[2]С1!F17</f>
        <v>0.72857142857142854</v>
      </c>
    </row>
    <row r="35" spans="1:3" ht="15.75" x14ac:dyDescent="0.2">
      <c r="A35" s="41" t="s">
        <v>29</v>
      </c>
      <c r="B35" s="42" t="s">
        <v>30</v>
      </c>
      <c r="C35" s="40">
        <f>[2]С1!F20</f>
        <v>21.588411179999994</v>
      </c>
    </row>
    <row r="36" spans="1:3" ht="15.75" x14ac:dyDescent="0.2">
      <c r="A36" s="41" t="s">
        <v>31</v>
      </c>
      <c r="B36" s="43" t="s">
        <v>32</v>
      </c>
      <c r="C36" s="40">
        <f>[2]С1!F21</f>
        <v>20.818139999999996</v>
      </c>
    </row>
    <row r="37" spans="1:3" ht="14.25" x14ac:dyDescent="0.2">
      <c r="A37" s="41" t="s">
        <v>33</v>
      </c>
      <c r="B37" s="44" t="s">
        <v>34</v>
      </c>
      <c r="C37" s="40">
        <f>[2]С1!F22</f>
        <v>1.0369999999999999</v>
      </c>
    </row>
    <row r="38" spans="1:3" ht="53.25" thickBot="1" x14ac:dyDescent="0.25">
      <c r="A38" s="27" t="s">
        <v>35</v>
      </c>
      <c r="B38" s="45" t="s">
        <v>36</v>
      </c>
      <c r="C38" s="46">
        <f>[2]С1!F23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[2]С2.1!E12</f>
        <v>V</v>
      </c>
    </row>
    <row r="42" spans="1:3" ht="25.5" x14ac:dyDescent="0.2">
      <c r="A42" s="22" t="s">
        <v>41</v>
      </c>
      <c r="B42" s="33" t="s">
        <v>42</v>
      </c>
      <c r="C42" s="51" t="str">
        <f>[2]С2.1!E13</f>
        <v>6 и менее баллов</v>
      </c>
    </row>
    <row r="43" spans="1:3" ht="25.5" x14ac:dyDescent="0.2">
      <c r="A43" s="22" t="s">
        <v>43</v>
      </c>
      <c r="B43" s="33" t="s">
        <v>44</v>
      </c>
      <c r="C43" s="51" t="str">
        <f>[2]С2.1!E14</f>
        <v>от 200 до 500</v>
      </c>
    </row>
    <row r="44" spans="1:3" ht="25.5" x14ac:dyDescent="0.2">
      <c r="A44" s="22" t="s">
        <v>45</v>
      </c>
      <c r="B44" s="33" t="s">
        <v>46</v>
      </c>
      <c r="C44" s="52" t="str">
        <f>[2]С2.1!E15</f>
        <v>нет</v>
      </c>
    </row>
    <row r="45" spans="1:3" ht="30" x14ac:dyDescent="0.2">
      <c r="A45" s="22" t="s">
        <v>47</v>
      </c>
      <c r="B45" s="33" t="s">
        <v>48</v>
      </c>
      <c r="C45" s="34">
        <f>[2]С2!F18</f>
        <v>38910.02669467502</v>
      </c>
    </row>
    <row r="46" spans="1:3" ht="30" x14ac:dyDescent="0.2">
      <c r="A46" s="22" t="s">
        <v>49</v>
      </c>
      <c r="B46" s="53" t="s">
        <v>50</v>
      </c>
      <c r="C46" s="34">
        <f>IF([2]С2!F19&gt;0,[2]С2!F19,[2]С2!F20)</f>
        <v>23441.524932855718</v>
      </c>
    </row>
    <row r="47" spans="1:3" ht="25.5" x14ac:dyDescent="0.2">
      <c r="A47" s="22" t="s">
        <v>51</v>
      </c>
      <c r="B47" s="54" t="s">
        <v>52</v>
      </c>
      <c r="C47" s="34">
        <f>[2]С2.1!E19</f>
        <v>-38</v>
      </c>
    </row>
    <row r="48" spans="1:3" ht="25.5" x14ac:dyDescent="0.2">
      <c r="A48" s="22" t="s">
        <v>53</v>
      </c>
      <c r="B48" s="54" t="s">
        <v>54</v>
      </c>
      <c r="C48" s="34" t="str">
        <f>[2]С2.1!E22</f>
        <v>нет</v>
      </c>
    </row>
    <row r="49" spans="1:3" ht="38.25" x14ac:dyDescent="0.2">
      <c r="A49" s="22" t="s">
        <v>55</v>
      </c>
      <c r="B49" s="55" t="s">
        <v>56</v>
      </c>
      <c r="C49" s="34">
        <f>[2]С2.2!E10</f>
        <v>1287</v>
      </c>
    </row>
    <row r="50" spans="1:3" ht="25.5" x14ac:dyDescent="0.2">
      <c r="A50" s="22" t="s">
        <v>57</v>
      </c>
      <c r="B50" s="56" t="s">
        <v>58</v>
      </c>
      <c r="C50" s="34">
        <f>[2]С2.2!E12</f>
        <v>5.97</v>
      </c>
    </row>
    <row r="51" spans="1:3" ht="52.5" x14ac:dyDescent="0.2">
      <c r="A51" s="22" t="s">
        <v>59</v>
      </c>
      <c r="B51" s="57" t="s">
        <v>60</v>
      </c>
      <c r="C51" s="34">
        <f>[2]С2.2!E13</f>
        <v>1</v>
      </c>
    </row>
    <row r="52" spans="1:3" ht="27.75" x14ac:dyDescent="0.2">
      <c r="A52" s="22" t="s">
        <v>61</v>
      </c>
      <c r="B52" s="56" t="s">
        <v>62</v>
      </c>
      <c r="C52" s="34">
        <f>[2]С2.2!E14</f>
        <v>12104</v>
      </c>
    </row>
    <row r="53" spans="1:3" ht="25.5" x14ac:dyDescent="0.2">
      <c r="A53" s="22" t="s">
        <v>63</v>
      </c>
      <c r="B53" s="57" t="s">
        <v>64</v>
      </c>
      <c r="C53" s="35">
        <f>[2]С2.2!E15</f>
        <v>4.8000000000000001E-2</v>
      </c>
    </row>
    <row r="54" spans="1:3" x14ac:dyDescent="0.2">
      <c r="A54" s="22" t="s">
        <v>65</v>
      </c>
      <c r="B54" s="57" t="s">
        <v>66</v>
      </c>
      <c r="C54" s="34">
        <f>[2]С2.2!E16</f>
        <v>1</v>
      </c>
    </row>
    <row r="55" spans="1:3" ht="15.75" x14ac:dyDescent="0.2">
      <c r="A55" s="22" t="s">
        <v>67</v>
      </c>
      <c r="B55" s="58" t="s">
        <v>68</v>
      </c>
      <c r="C55" s="34">
        <f>[2]С2!F21</f>
        <v>1</v>
      </c>
    </row>
    <row r="56" spans="1:3" ht="30" x14ac:dyDescent="0.2">
      <c r="A56" s="59" t="s">
        <v>69</v>
      </c>
      <c r="B56" s="33" t="s">
        <v>70</v>
      </c>
      <c r="C56" s="34">
        <f>[2]С2!F13</f>
        <v>203708.97017230222</v>
      </c>
    </row>
    <row r="57" spans="1:3" ht="30" x14ac:dyDescent="0.2">
      <c r="A57" s="59" t="s">
        <v>71</v>
      </c>
      <c r="B57" s="58" t="s">
        <v>72</v>
      </c>
      <c r="C57" s="34">
        <f>[2]С2!F14</f>
        <v>113455</v>
      </c>
    </row>
    <row r="58" spans="1:3" ht="15.75" x14ac:dyDescent="0.2">
      <c r="A58" s="59" t="s">
        <v>73</v>
      </c>
      <c r="B58" s="60" t="s">
        <v>74</v>
      </c>
      <c r="C58" s="40">
        <f>[2]С2!F15</f>
        <v>1.071</v>
      </c>
    </row>
    <row r="59" spans="1:3" ht="15.75" x14ac:dyDescent="0.2">
      <c r="A59" s="59" t="s">
        <v>75</v>
      </c>
      <c r="B59" s="60" t="s">
        <v>76</v>
      </c>
      <c r="C59" s="40">
        <f>[2]С2!F16</f>
        <v>1</v>
      </c>
    </row>
    <row r="60" spans="1:3" ht="17.25" x14ac:dyDescent="0.2">
      <c r="A60" s="59" t="s">
        <v>77</v>
      </c>
      <c r="B60" s="58" t="s">
        <v>78</v>
      </c>
      <c r="C60" s="34">
        <f>[2]С2!F17</f>
        <v>1.01</v>
      </c>
    </row>
    <row r="61" spans="1:3" s="63" customFormat="1" ht="14.25" x14ac:dyDescent="0.2">
      <c r="A61" s="59" t="s">
        <v>79</v>
      </c>
      <c r="B61" s="61" t="s">
        <v>80</v>
      </c>
      <c r="C61" s="62">
        <f>[2]С2!F33</f>
        <v>10</v>
      </c>
    </row>
    <row r="62" spans="1:3" ht="30" x14ac:dyDescent="0.2">
      <c r="A62" s="59" t="s">
        <v>81</v>
      </c>
      <c r="B62" s="64" t="s">
        <v>82</v>
      </c>
      <c r="C62" s="34">
        <f>[2]С2!F26</f>
        <v>1349.309862285194</v>
      </c>
    </row>
    <row r="63" spans="1:3" ht="17.25" x14ac:dyDescent="0.2">
      <c r="A63" s="59" t="s">
        <v>83</v>
      </c>
      <c r="B63" s="53" t="s">
        <v>84</v>
      </c>
      <c r="C63" s="34">
        <f>[2]С2!F27</f>
        <v>0.19354712999999998</v>
      </c>
    </row>
    <row r="64" spans="1:3" ht="17.25" x14ac:dyDescent="0.2">
      <c r="A64" s="59" t="s">
        <v>85</v>
      </c>
      <c r="B64" s="58" t="s">
        <v>86</v>
      </c>
      <c r="C64" s="62">
        <f>[2]С2!F28</f>
        <v>4200</v>
      </c>
    </row>
    <row r="65" spans="1:3" ht="42.75" x14ac:dyDescent="0.2">
      <c r="A65" s="59" t="s">
        <v>87</v>
      </c>
      <c r="B65" s="33" t="s">
        <v>88</v>
      </c>
      <c r="C65" s="34">
        <f>[2]С2!F22</f>
        <v>42890.921752741691</v>
      </c>
    </row>
    <row r="66" spans="1:3" ht="30" x14ac:dyDescent="0.2">
      <c r="A66" s="59" t="s">
        <v>89</v>
      </c>
      <c r="B66" s="60" t="s">
        <v>90</v>
      </c>
      <c r="C66" s="34">
        <f>[2]С2!F23</f>
        <v>1990</v>
      </c>
    </row>
    <row r="67" spans="1:3" ht="30" x14ac:dyDescent="0.2">
      <c r="A67" s="59" t="s">
        <v>91</v>
      </c>
      <c r="B67" s="53" t="s">
        <v>92</v>
      </c>
      <c r="C67" s="34">
        <f>[2]С2.1!E27</f>
        <v>14307.876789999998</v>
      </c>
    </row>
    <row r="68" spans="1:3" ht="38.25" x14ac:dyDescent="0.2">
      <c r="A68" s="59" t="s">
        <v>93</v>
      </c>
      <c r="B68" s="65" t="s">
        <v>94</v>
      </c>
      <c r="C68" s="52">
        <f>[2]С2.3!E21</f>
        <v>0</v>
      </c>
    </row>
    <row r="69" spans="1:3" ht="25.5" x14ac:dyDescent="0.2">
      <c r="A69" s="59" t="s">
        <v>95</v>
      </c>
      <c r="B69" s="66" t="s">
        <v>96</v>
      </c>
      <c r="C69" s="67">
        <f>[2]С2.3!E11</f>
        <v>9.89</v>
      </c>
    </row>
    <row r="70" spans="1:3" ht="25.5" x14ac:dyDescent="0.2">
      <c r="A70" s="59" t="s">
        <v>97</v>
      </c>
      <c r="B70" s="66" t="s">
        <v>98</v>
      </c>
      <c r="C70" s="62">
        <f>[2]С2.3!E13</f>
        <v>300</v>
      </c>
    </row>
    <row r="71" spans="1:3" ht="25.5" x14ac:dyDescent="0.2">
      <c r="A71" s="59" t="s">
        <v>99</v>
      </c>
      <c r="B71" s="65" t="s">
        <v>100</v>
      </c>
      <c r="C71" s="68">
        <f>IF([2]С2.3!E22&gt;0,[2]С2.3!E22,[2]С2.3!E14)</f>
        <v>61211</v>
      </c>
    </row>
    <row r="72" spans="1:3" ht="38.25" x14ac:dyDescent="0.2">
      <c r="A72" s="59" t="s">
        <v>101</v>
      </c>
      <c r="B72" s="65" t="s">
        <v>102</v>
      </c>
      <c r="C72" s="68">
        <f>IF([2]С2.3!E23&gt;0,[2]С2.3!E23,[2]С2.3!E15)</f>
        <v>45675</v>
      </c>
    </row>
    <row r="73" spans="1:3" ht="30" x14ac:dyDescent="0.2">
      <c r="A73" s="59" t="s">
        <v>103</v>
      </c>
      <c r="B73" s="53" t="s">
        <v>104</v>
      </c>
      <c r="C73" s="34">
        <f>[2]С2.1!E28</f>
        <v>9541.9567200000001</v>
      </c>
    </row>
    <row r="74" spans="1:3" ht="38.25" x14ac:dyDescent="0.2">
      <c r="A74" s="59" t="s">
        <v>105</v>
      </c>
      <c r="B74" s="65" t="s">
        <v>106</v>
      </c>
      <c r="C74" s="52">
        <f>[2]С2.3!E25</f>
        <v>0</v>
      </c>
    </row>
    <row r="75" spans="1:3" ht="25.5" x14ac:dyDescent="0.2">
      <c r="A75" s="59" t="s">
        <v>107</v>
      </c>
      <c r="B75" s="66" t="s">
        <v>108</v>
      </c>
      <c r="C75" s="67">
        <f>[2]С2.3!E12</f>
        <v>0.56000000000000005</v>
      </c>
    </row>
    <row r="76" spans="1:3" ht="25.5" x14ac:dyDescent="0.2">
      <c r="A76" s="59" t="s">
        <v>109</v>
      </c>
      <c r="B76" s="66" t="s">
        <v>98</v>
      </c>
      <c r="C76" s="62">
        <f>[2]С2.3!E13</f>
        <v>300</v>
      </c>
    </row>
    <row r="77" spans="1:3" ht="25.5" x14ac:dyDescent="0.2">
      <c r="A77" s="59" t="s">
        <v>110</v>
      </c>
      <c r="B77" s="69" t="s">
        <v>111</v>
      </c>
      <c r="C77" s="68">
        <f>IF([2]С2.3!E26&gt;0,[2]С2.3!E26,[2]С2.3!E16)</f>
        <v>65637</v>
      </c>
    </row>
    <row r="78" spans="1:3" ht="38.25" x14ac:dyDescent="0.2">
      <c r="A78" s="59" t="s">
        <v>112</v>
      </c>
      <c r="B78" s="69" t="s">
        <v>113</v>
      </c>
      <c r="C78" s="68">
        <f>IF([2]С2.3!E27&gt;0,[2]С2.3!E27,[2]С2.3!E17)</f>
        <v>31684</v>
      </c>
    </row>
    <row r="79" spans="1:3" ht="17.25" x14ac:dyDescent="0.2">
      <c r="A79" s="59" t="s">
        <v>114</v>
      </c>
      <c r="B79" s="33" t="s">
        <v>115</v>
      </c>
      <c r="C79" s="35">
        <f>[2]С2!F29</f>
        <v>0.17804631770487722</v>
      </c>
    </row>
    <row r="80" spans="1:3" ht="30" x14ac:dyDescent="0.2">
      <c r="A80" s="59" t="s">
        <v>116</v>
      </c>
      <c r="B80" s="53" t="s">
        <v>117</v>
      </c>
      <c r="C80" s="70">
        <f>[2]С2!F30</f>
        <v>0.1652189781021898</v>
      </c>
    </row>
    <row r="81" spans="1:3" ht="17.25" x14ac:dyDescent="0.2">
      <c r="A81" s="59" t="s">
        <v>118</v>
      </c>
      <c r="B81" s="71" t="s">
        <v>119</v>
      </c>
      <c r="C81" s="35">
        <f>[2]С2!F31</f>
        <v>0.13880000000000001</v>
      </c>
    </row>
    <row r="82" spans="1:3" s="63" customFormat="1" ht="18" thickBot="1" x14ac:dyDescent="0.25">
      <c r="A82" s="72" t="s">
        <v>120</v>
      </c>
      <c r="B82" s="73" t="s">
        <v>121</v>
      </c>
      <c r="C82" s="74">
        <f>[2]С2!F32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[2]С3!F14</f>
        <v>14784.578474435859</v>
      </c>
    </row>
    <row r="86" spans="1:3" s="63" customFormat="1" ht="42.75" x14ac:dyDescent="0.2">
      <c r="A86" s="77" t="s">
        <v>126</v>
      </c>
      <c r="B86" s="53" t="s">
        <v>127</v>
      </c>
      <c r="C86" s="78">
        <f>[2]С3!F15</f>
        <v>0.25</v>
      </c>
    </row>
    <row r="87" spans="1:3" s="63" customFormat="1" ht="14.25" x14ac:dyDescent="0.2">
      <c r="A87" s="77" t="s">
        <v>128</v>
      </c>
      <c r="B87" s="79" t="s">
        <v>129</v>
      </c>
      <c r="C87" s="62">
        <f>[2]С3!F18</f>
        <v>15</v>
      </c>
    </row>
    <row r="88" spans="1:3" s="63" customFormat="1" ht="17.25" x14ac:dyDescent="0.2">
      <c r="A88" s="77" t="s">
        <v>130</v>
      </c>
      <c r="B88" s="33" t="s">
        <v>131</v>
      </c>
      <c r="C88" s="34">
        <f>[2]С3!F19</f>
        <v>4187.478806422544</v>
      </c>
    </row>
    <row r="89" spans="1:3" s="63" customFormat="1" ht="55.5" x14ac:dyDescent="0.2">
      <c r="A89" s="77" t="s">
        <v>132</v>
      </c>
      <c r="B89" s="53" t="s">
        <v>133</v>
      </c>
      <c r="C89" s="80">
        <f>[2]С3!F20</f>
        <v>2.1999999999999999E-2</v>
      </c>
    </row>
    <row r="90" spans="1:3" s="63" customFormat="1" ht="14.25" x14ac:dyDescent="0.2">
      <c r="A90" s="77" t="s">
        <v>134</v>
      </c>
      <c r="B90" s="58" t="s">
        <v>80</v>
      </c>
      <c r="C90" s="62">
        <f>[2]С3!F21</f>
        <v>10</v>
      </c>
    </row>
    <row r="91" spans="1:3" s="63" customFormat="1" ht="17.25" x14ac:dyDescent="0.2">
      <c r="A91" s="77" t="s">
        <v>135</v>
      </c>
      <c r="B91" s="33" t="s">
        <v>136</v>
      </c>
      <c r="C91" s="34">
        <f>[2]С3!F22</f>
        <v>4.0479295868555818</v>
      </c>
    </row>
    <row r="92" spans="1:3" s="63" customFormat="1" ht="55.5" x14ac:dyDescent="0.2">
      <c r="A92" s="77" t="s">
        <v>137</v>
      </c>
      <c r="B92" s="53" t="s">
        <v>138</v>
      </c>
      <c r="C92" s="80">
        <f>[2]С3!F23</f>
        <v>3.0000000000000001E-3</v>
      </c>
    </row>
    <row r="93" spans="1:3" s="63" customFormat="1" ht="27.75" thickBot="1" x14ac:dyDescent="0.25">
      <c r="A93" s="81" t="s">
        <v>139</v>
      </c>
      <c r="B93" s="82" t="s">
        <v>140</v>
      </c>
      <c r="C93" s="83">
        <f>[2]С3!F24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[2]С4!F16</f>
        <v>1652.5</v>
      </c>
    </row>
    <row r="97" spans="1:3" ht="30" x14ac:dyDescent="0.2">
      <c r="A97" s="59" t="s">
        <v>145</v>
      </c>
      <c r="B97" s="58" t="s">
        <v>146</v>
      </c>
      <c r="C97" s="34">
        <f>[2]С4!F17</f>
        <v>73547</v>
      </c>
    </row>
    <row r="98" spans="1:3" ht="17.25" x14ac:dyDescent="0.2">
      <c r="A98" s="59" t="s">
        <v>147</v>
      </c>
      <c r="B98" s="58" t="s">
        <v>148</v>
      </c>
      <c r="C98" s="40">
        <f>[2]С4!F18</f>
        <v>0.02</v>
      </c>
    </row>
    <row r="99" spans="1:3" ht="30" x14ac:dyDescent="0.2">
      <c r="A99" s="59" t="s">
        <v>149</v>
      </c>
      <c r="B99" s="58" t="s">
        <v>150</v>
      </c>
      <c r="C99" s="34">
        <f>[2]С4!F19</f>
        <v>12104</v>
      </c>
    </row>
    <row r="100" spans="1:3" ht="31.5" x14ac:dyDescent="0.2">
      <c r="A100" s="59" t="s">
        <v>151</v>
      </c>
      <c r="B100" s="58" t="s">
        <v>152</v>
      </c>
      <c r="C100" s="40">
        <f>[2]С4!F20</f>
        <v>1.4999999999999999E-2</v>
      </c>
    </row>
    <row r="101" spans="1:3" ht="30" x14ac:dyDescent="0.2">
      <c r="A101" s="59" t="s">
        <v>153</v>
      </c>
      <c r="B101" s="33" t="s">
        <v>154</v>
      </c>
      <c r="C101" s="34">
        <f>[2]С4!F21</f>
        <v>1933.1949342509995</v>
      </c>
    </row>
    <row r="102" spans="1:3" ht="24" customHeight="1" x14ac:dyDescent="0.2">
      <c r="A102" s="59" t="s">
        <v>155</v>
      </c>
      <c r="B102" s="53" t="s">
        <v>156</v>
      </c>
      <c r="C102" s="85">
        <f>IF([2]С4.2!F8="да",[2]С4.2!D21,[2]С4.2!D15)</f>
        <v>0</v>
      </c>
    </row>
    <row r="103" spans="1:3" ht="68.25" x14ac:dyDescent="0.2">
      <c r="A103" s="59" t="s">
        <v>157</v>
      </c>
      <c r="B103" s="53" t="s">
        <v>158</v>
      </c>
      <c r="C103" s="34">
        <f>[2]С4!F22</f>
        <v>3.6112641666666665</v>
      </c>
    </row>
    <row r="104" spans="1:3" ht="30" x14ac:dyDescent="0.2">
      <c r="A104" s="59" t="s">
        <v>159</v>
      </c>
      <c r="B104" s="58" t="s">
        <v>160</v>
      </c>
      <c r="C104" s="34">
        <f>[2]С4!F23</f>
        <v>180</v>
      </c>
    </row>
    <row r="105" spans="1:3" ht="14.25" x14ac:dyDescent="0.2">
      <c r="A105" s="59" t="s">
        <v>161</v>
      </c>
      <c r="B105" s="53" t="s">
        <v>162</v>
      </c>
      <c r="C105" s="34">
        <f>[2]С4!F24</f>
        <v>8497.1999999999989</v>
      </c>
    </row>
    <row r="106" spans="1:3" ht="14.25" x14ac:dyDescent="0.2">
      <c r="A106" s="59" t="s">
        <v>163</v>
      </c>
      <c r="B106" s="58" t="s">
        <v>164</v>
      </c>
      <c r="C106" s="40">
        <f>[2]С4!F25</f>
        <v>0.35</v>
      </c>
    </row>
    <row r="107" spans="1:3" ht="17.25" x14ac:dyDescent="0.2">
      <c r="A107" s="59" t="s">
        <v>165</v>
      </c>
      <c r="B107" s="33" t="s">
        <v>166</v>
      </c>
      <c r="C107" s="34">
        <f>[2]С4!F26</f>
        <v>55.406275000000001</v>
      </c>
    </row>
    <row r="108" spans="1:3" ht="25.5" x14ac:dyDescent="0.2">
      <c r="A108" s="59" t="s">
        <v>167</v>
      </c>
      <c r="B108" s="53" t="s">
        <v>94</v>
      </c>
      <c r="C108" s="85">
        <f>[2]С4.3!E16</f>
        <v>0</v>
      </c>
    </row>
    <row r="109" spans="1:3" ht="25.5" x14ac:dyDescent="0.2">
      <c r="A109" s="59" t="s">
        <v>168</v>
      </c>
      <c r="B109" s="53" t="s">
        <v>169</v>
      </c>
      <c r="C109" s="34">
        <f>[2]С4.3!E17</f>
        <v>14.424999999999999</v>
      </c>
    </row>
    <row r="110" spans="1:3" ht="38.25" x14ac:dyDescent="0.2">
      <c r="A110" s="59" t="s">
        <v>170</v>
      </c>
      <c r="B110" s="53" t="s">
        <v>106</v>
      </c>
      <c r="C110" s="85">
        <f>[2]С4.3!E18</f>
        <v>0</v>
      </c>
    </row>
    <row r="111" spans="1:3" x14ac:dyDescent="0.2">
      <c r="A111" s="59" t="s">
        <v>171</v>
      </c>
      <c r="B111" s="53" t="s">
        <v>172</v>
      </c>
      <c r="C111" s="34">
        <f>[2]С4.3!E19</f>
        <v>23.616666666666667</v>
      </c>
    </row>
    <row r="112" spans="1:3" x14ac:dyDescent="0.2">
      <c r="A112" s="59" t="s">
        <v>173</v>
      </c>
      <c r="B112" s="58" t="s">
        <v>174</v>
      </c>
      <c r="C112" s="34">
        <f>[2]С4.3!E11</f>
        <v>1871</v>
      </c>
    </row>
    <row r="113" spans="1:3" x14ac:dyDescent="0.2">
      <c r="A113" s="59" t="s">
        <v>175</v>
      </c>
      <c r="B113" s="58" t="s">
        <v>176</v>
      </c>
      <c r="C113" s="52">
        <f>[2]С4.3!E12</f>
        <v>1636</v>
      </c>
    </row>
    <row r="114" spans="1:3" x14ac:dyDescent="0.2">
      <c r="A114" s="59" t="s">
        <v>177</v>
      </c>
      <c r="B114" s="58" t="s">
        <v>178</v>
      </c>
      <c r="C114" s="52">
        <f>[2]С4.3!E13</f>
        <v>204</v>
      </c>
    </row>
    <row r="115" spans="1:3" ht="30" x14ac:dyDescent="0.2">
      <c r="A115" s="59" t="s">
        <v>179</v>
      </c>
      <c r="B115" s="33" t="s">
        <v>180</v>
      </c>
      <c r="C115" s="34">
        <f>[2]С4!F27</f>
        <v>1291.2863994686898</v>
      </c>
    </row>
    <row r="116" spans="1:3" ht="25.5" x14ac:dyDescent="0.2">
      <c r="A116" s="59" t="s">
        <v>181</v>
      </c>
      <c r="B116" s="53" t="s">
        <v>182</v>
      </c>
      <c r="C116" s="34">
        <f>[2]С4!F28</f>
        <v>991.77142816335618</v>
      </c>
    </row>
    <row r="117" spans="1:3" ht="42.75" x14ac:dyDescent="0.2">
      <c r="A117" s="59" t="s">
        <v>183</v>
      </c>
      <c r="B117" s="53" t="s">
        <v>184</v>
      </c>
      <c r="C117" s="34">
        <f>[2]С4!F29</f>
        <v>299.51497130533357</v>
      </c>
    </row>
    <row r="118" spans="1:3" ht="30" x14ac:dyDescent="0.2">
      <c r="A118" s="59" t="s">
        <v>185</v>
      </c>
      <c r="B118" s="39" t="s">
        <v>186</v>
      </c>
      <c r="C118" s="34">
        <f>[2]С4!F30</f>
        <v>2757.9520305089245</v>
      </c>
    </row>
    <row r="119" spans="1:3" ht="42.75" x14ac:dyDescent="0.2">
      <c r="A119" s="59" t="s">
        <v>187</v>
      </c>
      <c r="B119" s="86" t="s">
        <v>188</v>
      </c>
      <c r="C119" s="34">
        <f>[2]С4!F33</f>
        <v>1560.2323598526916</v>
      </c>
    </row>
    <row r="120" spans="1:3" ht="30" x14ac:dyDescent="0.2">
      <c r="A120" s="59" t="s">
        <v>189</v>
      </c>
      <c r="B120" s="87" t="s">
        <v>190</v>
      </c>
      <c r="C120" s="34">
        <f>[2]С4!F35</f>
        <v>17.040680999999999</v>
      </c>
    </row>
    <row r="121" spans="1:3" ht="14.25" x14ac:dyDescent="0.2">
      <c r="A121" s="59" t="s">
        <v>191</v>
      </c>
      <c r="B121" s="56" t="s">
        <v>192</v>
      </c>
      <c r="C121" s="34">
        <f>[2]С4!F36</f>
        <v>14319.9</v>
      </c>
    </row>
    <row r="122" spans="1:3" ht="28.5" thickBot="1" x14ac:dyDescent="0.25">
      <c r="A122" s="72" t="s">
        <v>193</v>
      </c>
      <c r="B122" s="88" t="s">
        <v>194</v>
      </c>
      <c r="C122" s="83">
        <f>[2]С4!F37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[2]С5!F17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[2]С2!F37</f>
        <v>20.818139999999996</v>
      </c>
    </row>
    <row r="136" spans="1:3" ht="14.25" x14ac:dyDescent="0.2">
      <c r="A136" s="59" t="s">
        <v>216</v>
      </c>
      <c r="B136" s="101" t="s">
        <v>217</v>
      </c>
      <c r="C136" s="34">
        <f>[2]С2!F38</f>
        <v>7</v>
      </c>
    </row>
    <row r="137" spans="1:3" ht="17.25" x14ac:dyDescent="0.2">
      <c r="A137" s="59" t="s">
        <v>218</v>
      </c>
      <c r="B137" s="101" t="s">
        <v>219</v>
      </c>
      <c r="C137" s="34">
        <f>[2]С2!F40</f>
        <v>0.97</v>
      </c>
    </row>
    <row r="138" spans="1:3" ht="15" thickBot="1" x14ac:dyDescent="0.25">
      <c r="A138" s="72" t="s">
        <v>220</v>
      </c>
      <c r="B138" s="102" t="s">
        <v>221</v>
      </c>
      <c r="C138" s="46">
        <f>[2]С2!F42</f>
        <v>0.35</v>
      </c>
    </row>
    <row r="139" spans="1:3" s="89" customFormat="1" ht="13.5" thickBot="1" x14ac:dyDescent="0.25">
      <c r="A139" s="47"/>
      <c r="B139" s="75"/>
      <c r="C139" s="15"/>
    </row>
    <row r="140" spans="1:3" ht="30" x14ac:dyDescent="0.2">
      <c r="A140" s="84" t="s">
        <v>222</v>
      </c>
      <c r="B140" s="103" t="s">
        <v>223</v>
      </c>
      <c r="C140" s="104">
        <f>[2]С2!F35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[2]С2.5!$E$11</f>
        <v>-2.9000000000000026E-2</v>
      </c>
    </row>
    <row r="144" spans="1:3" x14ac:dyDescent="0.2">
      <c r="A144" s="105"/>
      <c r="B144" s="110">
        <f>B143+1</f>
        <v>2021</v>
      </c>
      <c r="C144" s="111">
        <f>[2]С2.5!$F$11</f>
        <v>0.245</v>
      </c>
    </row>
    <row r="145" spans="1:3" x14ac:dyDescent="0.2">
      <c r="A145" s="105"/>
      <c r="B145" s="110">
        <f t="shared" ref="B145:B208" si="0">B144+1</f>
        <v>2022</v>
      </c>
      <c r="C145" s="111">
        <f>[2]С2.5!$G$11</f>
        <v>0.114</v>
      </c>
    </row>
    <row r="146" spans="1:3" ht="13.5" thickBot="1" x14ac:dyDescent="0.25">
      <c r="A146" s="105"/>
      <c r="B146" s="112">
        <f t="shared" si="0"/>
        <v>2023</v>
      </c>
      <c r="C146" s="113">
        <f>[2]С2.5!$H$11</f>
        <v>0.04</v>
      </c>
    </row>
    <row r="147" spans="1:3" x14ac:dyDescent="0.2">
      <c r="A147" s="105"/>
      <c r="B147" s="114">
        <f t="shared" si="0"/>
        <v>2024</v>
      </c>
      <c r="C147" s="115">
        <f>[2]С2.5!$I$11</f>
        <v>0.11700000000000001</v>
      </c>
    </row>
    <row r="148" spans="1:3" x14ac:dyDescent="0.2">
      <c r="A148" s="105"/>
      <c r="B148" s="110">
        <f t="shared" si="0"/>
        <v>2025</v>
      </c>
      <c r="C148" s="111">
        <f>[2]С2.5!$J$11</f>
        <v>6.0999999999999999E-2</v>
      </c>
    </row>
    <row r="149" spans="1:3" hidden="1" x14ac:dyDescent="0.2">
      <c r="A149" s="105"/>
      <c r="B149" s="110">
        <f t="shared" si="0"/>
        <v>2026</v>
      </c>
      <c r="C149" s="111">
        <f>[2]С2.5!$K$11</f>
        <v>3.5813361771260002E-2</v>
      </c>
    </row>
    <row r="150" spans="1:3" hidden="1" x14ac:dyDescent="0.2">
      <c r="A150" s="105"/>
      <c r="B150" s="110">
        <f t="shared" si="0"/>
        <v>2027</v>
      </c>
      <c r="C150" s="111">
        <f>[2]С2.5!$L$11</f>
        <v>3.2682303599220003E-2</v>
      </c>
    </row>
    <row r="151" spans="1:3" hidden="1" x14ac:dyDescent="0.2">
      <c r="A151" s="105"/>
      <c r="B151" s="110">
        <f t="shared" si="0"/>
        <v>2028</v>
      </c>
      <c r="C151" s="111">
        <f>[2]С2.5!$M$11</f>
        <v>0</v>
      </c>
    </row>
    <row r="152" spans="1:3" hidden="1" x14ac:dyDescent="0.2">
      <c r="A152" s="105"/>
      <c r="B152" s="110">
        <f t="shared" si="0"/>
        <v>2029</v>
      </c>
      <c r="C152" s="111">
        <f>[2]С2.5!$N$11</f>
        <v>0</v>
      </c>
    </row>
    <row r="153" spans="1:3" hidden="1" x14ac:dyDescent="0.2">
      <c r="A153" s="105"/>
      <c r="B153" s="110">
        <f t="shared" si="0"/>
        <v>2030</v>
      </c>
      <c r="C153" s="111">
        <f>[2]С2.5!$O$11</f>
        <v>0</v>
      </c>
    </row>
    <row r="154" spans="1:3" hidden="1" x14ac:dyDescent="0.2">
      <c r="A154" s="105"/>
      <c r="B154" s="110">
        <f t="shared" si="0"/>
        <v>2031</v>
      </c>
      <c r="C154" s="111">
        <f>[2]С2.5!$P$11</f>
        <v>0</v>
      </c>
    </row>
    <row r="155" spans="1:3" hidden="1" x14ac:dyDescent="0.2">
      <c r="A155" s="89"/>
      <c r="B155" s="110">
        <f t="shared" si="0"/>
        <v>2032</v>
      </c>
      <c r="C155" s="111">
        <f>[2]С2.5!$Q$11</f>
        <v>0</v>
      </c>
    </row>
    <row r="156" spans="1:3" hidden="1" x14ac:dyDescent="0.2">
      <c r="A156" s="89"/>
      <c r="B156" s="110">
        <f t="shared" si="0"/>
        <v>2033</v>
      </c>
      <c r="C156" s="111">
        <f>[2]С2.5!$R$11</f>
        <v>0</v>
      </c>
    </row>
    <row r="157" spans="1:3" hidden="1" x14ac:dyDescent="0.2">
      <c r="B157" s="110">
        <f t="shared" si="0"/>
        <v>2034</v>
      </c>
      <c r="C157" s="111">
        <f>[2]С2.5!$S$11</f>
        <v>0</v>
      </c>
    </row>
    <row r="158" spans="1:3" hidden="1" x14ac:dyDescent="0.2">
      <c r="B158" s="110">
        <f t="shared" si="0"/>
        <v>2035</v>
      </c>
      <c r="C158" s="111">
        <f>[2]С2.5!$T$11</f>
        <v>0</v>
      </c>
    </row>
    <row r="159" spans="1:3" hidden="1" x14ac:dyDescent="0.2">
      <c r="B159" s="110">
        <f t="shared" si="0"/>
        <v>2036</v>
      </c>
      <c r="C159" s="111">
        <f>[2]С2.5!$U$11</f>
        <v>0</v>
      </c>
    </row>
    <row r="160" spans="1:3" hidden="1" x14ac:dyDescent="0.2">
      <c r="B160" s="110">
        <f t="shared" si="0"/>
        <v>2037</v>
      </c>
      <c r="C160" s="111">
        <f>[2]С2.5!$V$11</f>
        <v>0</v>
      </c>
    </row>
    <row r="161" spans="2:3" hidden="1" x14ac:dyDescent="0.2">
      <c r="B161" s="110">
        <f t="shared" si="0"/>
        <v>2038</v>
      </c>
      <c r="C161" s="111">
        <f>[2]С2.5!$W$11</f>
        <v>0</v>
      </c>
    </row>
    <row r="162" spans="2:3" hidden="1" x14ac:dyDescent="0.2">
      <c r="B162" s="110">
        <f t="shared" si="0"/>
        <v>2039</v>
      </c>
      <c r="C162" s="111">
        <f>[2]С2.5!$X$11</f>
        <v>0</v>
      </c>
    </row>
    <row r="163" spans="2:3" hidden="1" x14ac:dyDescent="0.2">
      <c r="B163" s="110">
        <f t="shared" si="0"/>
        <v>2040</v>
      </c>
      <c r="C163" s="111">
        <f>[2]С2.5!$Y$11</f>
        <v>0</v>
      </c>
    </row>
    <row r="164" spans="2:3" hidden="1" x14ac:dyDescent="0.2">
      <c r="B164" s="110">
        <f t="shared" si="0"/>
        <v>2041</v>
      </c>
      <c r="C164" s="111">
        <f>[2]С2.5!$Z$11</f>
        <v>0</v>
      </c>
    </row>
    <row r="165" spans="2:3" hidden="1" x14ac:dyDescent="0.2">
      <c r="B165" s="110">
        <f t="shared" si="0"/>
        <v>2042</v>
      </c>
      <c r="C165" s="111">
        <f>[2]С2.5!$AA$11</f>
        <v>0</v>
      </c>
    </row>
    <row r="166" spans="2:3" hidden="1" x14ac:dyDescent="0.2">
      <c r="B166" s="110">
        <f t="shared" si="0"/>
        <v>2043</v>
      </c>
      <c r="C166" s="111">
        <f>[2]С2.5!$AB$11</f>
        <v>0</v>
      </c>
    </row>
    <row r="167" spans="2:3" hidden="1" x14ac:dyDescent="0.2">
      <c r="B167" s="110">
        <f t="shared" si="0"/>
        <v>2044</v>
      </c>
      <c r="C167" s="111">
        <f>[2]С2.5!$AC$11</f>
        <v>0</v>
      </c>
    </row>
    <row r="168" spans="2:3" hidden="1" x14ac:dyDescent="0.2">
      <c r="B168" s="110">
        <f t="shared" si="0"/>
        <v>2045</v>
      </c>
      <c r="C168" s="111">
        <f>[2]С2.5!$AD$11</f>
        <v>0</v>
      </c>
    </row>
    <row r="169" spans="2:3" hidden="1" x14ac:dyDescent="0.2">
      <c r="B169" s="110">
        <f t="shared" si="0"/>
        <v>2046</v>
      </c>
      <c r="C169" s="111">
        <f>[2]С2.5!$AE$11</f>
        <v>0</v>
      </c>
    </row>
    <row r="170" spans="2:3" hidden="1" x14ac:dyDescent="0.2">
      <c r="B170" s="110">
        <f t="shared" si="0"/>
        <v>2047</v>
      </c>
      <c r="C170" s="111">
        <f>[2]С2.5!$AF$11</f>
        <v>0</v>
      </c>
    </row>
    <row r="171" spans="2:3" hidden="1" x14ac:dyDescent="0.2">
      <c r="B171" s="110">
        <f t="shared" si="0"/>
        <v>2048</v>
      </c>
      <c r="C171" s="111">
        <f>[2]С2.5!$AG$11</f>
        <v>0</v>
      </c>
    </row>
    <row r="172" spans="2:3" hidden="1" x14ac:dyDescent="0.2">
      <c r="B172" s="110">
        <f t="shared" si="0"/>
        <v>2049</v>
      </c>
      <c r="C172" s="111">
        <f>[2]С2.5!$AH$11</f>
        <v>0</v>
      </c>
    </row>
    <row r="173" spans="2:3" hidden="1" x14ac:dyDescent="0.2">
      <c r="B173" s="110">
        <f t="shared" si="0"/>
        <v>2050</v>
      </c>
      <c r="C173" s="111">
        <f>[2]С2.5!$AI$11</f>
        <v>0</v>
      </c>
    </row>
    <row r="174" spans="2:3" hidden="1" x14ac:dyDescent="0.2">
      <c r="B174" s="110">
        <f t="shared" si="0"/>
        <v>2051</v>
      </c>
      <c r="C174" s="111">
        <f>[2]С2.5!$AJ$11</f>
        <v>0</v>
      </c>
    </row>
    <row r="175" spans="2:3" hidden="1" x14ac:dyDescent="0.2">
      <c r="B175" s="110">
        <f t="shared" si="0"/>
        <v>2052</v>
      </c>
      <c r="C175" s="111">
        <f>[2]С2.5!$AK$11</f>
        <v>0</v>
      </c>
    </row>
    <row r="176" spans="2:3" hidden="1" x14ac:dyDescent="0.2">
      <c r="B176" s="110">
        <f t="shared" si="0"/>
        <v>2053</v>
      </c>
      <c r="C176" s="111">
        <f>[2]С2.5!$AL$11</f>
        <v>0</v>
      </c>
    </row>
    <row r="177" spans="2:3" hidden="1" x14ac:dyDescent="0.2">
      <c r="B177" s="110">
        <f t="shared" si="0"/>
        <v>2054</v>
      </c>
      <c r="C177" s="111">
        <f>[2]С2.5!$AM$11</f>
        <v>0</v>
      </c>
    </row>
    <row r="178" spans="2:3" hidden="1" x14ac:dyDescent="0.2">
      <c r="B178" s="110">
        <f t="shared" si="0"/>
        <v>2055</v>
      </c>
      <c r="C178" s="111">
        <f>[2]С2.5!$AN$11</f>
        <v>0</v>
      </c>
    </row>
    <row r="179" spans="2:3" hidden="1" x14ac:dyDescent="0.2">
      <c r="B179" s="110">
        <f t="shared" si="0"/>
        <v>2056</v>
      </c>
      <c r="C179" s="111">
        <f>[2]С2.5!$AO$11</f>
        <v>0</v>
      </c>
    </row>
    <row r="180" spans="2:3" hidden="1" x14ac:dyDescent="0.2">
      <c r="B180" s="110">
        <f t="shared" si="0"/>
        <v>2057</v>
      </c>
      <c r="C180" s="111">
        <f>[2]С2.5!$AP$11</f>
        <v>0</v>
      </c>
    </row>
    <row r="181" spans="2:3" hidden="1" x14ac:dyDescent="0.2">
      <c r="B181" s="110">
        <f t="shared" si="0"/>
        <v>2058</v>
      </c>
      <c r="C181" s="111">
        <f>[2]С2.5!$AQ$11</f>
        <v>0</v>
      </c>
    </row>
    <row r="182" spans="2:3" hidden="1" x14ac:dyDescent="0.2">
      <c r="B182" s="110">
        <f t="shared" si="0"/>
        <v>2059</v>
      </c>
      <c r="C182" s="111">
        <f>[2]С2.5!$AR$11</f>
        <v>0</v>
      </c>
    </row>
    <row r="183" spans="2:3" hidden="1" x14ac:dyDescent="0.2">
      <c r="B183" s="110">
        <f t="shared" si="0"/>
        <v>2060</v>
      </c>
      <c r="C183" s="111">
        <f>[2]С2.5!$AS$11</f>
        <v>0</v>
      </c>
    </row>
    <row r="184" spans="2:3" hidden="1" x14ac:dyDescent="0.2">
      <c r="B184" s="110">
        <f t="shared" si="0"/>
        <v>2061</v>
      </c>
      <c r="C184" s="111">
        <f>[2]С2.5!$AT$11</f>
        <v>0</v>
      </c>
    </row>
    <row r="185" spans="2:3" hidden="1" x14ac:dyDescent="0.2">
      <c r="B185" s="110">
        <f t="shared" si="0"/>
        <v>2062</v>
      </c>
      <c r="C185" s="111">
        <f>[2]С2.5!$AU$11</f>
        <v>0</v>
      </c>
    </row>
    <row r="186" spans="2:3" hidden="1" x14ac:dyDescent="0.2">
      <c r="B186" s="110">
        <f t="shared" si="0"/>
        <v>2063</v>
      </c>
      <c r="C186" s="111">
        <f>[2]С2.5!$AV$11</f>
        <v>0</v>
      </c>
    </row>
    <row r="187" spans="2:3" hidden="1" x14ac:dyDescent="0.2">
      <c r="B187" s="110">
        <f t="shared" si="0"/>
        <v>2064</v>
      </c>
      <c r="C187" s="111">
        <f>[2]С2.5!$AW$11</f>
        <v>0</v>
      </c>
    </row>
    <row r="188" spans="2:3" hidden="1" x14ac:dyDescent="0.2">
      <c r="B188" s="110">
        <f t="shared" si="0"/>
        <v>2065</v>
      </c>
      <c r="C188" s="111">
        <f>[2]С2.5!$AX$11</f>
        <v>0</v>
      </c>
    </row>
    <row r="189" spans="2:3" hidden="1" x14ac:dyDescent="0.2">
      <c r="B189" s="110">
        <f t="shared" si="0"/>
        <v>2066</v>
      </c>
      <c r="C189" s="111">
        <f>[2]С2.5!$AY$11</f>
        <v>0</v>
      </c>
    </row>
    <row r="190" spans="2:3" hidden="1" x14ac:dyDescent="0.2">
      <c r="B190" s="110">
        <f t="shared" si="0"/>
        <v>2067</v>
      </c>
      <c r="C190" s="111">
        <f>[2]С2.5!$AZ$11</f>
        <v>0</v>
      </c>
    </row>
    <row r="191" spans="2:3" hidden="1" x14ac:dyDescent="0.2">
      <c r="B191" s="110">
        <f t="shared" si="0"/>
        <v>2068</v>
      </c>
      <c r="C191" s="111">
        <f>[2]С2.5!$BA$11</f>
        <v>0</v>
      </c>
    </row>
    <row r="192" spans="2:3" hidden="1" x14ac:dyDescent="0.2">
      <c r="B192" s="110">
        <f t="shared" si="0"/>
        <v>2069</v>
      </c>
      <c r="C192" s="111">
        <f>[2]С2.5!$BB$11</f>
        <v>0</v>
      </c>
    </row>
    <row r="193" spans="2:3" hidden="1" x14ac:dyDescent="0.2">
      <c r="B193" s="110">
        <f t="shared" si="0"/>
        <v>2070</v>
      </c>
      <c r="C193" s="111">
        <f>[2]С2.5!$BC$11</f>
        <v>0</v>
      </c>
    </row>
    <row r="194" spans="2:3" hidden="1" x14ac:dyDescent="0.2">
      <c r="B194" s="110">
        <f t="shared" si="0"/>
        <v>2071</v>
      </c>
      <c r="C194" s="111">
        <f>[2]С2.5!$BD$11</f>
        <v>0</v>
      </c>
    </row>
    <row r="195" spans="2:3" hidden="1" x14ac:dyDescent="0.2">
      <c r="B195" s="110">
        <f t="shared" si="0"/>
        <v>2072</v>
      </c>
      <c r="C195" s="111">
        <f>[2]С2.5!$BE$11</f>
        <v>0</v>
      </c>
    </row>
    <row r="196" spans="2:3" hidden="1" x14ac:dyDescent="0.2">
      <c r="B196" s="110">
        <f t="shared" si="0"/>
        <v>2073</v>
      </c>
      <c r="C196" s="111">
        <f>[2]С2.5!$BF$11</f>
        <v>0</v>
      </c>
    </row>
    <row r="197" spans="2:3" hidden="1" x14ac:dyDescent="0.2">
      <c r="B197" s="110">
        <f t="shared" si="0"/>
        <v>2074</v>
      </c>
      <c r="C197" s="111">
        <f>[2]С2.5!$BG$11</f>
        <v>0</v>
      </c>
    </row>
    <row r="198" spans="2:3" hidden="1" x14ac:dyDescent="0.2">
      <c r="B198" s="110">
        <f t="shared" si="0"/>
        <v>2075</v>
      </c>
      <c r="C198" s="111">
        <f>[2]С2.5!$BH$11</f>
        <v>0</v>
      </c>
    </row>
    <row r="199" spans="2:3" hidden="1" x14ac:dyDescent="0.2">
      <c r="B199" s="110">
        <f t="shared" si="0"/>
        <v>2076</v>
      </c>
      <c r="C199" s="111">
        <f>[2]С2.5!$BI$11</f>
        <v>0</v>
      </c>
    </row>
    <row r="200" spans="2:3" hidden="1" x14ac:dyDescent="0.2">
      <c r="B200" s="110">
        <f t="shared" si="0"/>
        <v>2077</v>
      </c>
      <c r="C200" s="111">
        <f>[2]С2.5!$BJ$11</f>
        <v>0</v>
      </c>
    </row>
    <row r="201" spans="2:3" hidden="1" x14ac:dyDescent="0.2">
      <c r="B201" s="110">
        <f t="shared" si="0"/>
        <v>2078</v>
      </c>
      <c r="C201" s="111">
        <f>[2]С2.5!$BK$11</f>
        <v>0</v>
      </c>
    </row>
    <row r="202" spans="2:3" hidden="1" x14ac:dyDescent="0.2">
      <c r="B202" s="110">
        <f t="shared" si="0"/>
        <v>2079</v>
      </c>
      <c r="C202" s="111">
        <f>[2]С2.5!$BL$11</f>
        <v>0</v>
      </c>
    </row>
    <row r="203" spans="2:3" hidden="1" x14ac:dyDescent="0.2">
      <c r="B203" s="110">
        <f t="shared" si="0"/>
        <v>2080</v>
      </c>
      <c r="C203" s="111">
        <f>[2]С2.5!$BM$11</f>
        <v>0</v>
      </c>
    </row>
    <row r="204" spans="2:3" hidden="1" x14ac:dyDescent="0.2">
      <c r="B204" s="110">
        <f t="shared" si="0"/>
        <v>2081</v>
      </c>
      <c r="C204" s="111">
        <f>[2]С2.5!$BN$11</f>
        <v>0</v>
      </c>
    </row>
    <row r="205" spans="2:3" hidden="1" x14ac:dyDescent="0.2">
      <c r="B205" s="110">
        <f t="shared" si="0"/>
        <v>2082</v>
      </c>
      <c r="C205" s="111">
        <f>[2]С2.5!$BO$11</f>
        <v>0</v>
      </c>
    </row>
    <row r="206" spans="2:3" hidden="1" x14ac:dyDescent="0.2">
      <c r="B206" s="110">
        <f t="shared" si="0"/>
        <v>2083</v>
      </c>
      <c r="C206" s="111">
        <f>[2]С2.5!$BP$11</f>
        <v>0</v>
      </c>
    </row>
    <row r="207" spans="2:3" hidden="1" x14ac:dyDescent="0.2">
      <c r="B207" s="110">
        <f t="shared" si="0"/>
        <v>2084</v>
      </c>
      <c r="C207" s="111">
        <f>[2]С2.5!$BQ$11</f>
        <v>0</v>
      </c>
    </row>
    <row r="208" spans="2:3" hidden="1" x14ac:dyDescent="0.2">
      <c r="B208" s="110">
        <f t="shared" si="0"/>
        <v>2085</v>
      </c>
      <c r="C208" s="111">
        <f>[2]С2.5!$BR$11</f>
        <v>0</v>
      </c>
    </row>
    <row r="209" spans="2:3" hidden="1" x14ac:dyDescent="0.2">
      <c r="B209" s="110">
        <f t="shared" ref="B209:B223" si="1">B208+1</f>
        <v>2086</v>
      </c>
      <c r="C209" s="111">
        <f>[2]С2.5!$BS$11</f>
        <v>0</v>
      </c>
    </row>
    <row r="210" spans="2:3" hidden="1" x14ac:dyDescent="0.2">
      <c r="B210" s="110">
        <f t="shared" si="1"/>
        <v>2087</v>
      </c>
      <c r="C210" s="111">
        <f>[2]С2.5!$BT$11</f>
        <v>0</v>
      </c>
    </row>
    <row r="211" spans="2:3" hidden="1" x14ac:dyDescent="0.2">
      <c r="B211" s="110">
        <f t="shared" si="1"/>
        <v>2088</v>
      </c>
      <c r="C211" s="111">
        <f>[2]С2.5!$BU$11</f>
        <v>0</v>
      </c>
    </row>
    <row r="212" spans="2:3" hidden="1" x14ac:dyDescent="0.2">
      <c r="B212" s="110">
        <f t="shared" si="1"/>
        <v>2089</v>
      </c>
      <c r="C212" s="111">
        <f>[2]С2.5!$BV$11</f>
        <v>0</v>
      </c>
    </row>
    <row r="213" spans="2:3" hidden="1" x14ac:dyDescent="0.2">
      <c r="B213" s="110">
        <f t="shared" si="1"/>
        <v>2090</v>
      </c>
      <c r="C213" s="111">
        <f>[2]С2.5!$BW$11</f>
        <v>0</v>
      </c>
    </row>
    <row r="214" spans="2:3" hidden="1" x14ac:dyDescent="0.2">
      <c r="B214" s="110">
        <f t="shared" si="1"/>
        <v>2091</v>
      </c>
      <c r="C214" s="111">
        <f>[2]С2.5!$BX$11</f>
        <v>0</v>
      </c>
    </row>
    <row r="215" spans="2:3" hidden="1" x14ac:dyDescent="0.2">
      <c r="B215" s="110">
        <f t="shared" si="1"/>
        <v>2092</v>
      </c>
      <c r="C215" s="111">
        <f>[2]С2.5!$BY$11</f>
        <v>0</v>
      </c>
    </row>
    <row r="216" spans="2:3" hidden="1" x14ac:dyDescent="0.2">
      <c r="B216" s="110">
        <f t="shared" si="1"/>
        <v>2093</v>
      </c>
      <c r="C216" s="111">
        <f>[2]С2.5!$BZ$11</f>
        <v>0</v>
      </c>
    </row>
    <row r="217" spans="2:3" hidden="1" x14ac:dyDescent="0.2">
      <c r="B217" s="110">
        <f t="shared" si="1"/>
        <v>2094</v>
      </c>
      <c r="C217" s="111">
        <f>[2]С2.5!$CA$11</f>
        <v>0</v>
      </c>
    </row>
    <row r="218" spans="2:3" hidden="1" x14ac:dyDescent="0.2">
      <c r="B218" s="110">
        <f t="shared" si="1"/>
        <v>2095</v>
      </c>
      <c r="C218" s="111">
        <f>[2]С2.5!$CB$11</f>
        <v>0</v>
      </c>
    </row>
    <row r="219" spans="2:3" hidden="1" x14ac:dyDescent="0.2">
      <c r="B219" s="110">
        <f t="shared" si="1"/>
        <v>2096</v>
      </c>
      <c r="C219" s="111">
        <f>[2]С2.5!$CC$11</f>
        <v>0</v>
      </c>
    </row>
    <row r="220" spans="2:3" hidden="1" x14ac:dyDescent="0.2">
      <c r="B220" s="110">
        <f t="shared" si="1"/>
        <v>2097</v>
      </c>
      <c r="C220" s="111">
        <f>[2]С2.5!$CD$11</f>
        <v>0</v>
      </c>
    </row>
    <row r="221" spans="2:3" hidden="1" x14ac:dyDescent="0.2">
      <c r="B221" s="110">
        <f t="shared" si="1"/>
        <v>2098</v>
      </c>
      <c r="C221" s="111">
        <f>[2]С2.5!$CE$11</f>
        <v>0</v>
      </c>
    </row>
    <row r="222" spans="2:3" hidden="1" x14ac:dyDescent="0.2">
      <c r="B222" s="110">
        <f t="shared" si="1"/>
        <v>2099</v>
      </c>
      <c r="C222" s="111">
        <f>[2]С2.5!$CF$11</f>
        <v>0</v>
      </c>
    </row>
    <row r="223" spans="2:3" ht="13.5" hidden="1" thickBot="1" x14ac:dyDescent="0.25">
      <c r="B223" s="112">
        <f t="shared" si="1"/>
        <v>2100</v>
      </c>
      <c r="C223" s="113">
        <f>[2]С2.5!$CG$11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[3]И1!D13</f>
        <v>Субъект Российской Федерации</v>
      </c>
      <c r="C4" s="10" t="str">
        <f>[3]И1!E13</f>
        <v>Новосибирская область</v>
      </c>
    </row>
    <row r="5" spans="1:3" ht="46.9" customHeight="1" x14ac:dyDescent="0.2">
      <c r="A5" s="8"/>
      <c r="B5" s="9" t="str">
        <f>[3]И1!D14</f>
        <v>Тип муниципального образования (выберите из списка)</v>
      </c>
      <c r="C5" s="10" t="str">
        <f>[3]И1!E14</f>
        <v xml:space="preserve">село Веселовское, Краснозерский муниципальный район </v>
      </c>
    </row>
    <row r="6" spans="1:3" x14ac:dyDescent="0.2">
      <c r="A6" s="8"/>
      <c r="B6" s="9" t="str">
        <f>IF([3]И1!E15="","",[3]И1!D15)</f>
        <v/>
      </c>
      <c r="C6" s="10" t="str">
        <f>IF([3]И1!E15="","",[3]И1!E15)</f>
        <v/>
      </c>
    </row>
    <row r="7" spans="1:3" x14ac:dyDescent="0.2">
      <c r="A7" s="8"/>
      <c r="B7" s="9" t="str">
        <f>[3]И1!D16</f>
        <v>Код ОКТМО</v>
      </c>
      <c r="C7" s="11" t="str">
        <f>[3]И1!E16</f>
        <v>(50627404101)</v>
      </c>
    </row>
    <row r="8" spans="1:3" x14ac:dyDescent="0.2">
      <c r="A8" s="8"/>
      <c r="B8" s="12" t="str">
        <f>[3]И1!D17</f>
        <v>Система теплоснабжения</v>
      </c>
      <c r="C8" s="13">
        <f>[3]И1!E17</f>
        <v>0</v>
      </c>
    </row>
    <row r="9" spans="1:3" x14ac:dyDescent="0.2">
      <c r="A9" s="8"/>
      <c r="B9" s="9" t="str">
        <f>[3]И1!D8</f>
        <v>Период регулирования (i)-й</v>
      </c>
      <c r="C9" s="14">
        <f>[3]И1!E8</f>
        <v>2025</v>
      </c>
    </row>
    <row r="10" spans="1:3" x14ac:dyDescent="0.2">
      <c r="A10" s="8"/>
      <c r="B10" s="9" t="str">
        <f>[3]И1!D9</f>
        <v>Период регулирования (i-1)-й</v>
      </c>
      <c r="C10" s="14">
        <f>[3]И1!E9</f>
        <v>2024</v>
      </c>
    </row>
    <row r="11" spans="1:3" x14ac:dyDescent="0.2">
      <c r="A11" s="8"/>
      <c r="B11" s="9" t="str">
        <f>[3]И1!D10</f>
        <v>Период регулирования (i-2)-й</v>
      </c>
      <c r="C11" s="14">
        <f>[3]И1!E10</f>
        <v>2023</v>
      </c>
    </row>
    <row r="12" spans="1:3" x14ac:dyDescent="0.2">
      <c r="A12" s="8"/>
      <c r="B12" s="9" t="str">
        <f>[3]И1!D11</f>
        <v>Базовый год (б)</v>
      </c>
      <c r="C12" s="14">
        <f>[3]И1!E11</f>
        <v>2019</v>
      </c>
    </row>
    <row r="13" spans="1:3" ht="38.25" x14ac:dyDescent="0.2">
      <c r="A13" s="8"/>
      <c r="B13" s="9" t="str">
        <f>[3]И1!D18</f>
        <v>Вид топлива, использование которого преобладает в системе теплоснабжения</v>
      </c>
      <c r="C13" s="15" t="str">
        <f>[3]С1.1!E13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5707.6556732158206</v>
      </c>
    </row>
    <row r="18" spans="1:3" ht="42.75" x14ac:dyDescent="0.2">
      <c r="A18" s="22" t="s">
        <v>8</v>
      </c>
      <c r="B18" s="25" t="s">
        <v>9</v>
      </c>
      <c r="C18" s="26">
        <f>[3]С1!F12</f>
        <v>1108.8810913919096</v>
      </c>
    </row>
    <row r="19" spans="1:3" ht="42.75" x14ac:dyDescent="0.2">
      <c r="A19" s="22" t="s">
        <v>10</v>
      </c>
      <c r="B19" s="25" t="s">
        <v>11</v>
      </c>
      <c r="C19" s="26">
        <f>[3]С2!F12</f>
        <v>3044.8315746726421</v>
      </c>
    </row>
    <row r="20" spans="1:3" ht="30" x14ac:dyDescent="0.2">
      <c r="A20" s="22" t="s">
        <v>12</v>
      </c>
      <c r="B20" s="25" t="s">
        <v>13</v>
      </c>
      <c r="C20" s="26">
        <f>[3]С3!F12</f>
        <v>911.5178018038722</v>
      </c>
    </row>
    <row r="21" spans="1:3" ht="42.75" x14ac:dyDescent="0.2">
      <c r="A21" s="22" t="s">
        <v>14</v>
      </c>
      <c r="B21" s="25" t="s">
        <v>15</v>
      </c>
      <c r="C21" s="26">
        <f>[3]С4!F12</f>
        <v>530.51038822551845</v>
      </c>
    </row>
    <row r="22" spans="1:3" ht="30" x14ac:dyDescent="0.2">
      <c r="A22" s="22" t="s">
        <v>16</v>
      </c>
      <c r="B22" s="25" t="s">
        <v>17</v>
      </c>
      <c r="C22" s="26">
        <f>[3]С5!F12</f>
        <v>111.91481712187884</v>
      </c>
    </row>
    <row r="23" spans="1:3" ht="43.5" thickBot="1" x14ac:dyDescent="0.25">
      <c r="A23" s="27" t="s">
        <v>18</v>
      </c>
      <c r="B23" s="117" t="s">
        <v>19</v>
      </c>
      <c r="C23" s="28" t="str">
        <f>[3]С6!F12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[3]С1.1!E16</f>
        <v>5100</v>
      </c>
    </row>
    <row r="29" spans="1:3" ht="42.75" x14ac:dyDescent="0.2">
      <c r="A29" s="22" t="s">
        <v>10</v>
      </c>
      <c r="B29" s="33" t="s">
        <v>22</v>
      </c>
      <c r="C29" s="34">
        <f>[3]С1.1!E27</f>
        <v>4000.0166666666673</v>
      </c>
    </row>
    <row r="30" spans="1:3" ht="17.25" x14ac:dyDescent="0.2">
      <c r="A30" s="22" t="s">
        <v>12</v>
      </c>
      <c r="B30" s="33" t="s">
        <v>23</v>
      </c>
      <c r="C30" s="35">
        <f>[3]С1.1!E19</f>
        <v>1.4E-2</v>
      </c>
    </row>
    <row r="31" spans="1:3" ht="17.25" x14ac:dyDescent="0.2">
      <c r="A31" s="22" t="s">
        <v>14</v>
      </c>
      <c r="B31" s="33" t="s">
        <v>24</v>
      </c>
      <c r="C31" s="35">
        <f>[3]С1.1!E20</f>
        <v>0.04</v>
      </c>
    </row>
    <row r="32" spans="1:3" ht="30" x14ac:dyDescent="0.2">
      <c r="A32" s="22" t="s">
        <v>16</v>
      </c>
      <c r="B32" s="36" t="s">
        <v>25</v>
      </c>
      <c r="C32" s="37">
        <f>[3]С1!F13</f>
        <v>176.4</v>
      </c>
    </row>
    <row r="33" spans="1:3" x14ac:dyDescent="0.2">
      <c r="A33" s="22" t="s">
        <v>18</v>
      </c>
      <c r="B33" s="36" t="s">
        <v>26</v>
      </c>
      <c r="C33" s="38">
        <f>[3]С1!F16</f>
        <v>7000</v>
      </c>
    </row>
    <row r="34" spans="1:3" ht="14.25" x14ac:dyDescent="0.2">
      <c r="A34" s="22" t="s">
        <v>27</v>
      </c>
      <c r="B34" s="39" t="s">
        <v>28</v>
      </c>
      <c r="C34" s="40">
        <f>[3]С1!F17</f>
        <v>0.72857142857142854</v>
      </c>
    </row>
    <row r="35" spans="1:3" ht="15.75" x14ac:dyDescent="0.2">
      <c r="A35" s="41" t="s">
        <v>29</v>
      </c>
      <c r="B35" s="42" t="s">
        <v>30</v>
      </c>
      <c r="C35" s="40">
        <f>[3]С1!F20</f>
        <v>21.588411179999994</v>
      </c>
    </row>
    <row r="36" spans="1:3" ht="15.75" x14ac:dyDescent="0.2">
      <c r="A36" s="41" t="s">
        <v>31</v>
      </c>
      <c r="B36" s="43" t="s">
        <v>32</v>
      </c>
      <c r="C36" s="40">
        <f>[3]С1!F21</f>
        <v>20.818139999999996</v>
      </c>
    </row>
    <row r="37" spans="1:3" ht="14.25" x14ac:dyDescent="0.2">
      <c r="A37" s="41" t="s">
        <v>33</v>
      </c>
      <c r="B37" s="44" t="s">
        <v>34</v>
      </c>
      <c r="C37" s="40">
        <f>[3]С1!F22</f>
        <v>1.0369999999999999</v>
      </c>
    </row>
    <row r="38" spans="1:3" ht="53.25" thickBot="1" x14ac:dyDescent="0.25">
      <c r="A38" s="27" t="s">
        <v>35</v>
      </c>
      <c r="B38" s="45" t="s">
        <v>36</v>
      </c>
      <c r="C38" s="46">
        <f>[3]С1!F23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[3]С2.1!E12</f>
        <v>V</v>
      </c>
    </row>
    <row r="42" spans="1:3" ht="25.5" x14ac:dyDescent="0.2">
      <c r="A42" s="22" t="s">
        <v>41</v>
      </c>
      <c r="B42" s="33" t="s">
        <v>42</v>
      </c>
      <c r="C42" s="51" t="str">
        <f>[3]С2.1!E13</f>
        <v>6 и менее баллов</v>
      </c>
    </row>
    <row r="43" spans="1:3" ht="25.5" x14ac:dyDescent="0.2">
      <c r="A43" s="22" t="s">
        <v>43</v>
      </c>
      <c r="B43" s="33" t="s">
        <v>44</v>
      </c>
      <c r="C43" s="51" t="str">
        <f>[3]С2.1!E14</f>
        <v>от 200 до 500</v>
      </c>
    </row>
    <row r="44" spans="1:3" ht="25.5" x14ac:dyDescent="0.2">
      <c r="A44" s="22" t="s">
        <v>45</v>
      </c>
      <c r="B44" s="33" t="s">
        <v>46</v>
      </c>
      <c r="C44" s="52" t="str">
        <f>[3]С2.1!E15</f>
        <v>нет</v>
      </c>
    </row>
    <row r="45" spans="1:3" ht="30" x14ac:dyDescent="0.2">
      <c r="A45" s="22" t="s">
        <v>47</v>
      </c>
      <c r="B45" s="33" t="s">
        <v>48</v>
      </c>
      <c r="C45" s="34">
        <f>[3]С2!F18</f>
        <v>38910.02669467502</v>
      </c>
    </row>
    <row r="46" spans="1:3" ht="30" x14ac:dyDescent="0.2">
      <c r="A46" s="22" t="s">
        <v>49</v>
      </c>
      <c r="B46" s="53" t="s">
        <v>50</v>
      </c>
      <c r="C46" s="34">
        <f>IF([3]С2!F19&gt;0,[3]С2!F19,[3]С2!F20)</f>
        <v>23441.524932855718</v>
      </c>
    </row>
    <row r="47" spans="1:3" ht="25.5" x14ac:dyDescent="0.2">
      <c r="A47" s="22" t="s">
        <v>51</v>
      </c>
      <c r="B47" s="54" t="s">
        <v>52</v>
      </c>
      <c r="C47" s="34">
        <f>[3]С2.1!E19</f>
        <v>-38</v>
      </c>
    </row>
    <row r="48" spans="1:3" ht="25.5" x14ac:dyDescent="0.2">
      <c r="A48" s="22" t="s">
        <v>53</v>
      </c>
      <c r="B48" s="54" t="s">
        <v>54</v>
      </c>
      <c r="C48" s="34" t="str">
        <f>[3]С2.1!E22</f>
        <v>нет</v>
      </c>
    </row>
    <row r="49" spans="1:3" ht="38.25" x14ac:dyDescent="0.2">
      <c r="A49" s="22" t="s">
        <v>55</v>
      </c>
      <c r="B49" s="55" t="s">
        <v>56</v>
      </c>
      <c r="C49" s="34">
        <f>[3]С2.2!E10</f>
        <v>1287</v>
      </c>
    </row>
    <row r="50" spans="1:3" ht="25.5" x14ac:dyDescent="0.2">
      <c r="A50" s="22" t="s">
        <v>57</v>
      </c>
      <c r="B50" s="56" t="s">
        <v>58</v>
      </c>
      <c r="C50" s="34">
        <f>[3]С2.2!E12</f>
        <v>5.97</v>
      </c>
    </row>
    <row r="51" spans="1:3" ht="52.5" x14ac:dyDescent="0.2">
      <c r="A51" s="22" t="s">
        <v>59</v>
      </c>
      <c r="B51" s="57" t="s">
        <v>60</v>
      </c>
      <c r="C51" s="34">
        <f>[3]С2.2!E13</f>
        <v>1</v>
      </c>
    </row>
    <row r="52" spans="1:3" ht="27.75" x14ac:dyDescent="0.2">
      <c r="A52" s="22" t="s">
        <v>61</v>
      </c>
      <c r="B52" s="56" t="s">
        <v>62</v>
      </c>
      <c r="C52" s="34">
        <f>[3]С2.2!E14</f>
        <v>12104</v>
      </c>
    </row>
    <row r="53" spans="1:3" ht="25.5" x14ac:dyDescent="0.2">
      <c r="A53" s="22" t="s">
        <v>63</v>
      </c>
      <c r="B53" s="57" t="s">
        <v>64</v>
      </c>
      <c r="C53" s="35">
        <f>[3]С2.2!E15</f>
        <v>4.8000000000000001E-2</v>
      </c>
    </row>
    <row r="54" spans="1:3" x14ac:dyDescent="0.2">
      <c r="A54" s="22" t="s">
        <v>65</v>
      </c>
      <c r="B54" s="57" t="s">
        <v>66</v>
      </c>
      <c r="C54" s="34">
        <f>[3]С2.2!E16</f>
        <v>1</v>
      </c>
    </row>
    <row r="55" spans="1:3" ht="15.75" x14ac:dyDescent="0.2">
      <c r="A55" s="22" t="s">
        <v>67</v>
      </c>
      <c r="B55" s="58" t="s">
        <v>68</v>
      </c>
      <c r="C55" s="34">
        <f>[3]С2!F21</f>
        <v>1</v>
      </c>
    </row>
    <row r="56" spans="1:3" ht="30" x14ac:dyDescent="0.2">
      <c r="A56" s="59" t="s">
        <v>69</v>
      </c>
      <c r="B56" s="33" t="s">
        <v>70</v>
      </c>
      <c r="C56" s="34">
        <f>[3]С2!F13</f>
        <v>203708.97017230222</v>
      </c>
    </row>
    <row r="57" spans="1:3" ht="30" x14ac:dyDescent="0.2">
      <c r="A57" s="59" t="s">
        <v>71</v>
      </c>
      <c r="B57" s="58" t="s">
        <v>72</v>
      </c>
      <c r="C57" s="34">
        <f>[3]С2!F14</f>
        <v>113455</v>
      </c>
    </row>
    <row r="58" spans="1:3" ht="15.75" x14ac:dyDescent="0.2">
      <c r="A58" s="59" t="s">
        <v>73</v>
      </c>
      <c r="B58" s="60" t="s">
        <v>74</v>
      </c>
      <c r="C58" s="40">
        <f>[3]С2!F15</f>
        <v>1.071</v>
      </c>
    </row>
    <row r="59" spans="1:3" ht="15.75" x14ac:dyDescent="0.2">
      <c r="A59" s="59" t="s">
        <v>75</v>
      </c>
      <c r="B59" s="60" t="s">
        <v>76</v>
      </c>
      <c r="C59" s="40">
        <f>[3]С2!F16</f>
        <v>1</v>
      </c>
    </row>
    <row r="60" spans="1:3" ht="17.25" x14ac:dyDescent="0.2">
      <c r="A60" s="59" t="s">
        <v>77</v>
      </c>
      <c r="B60" s="58" t="s">
        <v>78</v>
      </c>
      <c r="C60" s="34">
        <f>[3]С2!F17</f>
        <v>1.01</v>
      </c>
    </row>
    <row r="61" spans="1:3" s="63" customFormat="1" ht="14.25" x14ac:dyDescent="0.2">
      <c r="A61" s="59" t="s">
        <v>79</v>
      </c>
      <c r="B61" s="61" t="s">
        <v>80</v>
      </c>
      <c r="C61" s="62">
        <f>[3]С2!F33</f>
        <v>10</v>
      </c>
    </row>
    <row r="62" spans="1:3" ht="30" x14ac:dyDescent="0.2">
      <c r="A62" s="59" t="s">
        <v>81</v>
      </c>
      <c r="B62" s="64" t="s">
        <v>82</v>
      </c>
      <c r="C62" s="34">
        <f>[3]С2!F26</f>
        <v>1349.309862285194</v>
      </c>
    </row>
    <row r="63" spans="1:3" ht="17.25" x14ac:dyDescent="0.2">
      <c r="A63" s="59" t="s">
        <v>83</v>
      </c>
      <c r="B63" s="53" t="s">
        <v>84</v>
      </c>
      <c r="C63" s="34">
        <f>[3]С2!F27</f>
        <v>0.19354712999999998</v>
      </c>
    </row>
    <row r="64" spans="1:3" ht="17.25" x14ac:dyDescent="0.2">
      <c r="A64" s="59" t="s">
        <v>85</v>
      </c>
      <c r="B64" s="58" t="s">
        <v>86</v>
      </c>
      <c r="C64" s="62">
        <f>[3]С2!F28</f>
        <v>4200</v>
      </c>
    </row>
    <row r="65" spans="1:3" ht="42.75" x14ac:dyDescent="0.2">
      <c r="A65" s="59" t="s">
        <v>87</v>
      </c>
      <c r="B65" s="33" t="s">
        <v>88</v>
      </c>
      <c r="C65" s="34">
        <f>[3]С2!F22</f>
        <v>42890.921752741691</v>
      </c>
    </row>
    <row r="66" spans="1:3" ht="30" x14ac:dyDescent="0.2">
      <c r="A66" s="59" t="s">
        <v>89</v>
      </c>
      <c r="B66" s="60" t="s">
        <v>90</v>
      </c>
      <c r="C66" s="34">
        <f>[3]С2!F23</f>
        <v>1990</v>
      </c>
    </row>
    <row r="67" spans="1:3" ht="30" x14ac:dyDescent="0.2">
      <c r="A67" s="59" t="s">
        <v>91</v>
      </c>
      <c r="B67" s="53" t="s">
        <v>92</v>
      </c>
      <c r="C67" s="34">
        <f>[3]С2.1!E27</f>
        <v>14307.876789999998</v>
      </c>
    </row>
    <row r="68" spans="1:3" ht="38.25" x14ac:dyDescent="0.2">
      <c r="A68" s="59" t="s">
        <v>93</v>
      </c>
      <c r="B68" s="65" t="s">
        <v>94</v>
      </c>
      <c r="C68" s="52">
        <f>[3]С2.3!E21</f>
        <v>0</v>
      </c>
    </row>
    <row r="69" spans="1:3" ht="25.5" x14ac:dyDescent="0.2">
      <c r="A69" s="59" t="s">
        <v>95</v>
      </c>
      <c r="B69" s="66" t="s">
        <v>96</v>
      </c>
      <c r="C69" s="67">
        <f>[3]С2.3!E11</f>
        <v>9.89</v>
      </c>
    </row>
    <row r="70" spans="1:3" ht="25.5" x14ac:dyDescent="0.2">
      <c r="A70" s="59" t="s">
        <v>97</v>
      </c>
      <c r="B70" s="66" t="s">
        <v>98</v>
      </c>
      <c r="C70" s="62">
        <f>[3]С2.3!E13</f>
        <v>300</v>
      </c>
    </row>
    <row r="71" spans="1:3" ht="25.5" x14ac:dyDescent="0.2">
      <c r="A71" s="59" t="s">
        <v>99</v>
      </c>
      <c r="B71" s="65" t="s">
        <v>100</v>
      </c>
      <c r="C71" s="68">
        <f>IF([3]С2.3!E22&gt;0,[3]С2.3!E22,[3]С2.3!E14)</f>
        <v>61211</v>
      </c>
    </row>
    <row r="72" spans="1:3" ht="38.25" x14ac:dyDescent="0.2">
      <c r="A72" s="59" t="s">
        <v>101</v>
      </c>
      <c r="B72" s="65" t="s">
        <v>102</v>
      </c>
      <c r="C72" s="68">
        <f>IF([3]С2.3!E23&gt;0,[3]С2.3!E23,[3]С2.3!E15)</f>
        <v>45675</v>
      </c>
    </row>
    <row r="73" spans="1:3" ht="30" x14ac:dyDescent="0.2">
      <c r="A73" s="59" t="s">
        <v>103</v>
      </c>
      <c r="B73" s="53" t="s">
        <v>104</v>
      </c>
      <c r="C73" s="34">
        <f>[3]С2.1!E28</f>
        <v>9541.9567200000001</v>
      </c>
    </row>
    <row r="74" spans="1:3" ht="38.25" x14ac:dyDescent="0.2">
      <c r="A74" s="59" t="s">
        <v>105</v>
      </c>
      <c r="B74" s="65" t="s">
        <v>106</v>
      </c>
      <c r="C74" s="52">
        <f>[3]С2.3!E25</f>
        <v>0</v>
      </c>
    </row>
    <row r="75" spans="1:3" ht="25.5" x14ac:dyDescent="0.2">
      <c r="A75" s="59" t="s">
        <v>107</v>
      </c>
      <c r="B75" s="66" t="s">
        <v>108</v>
      </c>
      <c r="C75" s="67">
        <f>[3]С2.3!E12</f>
        <v>0.56000000000000005</v>
      </c>
    </row>
    <row r="76" spans="1:3" ht="25.5" x14ac:dyDescent="0.2">
      <c r="A76" s="59" t="s">
        <v>109</v>
      </c>
      <c r="B76" s="66" t="s">
        <v>98</v>
      </c>
      <c r="C76" s="62">
        <f>[3]С2.3!E13</f>
        <v>300</v>
      </c>
    </row>
    <row r="77" spans="1:3" ht="25.5" x14ac:dyDescent="0.2">
      <c r="A77" s="59" t="s">
        <v>110</v>
      </c>
      <c r="B77" s="69" t="s">
        <v>111</v>
      </c>
      <c r="C77" s="68">
        <f>IF([3]С2.3!E26&gt;0,[3]С2.3!E26,[3]С2.3!E16)</f>
        <v>65637</v>
      </c>
    </row>
    <row r="78" spans="1:3" ht="38.25" x14ac:dyDescent="0.2">
      <c r="A78" s="59" t="s">
        <v>112</v>
      </c>
      <c r="B78" s="69" t="s">
        <v>113</v>
      </c>
      <c r="C78" s="68">
        <f>IF([3]С2.3!E27&gt;0,[3]С2.3!E27,[3]С2.3!E17)</f>
        <v>31684</v>
      </c>
    </row>
    <row r="79" spans="1:3" ht="17.25" x14ac:dyDescent="0.2">
      <c r="A79" s="59" t="s">
        <v>114</v>
      </c>
      <c r="B79" s="33" t="s">
        <v>115</v>
      </c>
      <c r="C79" s="35">
        <f>[3]С2!F29</f>
        <v>0.17804631770487722</v>
      </c>
    </row>
    <row r="80" spans="1:3" ht="30" x14ac:dyDescent="0.2">
      <c r="A80" s="59" t="s">
        <v>116</v>
      </c>
      <c r="B80" s="53" t="s">
        <v>117</v>
      </c>
      <c r="C80" s="70">
        <f>[3]С2!F30</f>
        <v>0.1652189781021898</v>
      </c>
    </row>
    <row r="81" spans="1:3" ht="17.25" x14ac:dyDescent="0.2">
      <c r="A81" s="59" t="s">
        <v>118</v>
      </c>
      <c r="B81" s="71" t="s">
        <v>119</v>
      </c>
      <c r="C81" s="35">
        <f>[3]С2!F31</f>
        <v>0.13880000000000001</v>
      </c>
    </row>
    <row r="82" spans="1:3" s="63" customFormat="1" ht="18" thickBot="1" x14ac:dyDescent="0.25">
      <c r="A82" s="72" t="s">
        <v>120</v>
      </c>
      <c r="B82" s="73" t="s">
        <v>121</v>
      </c>
      <c r="C82" s="74">
        <f>[3]С2!F32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[3]С3!F14</f>
        <v>14784.578474435859</v>
      </c>
    </row>
    <row r="86" spans="1:3" s="63" customFormat="1" ht="42.75" x14ac:dyDescent="0.2">
      <c r="A86" s="77" t="s">
        <v>126</v>
      </c>
      <c r="B86" s="53" t="s">
        <v>127</v>
      </c>
      <c r="C86" s="78">
        <f>[3]С3!F15</f>
        <v>0.25</v>
      </c>
    </row>
    <row r="87" spans="1:3" s="63" customFormat="1" ht="14.25" x14ac:dyDescent="0.2">
      <c r="A87" s="77" t="s">
        <v>128</v>
      </c>
      <c r="B87" s="79" t="s">
        <v>129</v>
      </c>
      <c r="C87" s="62">
        <f>[3]С3!F18</f>
        <v>15</v>
      </c>
    </row>
    <row r="88" spans="1:3" s="63" customFormat="1" ht="17.25" x14ac:dyDescent="0.2">
      <c r="A88" s="77" t="s">
        <v>130</v>
      </c>
      <c r="B88" s="33" t="s">
        <v>131</v>
      </c>
      <c r="C88" s="34">
        <f>[3]С3!F19</f>
        <v>4187.478806422544</v>
      </c>
    </row>
    <row r="89" spans="1:3" s="63" customFormat="1" ht="55.5" x14ac:dyDescent="0.2">
      <c r="A89" s="77" t="s">
        <v>132</v>
      </c>
      <c r="B89" s="53" t="s">
        <v>133</v>
      </c>
      <c r="C89" s="80">
        <f>[3]С3!F20</f>
        <v>2.1999999999999999E-2</v>
      </c>
    </row>
    <row r="90" spans="1:3" s="63" customFormat="1" ht="14.25" x14ac:dyDescent="0.2">
      <c r="A90" s="77" t="s">
        <v>134</v>
      </c>
      <c r="B90" s="58" t="s">
        <v>80</v>
      </c>
      <c r="C90" s="62">
        <f>[3]С3!F21</f>
        <v>10</v>
      </c>
    </row>
    <row r="91" spans="1:3" s="63" customFormat="1" ht="17.25" x14ac:dyDescent="0.2">
      <c r="A91" s="77" t="s">
        <v>135</v>
      </c>
      <c r="B91" s="33" t="s">
        <v>136</v>
      </c>
      <c r="C91" s="34">
        <f>[3]С3!F22</f>
        <v>4.0479295868555818</v>
      </c>
    </row>
    <row r="92" spans="1:3" s="63" customFormat="1" ht="55.5" x14ac:dyDescent="0.2">
      <c r="A92" s="77" t="s">
        <v>137</v>
      </c>
      <c r="B92" s="53" t="s">
        <v>138</v>
      </c>
      <c r="C92" s="80">
        <f>[3]С3!F23</f>
        <v>3.0000000000000001E-3</v>
      </c>
    </row>
    <row r="93" spans="1:3" s="63" customFormat="1" ht="27.75" thickBot="1" x14ac:dyDescent="0.25">
      <c r="A93" s="81" t="s">
        <v>139</v>
      </c>
      <c r="B93" s="82" t="s">
        <v>140</v>
      </c>
      <c r="C93" s="83">
        <f>[3]С3!F24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[3]С4!F16</f>
        <v>1652.5</v>
      </c>
    </row>
    <row r="97" spans="1:3" ht="30" x14ac:dyDescent="0.2">
      <c r="A97" s="59" t="s">
        <v>145</v>
      </c>
      <c r="B97" s="58" t="s">
        <v>146</v>
      </c>
      <c r="C97" s="34">
        <f>[3]С4!F17</f>
        <v>73547</v>
      </c>
    </row>
    <row r="98" spans="1:3" ht="17.25" x14ac:dyDescent="0.2">
      <c r="A98" s="59" t="s">
        <v>147</v>
      </c>
      <c r="B98" s="58" t="s">
        <v>148</v>
      </c>
      <c r="C98" s="40">
        <f>[3]С4!F18</f>
        <v>0.02</v>
      </c>
    </row>
    <row r="99" spans="1:3" ht="30" x14ac:dyDescent="0.2">
      <c r="A99" s="59" t="s">
        <v>149</v>
      </c>
      <c r="B99" s="58" t="s">
        <v>150</v>
      </c>
      <c r="C99" s="34">
        <f>[3]С4!F19</f>
        <v>12104</v>
      </c>
    </row>
    <row r="100" spans="1:3" ht="31.5" x14ac:dyDescent="0.2">
      <c r="A100" s="59" t="s">
        <v>151</v>
      </c>
      <c r="B100" s="58" t="s">
        <v>152</v>
      </c>
      <c r="C100" s="40">
        <f>[3]С4!F20</f>
        <v>1.4999999999999999E-2</v>
      </c>
    </row>
    <row r="101" spans="1:3" ht="30" x14ac:dyDescent="0.2">
      <c r="A101" s="59" t="s">
        <v>153</v>
      </c>
      <c r="B101" s="33" t="s">
        <v>154</v>
      </c>
      <c r="C101" s="34">
        <f>[3]С4!F21</f>
        <v>1933.1949342509995</v>
      </c>
    </row>
    <row r="102" spans="1:3" ht="24" customHeight="1" x14ac:dyDescent="0.2">
      <c r="A102" s="59" t="s">
        <v>155</v>
      </c>
      <c r="B102" s="53" t="s">
        <v>156</v>
      </c>
      <c r="C102" s="85">
        <f>IF([3]С4.2!F8="да",[3]С4.2!D21,[3]С4.2!D15)</f>
        <v>0</v>
      </c>
    </row>
    <row r="103" spans="1:3" ht="68.25" x14ac:dyDescent="0.2">
      <c r="A103" s="59" t="s">
        <v>157</v>
      </c>
      <c r="B103" s="53" t="s">
        <v>158</v>
      </c>
      <c r="C103" s="34">
        <f>[3]С4!F22</f>
        <v>3.6112641666666665</v>
      </c>
    </row>
    <row r="104" spans="1:3" ht="30" x14ac:dyDescent="0.2">
      <c r="A104" s="59" t="s">
        <v>159</v>
      </c>
      <c r="B104" s="58" t="s">
        <v>160</v>
      </c>
      <c r="C104" s="34">
        <f>[3]С4!F23</f>
        <v>180</v>
      </c>
    </row>
    <row r="105" spans="1:3" ht="14.25" x14ac:dyDescent="0.2">
      <c r="A105" s="59" t="s">
        <v>161</v>
      </c>
      <c r="B105" s="53" t="s">
        <v>162</v>
      </c>
      <c r="C105" s="34">
        <f>[3]С4!F24</f>
        <v>8497.1999999999989</v>
      </c>
    </row>
    <row r="106" spans="1:3" ht="14.25" x14ac:dyDescent="0.2">
      <c r="A106" s="59" t="s">
        <v>163</v>
      </c>
      <c r="B106" s="58" t="s">
        <v>164</v>
      </c>
      <c r="C106" s="40">
        <f>[3]С4!F25</f>
        <v>0.35</v>
      </c>
    </row>
    <row r="107" spans="1:3" ht="17.25" x14ac:dyDescent="0.2">
      <c r="A107" s="59" t="s">
        <v>165</v>
      </c>
      <c r="B107" s="33" t="s">
        <v>166</v>
      </c>
      <c r="C107" s="34">
        <f>[3]С4!F26</f>
        <v>70.546824999999998</v>
      </c>
    </row>
    <row r="108" spans="1:3" ht="25.5" x14ac:dyDescent="0.2">
      <c r="A108" s="59" t="s">
        <v>167</v>
      </c>
      <c r="B108" s="53" t="s">
        <v>94</v>
      </c>
      <c r="C108" s="85">
        <f>[3]С4.3!E16</f>
        <v>0</v>
      </c>
    </row>
    <row r="109" spans="1:3" ht="25.5" x14ac:dyDescent="0.2">
      <c r="A109" s="59" t="s">
        <v>168</v>
      </c>
      <c r="B109" s="53" t="s">
        <v>169</v>
      </c>
      <c r="C109" s="34">
        <f>[3]С4.3!E17</f>
        <v>19.141666666666666</v>
      </c>
    </row>
    <row r="110" spans="1:3" ht="38.25" x14ac:dyDescent="0.2">
      <c r="A110" s="59" t="s">
        <v>170</v>
      </c>
      <c r="B110" s="53" t="s">
        <v>106</v>
      </c>
      <c r="C110" s="85">
        <f>[3]С4.3!E18</f>
        <v>0</v>
      </c>
    </row>
    <row r="111" spans="1:3" x14ac:dyDescent="0.2">
      <c r="A111" s="59" t="s">
        <v>171</v>
      </c>
      <c r="B111" s="53" t="s">
        <v>172</v>
      </c>
      <c r="C111" s="34">
        <f>[3]С4.3!E19</f>
        <v>16.75</v>
      </c>
    </row>
    <row r="112" spans="1:3" x14ac:dyDescent="0.2">
      <c r="A112" s="59" t="s">
        <v>173</v>
      </c>
      <c r="B112" s="58" t="s">
        <v>174</v>
      </c>
      <c r="C112" s="34">
        <f>[3]С4.3!E11</f>
        <v>1871</v>
      </c>
    </row>
    <row r="113" spans="1:3" x14ac:dyDescent="0.2">
      <c r="A113" s="59" t="s">
        <v>175</v>
      </c>
      <c r="B113" s="58" t="s">
        <v>176</v>
      </c>
      <c r="C113" s="52">
        <f>[3]С4.3!E12</f>
        <v>1636</v>
      </c>
    </row>
    <row r="114" spans="1:3" x14ac:dyDescent="0.2">
      <c r="A114" s="59" t="s">
        <v>177</v>
      </c>
      <c r="B114" s="58" t="s">
        <v>178</v>
      </c>
      <c r="C114" s="52">
        <f>[3]С4.3!E13</f>
        <v>204</v>
      </c>
    </row>
    <row r="115" spans="1:3" ht="30" x14ac:dyDescent="0.2">
      <c r="A115" s="59" t="s">
        <v>179</v>
      </c>
      <c r="B115" s="33" t="s">
        <v>180</v>
      </c>
      <c r="C115" s="34">
        <f>[3]С4!F27</f>
        <v>1291.2863994686898</v>
      </c>
    </row>
    <row r="116" spans="1:3" ht="25.5" x14ac:dyDescent="0.2">
      <c r="A116" s="59" t="s">
        <v>181</v>
      </c>
      <c r="B116" s="53" t="s">
        <v>182</v>
      </c>
      <c r="C116" s="34">
        <f>[3]С4!F28</f>
        <v>991.77142816335618</v>
      </c>
    </row>
    <row r="117" spans="1:3" ht="42.75" x14ac:dyDescent="0.2">
      <c r="A117" s="59" t="s">
        <v>183</v>
      </c>
      <c r="B117" s="53" t="s">
        <v>184</v>
      </c>
      <c r="C117" s="34">
        <f>[3]С4!F29</f>
        <v>299.51497130533357</v>
      </c>
    </row>
    <row r="118" spans="1:3" ht="30" x14ac:dyDescent="0.2">
      <c r="A118" s="59" t="s">
        <v>185</v>
      </c>
      <c r="B118" s="39" t="s">
        <v>186</v>
      </c>
      <c r="C118" s="34">
        <f>[3]С4!F30</f>
        <v>2831.9558497776643</v>
      </c>
    </row>
    <row r="119" spans="1:3" ht="42.75" x14ac:dyDescent="0.2">
      <c r="A119" s="59" t="s">
        <v>187</v>
      </c>
      <c r="B119" s="86" t="s">
        <v>188</v>
      </c>
      <c r="C119" s="34">
        <f>[3]С4!F33</f>
        <v>1632.9796072764698</v>
      </c>
    </row>
    <row r="120" spans="1:3" ht="30" x14ac:dyDescent="0.2">
      <c r="A120" s="59" t="s">
        <v>189</v>
      </c>
      <c r="B120" s="87" t="s">
        <v>190</v>
      </c>
      <c r="C120" s="34">
        <f>[3]С4!F35</f>
        <v>17.040680999999999</v>
      </c>
    </row>
    <row r="121" spans="1:3" ht="14.25" x14ac:dyDescent="0.2">
      <c r="A121" s="59" t="s">
        <v>191</v>
      </c>
      <c r="B121" s="56" t="s">
        <v>192</v>
      </c>
      <c r="C121" s="34">
        <f>[3]С4!F36</f>
        <v>14319.9</v>
      </c>
    </row>
    <row r="122" spans="1:3" ht="28.5" thickBot="1" x14ac:dyDescent="0.25">
      <c r="A122" s="72" t="s">
        <v>193</v>
      </c>
      <c r="B122" s="88" t="s">
        <v>194</v>
      </c>
      <c r="C122" s="83">
        <f>[3]С4!F37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[3]С5!F17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[3]С2!F37</f>
        <v>20.818139999999996</v>
      </c>
    </row>
    <row r="136" spans="1:3" ht="14.25" x14ac:dyDescent="0.2">
      <c r="A136" s="59" t="s">
        <v>216</v>
      </c>
      <c r="B136" s="101" t="s">
        <v>217</v>
      </c>
      <c r="C136" s="34">
        <f>[3]С2!F38</f>
        <v>7</v>
      </c>
    </row>
    <row r="137" spans="1:3" ht="17.25" x14ac:dyDescent="0.2">
      <c r="A137" s="59" t="s">
        <v>218</v>
      </c>
      <c r="B137" s="101" t="s">
        <v>219</v>
      </c>
      <c r="C137" s="34">
        <f>[3]С2!F40</f>
        <v>0.97</v>
      </c>
    </row>
    <row r="138" spans="1:3" ht="15" thickBot="1" x14ac:dyDescent="0.25">
      <c r="A138" s="72" t="s">
        <v>220</v>
      </c>
      <c r="B138" s="102" t="s">
        <v>221</v>
      </c>
      <c r="C138" s="46">
        <f>[3]С2!F42</f>
        <v>0.35</v>
      </c>
    </row>
    <row r="139" spans="1:3" s="89" customFormat="1" ht="13.5" thickBot="1" x14ac:dyDescent="0.25">
      <c r="A139" s="47"/>
      <c r="B139" s="75"/>
      <c r="C139" s="15"/>
    </row>
    <row r="140" spans="1:3" ht="30" x14ac:dyDescent="0.2">
      <c r="A140" s="84" t="s">
        <v>222</v>
      </c>
      <c r="B140" s="103" t="s">
        <v>223</v>
      </c>
      <c r="C140" s="104">
        <f>[3]С2!F35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[3]С2.5!$E$11</f>
        <v>-2.9000000000000026E-2</v>
      </c>
    </row>
    <row r="144" spans="1:3" x14ac:dyDescent="0.2">
      <c r="A144" s="105"/>
      <c r="B144" s="110">
        <f>B143+1</f>
        <v>2021</v>
      </c>
      <c r="C144" s="111">
        <f>[3]С2.5!$F$11</f>
        <v>0.245</v>
      </c>
    </row>
    <row r="145" spans="1:3" x14ac:dyDescent="0.2">
      <c r="A145" s="105"/>
      <c r="B145" s="110">
        <f t="shared" ref="B145:B208" si="0">B144+1</f>
        <v>2022</v>
      </c>
      <c r="C145" s="111">
        <f>[3]С2.5!$G$11</f>
        <v>0.114</v>
      </c>
    </row>
    <row r="146" spans="1:3" ht="13.5" thickBot="1" x14ac:dyDescent="0.25">
      <c r="A146" s="105"/>
      <c r="B146" s="112">
        <f t="shared" si="0"/>
        <v>2023</v>
      </c>
      <c r="C146" s="113">
        <f>[3]С2.5!$H$11</f>
        <v>0.04</v>
      </c>
    </row>
    <row r="147" spans="1:3" x14ac:dyDescent="0.2">
      <c r="A147" s="105"/>
      <c r="B147" s="114">
        <f t="shared" si="0"/>
        <v>2024</v>
      </c>
      <c r="C147" s="115">
        <f>[3]С2.5!$I$11</f>
        <v>0.11700000000000001</v>
      </c>
    </row>
    <row r="148" spans="1:3" x14ac:dyDescent="0.2">
      <c r="A148" s="105"/>
      <c r="B148" s="110">
        <f t="shared" si="0"/>
        <v>2025</v>
      </c>
      <c r="C148" s="111">
        <f>[3]С2.5!$J$11</f>
        <v>6.0999999999999999E-2</v>
      </c>
    </row>
    <row r="149" spans="1:3" hidden="1" x14ac:dyDescent="0.2">
      <c r="A149" s="105"/>
      <c r="B149" s="110">
        <f t="shared" si="0"/>
        <v>2026</v>
      </c>
      <c r="C149" s="111">
        <f>[3]С2.5!$K$11</f>
        <v>3.5813361771260002E-2</v>
      </c>
    </row>
    <row r="150" spans="1:3" hidden="1" x14ac:dyDescent="0.2">
      <c r="A150" s="105"/>
      <c r="B150" s="110">
        <f t="shared" si="0"/>
        <v>2027</v>
      </c>
      <c r="C150" s="111">
        <f>[3]С2.5!$L$11</f>
        <v>3.2682303599220003E-2</v>
      </c>
    </row>
    <row r="151" spans="1:3" hidden="1" x14ac:dyDescent="0.2">
      <c r="A151" s="105"/>
      <c r="B151" s="110">
        <f t="shared" si="0"/>
        <v>2028</v>
      </c>
      <c r="C151" s="111">
        <f>[3]С2.5!$M$11</f>
        <v>0</v>
      </c>
    </row>
    <row r="152" spans="1:3" hidden="1" x14ac:dyDescent="0.2">
      <c r="A152" s="105"/>
      <c r="B152" s="110">
        <f t="shared" si="0"/>
        <v>2029</v>
      </c>
      <c r="C152" s="111">
        <f>[3]С2.5!$N$11</f>
        <v>0</v>
      </c>
    </row>
    <row r="153" spans="1:3" hidden="1" x14ac:dyDescent="0.2">
      <c r="A153" s="105"/>
      <c r="B153" s="110">
        <f t="shared" si="0"/>
        <v>2030</v>
      </c>
      <c r="C153" s="111">
        <f>[3]С2.5!$O$11</f>
        <v>0</v>
      </c>
    </row>
    <row r="154" spans="1:3" hidden="1" x14ac:dyDescent="0.2">
      <c r="A154" s="105"/>
      <c r="B154" s="110">
        <f t="shared" si="0"/>
        <v>2031</v>
      </c>
      <c r="C154" s="111">
        <f>[3]С2.5!$P$11</f>
        <v>0</v>
      </c>
    </row>
    <row r="155" spans="1:3" hidden="1" x14ac:dyDescent="0.2">
      <c r="A155" s="89"/>
      <c r="B155" s="110">
        <f t="shared" si="0"/>
        <v>2032</v>
      </c>
      <c r="C155" s="111">
        <f>[3]С2.5!$Q$11</f>
        <v>0</v>
      </c>
    </row>
    <row r="156" spans="1:3" hidden="1" x14ac:dyDescent="0.2">
      <c r="A156" s="89"/>
      <c r="B156" s="110">
        <f t="shared" si="0"/>
        <v>2033</v>
      </c>
      <c r="C156" s="111">
        <f>[3]С2.5!$R$11</f>
        <v>0</v>
      </c>
    </row>
    <row r="157" spans="1:3" hidden="1" x14ac:dyDescent="0.2">
      <c r="B157" s="110">
        <f t="shared" si="0"/>
        <v>2034</v>
      </c>
      <c r="C157" s="111">
        <f>[3]С2.5!$S$11</f>
        <v>0</v>
      </c>
    </row>
    <row r="158" spans="1:3" hidden="1" x14ac:dyDescent="0.2">
      <c r="B158" s="110">
        <f t="shared" si="0"/>
        <v>2035</v>
      </c>
      <c r="C158" s="111">
        <f>[3]С2.5!$T$11</f>
        <v>0</v>
      </c>
    </row>
    <row r="159" spans="1:3" hidden="1" x14ac:dyDescent="0.2">
      <c r="B159" s="110">
        <f t="shared" si="0"/>
        <v>2036</v>
      </c>
      <c r="C159" s="111">
        <f>[3]С2.5!$U$11</f>
        <v>0</v>
      </c>
    </row>
    <row r="160" spans="1:3" hidden="1" x14ac:dyDescent="0.2">
      <c r="B160" s="110">
        <f t="shared" si="0"/>
        <v>2037</v>
      </c>
      <c r="C160" s="111">
        <f>[3]С2.5!$V$11</f>
        <v>0</v>
      </c>
    </row>
    <row r="161" spans="2:3" hidden="1" x14ac:dyDescent="0.2">
      <c r="B161" s="110">
        <f t="shared" si="0"/>
        <v>2038</v>
      </c>
      <c r="C161" s="111">
        <f>[3]С2.5!$W$11</f>
        <v>0</v>
      </c>
    </row>
    <row r="162" spans="2:3" hidden="1" x14ac:dyDescent="0.2">
      <c r="B162" s="110">
        <f t="shared" si="0"/>
        <v>2039</v>
      </c>
      <c r="C162" s="111">
        <f>[3]С2.5!$X$11</f>
        <v>0</v>
      </c>
    </row>
    <row r="163" spans="2:3" hidden="1" x14ac:dyDescent="0.2">
      <c r="B163" s="110">
        <f t="shared" si="0"/>
        <v>2040</v>
      </c>
      <c r="C163" s="111">
        <f>[3]С2.5!$Y$11</f>
        <v>0</v>
      </c>
    </row>
    <row r="164" spans="2:3" hidden="1" x14ac:dyDescent="0.2">
      <c r="B164" s="110">
        <f t="shared" si="0"/>
        <v>2041</v>
      </c>
      <c r="C164" s="111">
        <f>[3]С2.5!$Z$11</f>
        <v>0</v>
      </c>
    </row>
    <row r="165" spans="2:3" hidden="1" x14ac:dyDescent="0.2">
      <c r="B165" s="110">
        <f t="shared" si="0"/>
        <v>2042</v>
      </c>
      <c r="C165" s="111">
        <f>[3]С2.5!$AA$11</f>
        <v>0</v>
      </c>
    </row>
    <row r="166" spans="2:3" hidden="1" x14ac:dyDescent="0.2">
      <c r="B166" s="110">
        <f t="shared" si="0"/>
        <v>2043</v>
      </c>
      <c r="C166" s="111">
        <f>[3]С2.5!$AB$11</f>
        <v>0</v>
      </c>
    </row>
    <row r="167" spans="2:3" hidden="1" x14ac:dyDescent="0.2">
      <c r="B167" s="110">
        <f t="shared" si="0"/>
        <v>2044</v>
      </c>
      <c r="C167" s="111">
        <f>[3]С2.5!$AC$11</f>
        <v>0</v>
      </c>
    </row>
    <row r="168" spans="2:3" hidden="1" x14ac:dyDescent="0.2">
      <c r="B168" s="110">
        <f t="shared" si="0"/>
        <v>2045</v>
      </c>
      <c r="C168" s="111">
        <f>[3]С2.5!$AD$11</f>
        <v>0</v>
      </c>
    </row>
    <row r="169" spans="2:3" hidden="1" x14ac:dyDescent="0.2">
      <c r="B169" s="110">
        <f t="shared" si="0"/>
        <v>2046</v>
      </c>
      <c r="C169" s="111">
        <f>[3]С2.5!$AE$11</f>
        <v>0</v>
      </c>
    </row>
    <row r="170" spans="2:3" hidden="1" x14ac:dyDescent="0.2">
      <c r="B170" s="110">
        <f t="shared" si="0"/>
        <v>2047</v>
      </c>
      <c r="C170" s="111">
        <f>[3]С2.5!$AF$11</f>
        <v>0</v>
      </c>
    </row>
    <row r="171" spans="2:3" hidden="1" x14ac:dyDescent="0.2">
      <c r="B171" s="110">
        <f t="shared" si="0"/>
        <v>2048</v>
      </c>
      <c r="C171" s="111">
        <f>[3]С2.5!$AG$11</f>
        <v>0</v>
      </c>
    </row>
    <row r="172" spans="2:3" hidden="1" x14ac:dyDescent="0.2">
      <c r="B172" s="110">
        <f t="shared" si="0"/>
        <v>2049</v>
      </c>
      <c r="C172" s="111">
        <f>[3]С2.5!$AH$11</f>
        <v>0</v>
      </c>
    </row>
    <row r="173" spans="2:3" hidden="1" x14ac:dyDescent="0.2">
      <c r="B173" s="110">
        <f t="shared" si="0"/>
        <v>2050</v>
      </c>
      <c r="C173" s="111">
        <f>[3]С2.5!$AI$11</f>
        <v>0</v>
      </c>
    </row>
    <row r="174" spans="2:3" hidden="1" x14ac:dyDescent="0.2">
      <c r="B174" s="110">
        <f t="shared" si="0"/>
        <v>2051</v>
      </c>
      <c r="C174" s="111">
        <f>[3]С2.5!$AJ$11</f>
        <v>0</v>
      </c>
    </row>
    <row r="175" spans="2:3" hidden="1" x14ac:dyDescent="0.2">
      <c r="B175" s="110">
        <f t="shared" si="0"/>
        <v>2052</v>
      </c>
      <c r="C175" s="111">
        <f>[3]С2.5!$AK$11</f>
        <v>0</v>
      </c>
    </row>
    <row r="176" spans="2:3" hidden="1" x14ac:dyDescent="0.2">
      <c r="B176" s="110">
        <f t="shared" si="0"/>
        <v>2053</v>
      </c>
      <c r="C176" s="111">
        <f>[3]С2.5!$AL$11</f>
        <v>0</v>
      </c>
    </row>
    <row r="177" spans="2:3" hidden="1" x14ac:dyDescent="0.2">
      <c r="B177" s="110">
        <f t="shared" si="0"/>
        <v>2054</v>
      </c>
      <c r="C177" s="111">
        <f>[3]С2.5!$AM$11</f>
        <v>0</v>
      </c>
    </row>
    <row r="178" spans="2:3" hidden="1" x14ac:dyDescent="0.2">
      <c r="B178" s="110">
        <f t="shared" si="0"/>
        <v>2055</v>
      </c>
      <c r="C178" s="111">
        <f>[3]С2.5!$AN$11</f>
        <v>0</v>
      </c>
    </row>
    <row r="179" spans="2:3" hidden="1" x14ac:dyDescent="0.2">
      <c r="B179" s="110">
        <f t="shared" si="0"/>
        <v>2056</v>
      </c>
      <c r="C179" s="111">
        <f>[3]С2.5!$AO$11</f>
        <v>0</v>
      </c>
    </row>
    <row r="180" spans="2:3" hidden="1" x14ac:dyDescent="0.2">
      <c r="B180" s="110">
        <f t="shared" si="0"/>
        <v>2057</v>
      </c>
      <c r="C180" s="111">
        <f>[3]С2.5!$AP$11</f>
        <v>0</v>
      </c>
    </row>
    <row r="181" spans="2:3" hidden="1" x14ac:dyDescent="0.2">
      <c r="B181" s="110">
        <f t="shared" si="0"/>
        <v>2058</v>
      </c>
      <c r="C181" s="111">
        <f>[3]С2.5!$AQ$11</f>
        <v>0</v>
      </c>
    </row>
    <row r="182" spans="2:3" hidden="1" x14ac:dyDescent="0.2">
      <c r="B182" s="110">
        <f t="shared" si="0"/>
        <v>2059</v>
      </c>
      <c r="C182" s="111">
        <f>[3]С2.5!$AR$11</f>
        <v>0</v>
      </c>
    </row>
    <row r="183" spans="2:3" hidden="1" x14ac:dyDescent="0.2">
      <c r="B183" s="110">
        <f t="shared" si="0"/>
        <v>2060</v>
      </c>
      <c r="C183" s="111">
        <f>[3]С2.5!$AS$11</f>
        <v>0</v>
      </c>
    </row>
    <row r="184" spans="2:3" hidden="1" x14ac:dyDescent="0.2">
      <c r="B184" s="110">
        <f t="shared" si="0"/>
        <v>2061</v>
      </c>
      <c r="C184" s="111">
        <f>[3]С2.5!$AT$11</f>
        <v>0</v>
      </c>
    </row>
    <row r="185" spans="2:3" hidden="1" x14ac:dyDescent="0.2">
      <c r="B185" s="110">
        <f t="shared" si="0"/>
        <v>2062</v>
      </c>
      <c r="C185" s="111">
        <f>[3]С2.5!$AU$11</f>
        <v>0</v>
      </c>
    </row>
    <row r="186" spans="2:3" hidden="1" x14ac:dyDescent="0.2">
      <c r="B186" s="110">
        <f t="shared" si="0"/>
        <v>2063</v>
      </c>
      <c r="C186" s="111">
        <f>[3]С2.5!$AV$11</f>
        <v>0</v>
      </c>
    </row>
    <row r="187" spans="2:3" hidden="1" x14ac:dyDescent="0.2">
      <c r="B187" s="110">
        <f t="shared" si="0"/>
        <v>2064</v>
      </c>
      <c r="C187" s="111">
        <f>[3]С2.5!$AW$11</f>
        <v>0</v>
      </c>
    </row>
    <row r="188" spans="2:3" hidden="1" x14ac:dyDescent="0.2">
      <c r="B188" s="110">
        <f t="shared" si="0"/>
        <v>2065</v>
      </c>
      <c r="C188" s="111">
        <f>[3]С2.5!$AX$11</f>
        <v>0</v>
      </c>
    </row>
    <row r="189" spans="2:3" hidden="1" x14ac:dyDescent="0.2">
      <c r="B189" s="110">
        <f t="shared" si="0"/>
        <v>2066</v>
      </c>
      <c r="C189" s="111">
        <f>[3]С2.5!$AY$11</f>
        <v>0</v>
      </c>
    </row>
    <row r="190" spans="2:3" hidden="1" x14ac:dyDescent="0.2">
      <c r="B190" s="110">
        <f t="shared" si="0"/>
        <v>2067</v>
      </c>
      <c r="C190" s="111">
        <f>[3]С2.5!$AZ$11</f>
        <v>0</v>
      </c>
    </row>
    <row r="191" spans="2:3" hidden="1" x14ac:dyDescent="0.2">
      <c r="B191" s="110">
        <f t="shared" si="0"/>
        <v>2068</v>
      </c>
      <c r="C191" s="111">
        <f>[3]С2.5!$BA$11</f>
        <v>0</v>
      </c>
    </row>
    <row r="192" spans="2:3" hidden="1" x14ac:dyDescent="0.2">
      <c r="B192" s="110">
        <f t="shared" si="0"/>
        <v>2069</v>
      </c>
      <c r="C192" s="111">
        <f>[3]С2.5!$BB$11</f>
        <v>0</v>
      </c>
    </row>
    <row r="193" spans="2:3" hidden="1" x14ac:dyDescent="0.2">
      <c r="B193" s="110">
        <f t="shared" si="0"/>
        <v>2070</v>
      </c>
      <c r="C193" s="111">
        <f>[3]С2.5!$BC$11</f>
        <v>0</v>
      </c>
    </row>
    <row r="194" spans="2:3" hidden="1" x14ac:dyDescent="0.2">
      <c r="B194" s="110">
        <f t="shared" si="0"/>
        <v>2071</v>
      </c>
      <c r="C194" s="111">
        <f>[3]С2.5!$BD$11</f>
        <v>0</v>
      </c>
    </row>
    <row r="195" spans="2:3" hidden="1" x14ac:dyDescent="0.2">
      <c r="B195" s="110">
        <f t="shared" si="0"/>
        <v>2072</v>
      </c>
      <c r="C195" s="111">
        <f>[3]С2.5!$BE$11</f>
        <v>0</v>
      </c>
    </row>
    <row r="196" spans="2:3" hidden="1" x14ac:dyDescent="0.2">
      <c r="B196" s="110">
        <f t="shared" si="0"/>
        <v>2073</v>
      </c>
      <c r="C196" s="111">
        <f>[3]С2.5!$BF$11</f>
        <v>0</v>
      </c>
    </row>
    <row r="197" spans="2:3" hidden="1" x14ac:dyDescent="0.2">
      <c r="B197" s="110">
        <f t="shared" si="0"/>
        <v>2074</v>
      </c>
      <c r="C197" s="111">
        <f>[3]С2.5!$BG$11</f>
        <v>0</v>
      </c>
    </row>
    <row r="198" spans="2:3" hidden="1" x14ac:dyDescent="0.2">
      <c r="B198" s="110">
        <f t="shared" si="0"/>
        <v>2075</v>
      </c>
      <c r="C198" s="111">
        <f>[3]С2.5!$BH$11</f>
        <v>0</v>
      </c>
    </row>
    <row r="199" spans="2:3" hidden="1" x14ac:dyDescent="0.2">
      <c r="B199" s="110">
        <f t="shared" si="0"/>
        <v>2076</v>
      </c>
      <c r="C199" s="111">
        <f>[3]С2.5!$BI$11</f>
        <v>0</v>
      </c>
    </row>
    <row r="200" spans="2:3" hidden="1" x14ac:dyDescent="0.2">
      <c r="B200" s="110">
        <f t="shared" si="0"/>
        <v>2077</v>
      </c>
      <c r="C200" s="111">
        <f>[3]С2.5!$BJ$11</f>
        <v>0</v>
      </c>
    </row>
    <row r="201" spans="2:3" hidden="1" x14ac:dyDescent="0.2">
      <c r="B201" s="110">
        <f t="shared" si="0"/>
        <v>2078</v>
      </c>
      <c r="C201" s="111">
        <f>[3]С2.5!$BK$11</f>
        <v>0</v>
      </c>
    </row>
    <row r="202" spans="2:3" hidden="1" x14ac:dyDescent="0.2">
      <c r="B202" s="110">
        <f t="shared" si="0"/>
        <v>2079</v>
      </c>
      <c r="C202" s="111">
        <f>[3]С2.5!$BL$11</f>
        <v>0</v>
      </c>
    </row>
    <row r="203" spans="2:3" hidden="1" x14ac:dyDescent="0.2">
      <c r="B203" s="110">
        <f t="shared" si="0"/>
        <v>2080</v>
      </c>
      <c r="C203" s="111">
        <f>[3]С2.5!$BM$11</f>
        <v>0</v>
      </c>
    </row>
    <row r="204" spans="2:3" hidden="1" x14ac:dyDescent="0.2">
      <c r="B204" s="110">
        <f t="shared" si="0"/>
        <v>2081</v>
      </c>
      <c r="C204" s="111">
        <f>[3]С2.5!$BN$11</f>
        <v>0</v>
      </c>
    </row>
    <row r="205" spans="2:3" hidden="1" x14ac:dyDescent="0.2">
      <c r="B205" s="110">
        <f t="shared" si="0"/>
        <v>2082</v>
      </c>
      <c r="C205" s="111">
        <f>[3]С2.5!$BO$11</f>
        <v>0</v>
      </c>
    </row>
    <row r="206" spans="2:3" hidden="1" x14ac:dyDescent="0.2">
      <c r="B206" s="110">
        <f t="shared" si="0"/>
        <v>2083</v>
      </c>
      <c r="C206" s="111">
        <f>[3]С2.5!$BP$11</f>
        <v>0</v>
      </c>
    </row>
    <row r="207" spans="2:3" hidden="1" x14ac:dyDescent="0.2">
      <c r="B207" s="110">
        <f t="shared" si="0"/>
        <v>2084</v>
      </c>
      <c r="C207" s="111">
        <f>[3]С2.5!$BQ$11</f>
        <v>0</v>
      </c>
    </row>
    <row r="208" spans="2:3" hidden="1" x14ac:dyDescent="0.2">
      <c r="B208" s="110">
        <f t="shared" si="0"/>
        <v>2085</v>
      </c>
      <c r="C208" s="111">
        <f>[3]С2.5!$BR$11</f>
        <v>0</v>
      </c>
    </row>
    <row r="209" spans="2:3" hidden="1" x14ac:dyDescent="0.2">
      <c r="B209" s="110">
        <f t="shared" ref="B209:B223" si="1">B208+1</f>
        <v>2086</v>
      </c>
      <c r="C209" s="111">
        <f>[3]С2.5!$BS$11</f>
        <v>0</v>
      </c>
    </row>
    <row r="210" spans="2:3" hidden="1" x14ac:dyDescent="0.2">
      <c r="B210" s="110">
        <f t="shared" si="1"/>
        <v>2087</v>
      </c>
      <c r="C210" s="111">
        <f>[3]С2.5!$BT$11</f>
        <v>0</v>
      </c>
    </row>
    <row r="211" spans="2:3" hidden="1" x14ac:dyDescent="0.2">
      <c r="B211" s="110">
        <f t="shared" si="1"/>
        <v>2088</v>
      </c>
      <c r="C211" s="111">
        <f>[3]С2.5!$BU$11</f>
        <v>0</v>
      </c>
    </row>
    <row r="212" spans="2:3" hidden="1" x14ac:dyDescent="0.2">
      <c r="B212" s="110">
        <f t="shared" si="1"/>
        <v>2089</v>
      </c>
      <c r="C212" s="111">
        <f>[3]С2.5!$BV$11</f>
        <v>0</v>
      </c>
    </row>
    <row r="213" spans="2:3" hidden="1" x14ac:dyDescent="0.2">
      <c r="B213" s="110">
        <f t="shared" si="1"/>
        <v>2090</v>
      </c>
      <c r="C213" s="111">
        <f>[3]С2.5!$BW$11</f>
        <v>0</v>
      </c>
    </row>
    <row r="214" spans="2:3" hidden="1" x14ac:dyDescent="0.2">
      <c r="B214" s="110">
        <f t="shared" si="1"/>
        <v>2091</v>
      </c>
      <c r="C214" s="111">
        <f>[3]С2.5!$BX$11</f>
        <v>0</v>
      </c>
    </row>
    <row r="215" spans="2:3" hidden="1" x14ac:dyDescent="0.2">
      <c r="B215" s="110">
        <f t="shared" si="1"/>
        <v>2092</v>
      </c>
      <c r="C215" s="111">
        <f>[3]С2.5!$BY$11</f>
        <v>0</v>
      </c>
    </row>
    <row r="216" spans="2:3" hidden="1" x14ac:dyDescent="0.2">
      <c r="B216" s="110">
        <f t="shared" si="1"/>
        <v>2093</v>
      </c>
      <c r="C216" s="111">
        <f>[3]С2.5!$BZ$11</f>
        <v>0</v>
      </c>
    </row>
    <row r="217" spans="2:3" hidden="1" x14ac:dyDescent="0.2">
      <c r="B217" s="110">
        <f t="shared" si="1"/>
        <v>2094</v>
      </c>
      <c r="C217" s="111">
        <f>[3]С2.5!$CA$11</f>
        <v>0</v>
      </c>
    </row>
    <row r="218" spans="2:3" hidden="1" x14ac:dyDescent="0.2">
      <c r="B218" s="110">
        <f t="shared" si="1"/>
        <v>2095</v>
      </c>
      <c r="C218" s="111">
        <f>[3]С2.5!$CB$11</f>
        <v>0</v>
      </c>
    </row>
    <row r="219" spans="2:3" hidden="1" x14ac:dyDescent="0.2">
      <c r="B219" s="110">
        <f t="shared" si="1"/>
        <v>2096</v>
      </c>
      <c r="C219" s="111">
        <f>[3]С2.5!$CC$11</f>
        <v>0</v>
      </c>
    </row>
    <row r="220" spans="2:3" hidden="1" x14ac:dyDescent="0.2">
      <c r="B220" s="110">
        <f t="shared" si="1"/>
        <v>2097</v>
      </c>
      <c r="C220" s="111">
        <f>[3]С2.5!$CD$11</f>
        <v>0</v>
      </c>
    </row>
    <row r="221" spans="2:3" hidden="1" x14ac:dyDescent="0.2">
      <c r="B221" s="110">
        <f t="shared" si="1"/>
        <v>2098</v>
      </c>
      <c r="C221" s="111">
        <f>[3]С2.5!$CE$11</f>
        <v>0</v>
      </c>
    </row>
    <row r="222" spans="2:3" hidden="1" x14ac:dyDescent="0.2">
      <c r="B222" s="110">
        <f t="shared" si="1"/>
        <v>2099</v>
      </c>
      <c r="C222" s="111">
        <f>[3]С2.5!$CF$11</f>
        <v>0</v>
      </c>
    </row>
    <row r="223" spans="2:3" ht="13.5" hidden="1" thickBot="1" x14ac:dyDescent="0.25">
      <c r="B223" s="112">
        <f t="shared" si="1"/>
        <v>2100</v>
      </c>
      <c r="C223" s="113">
        <f>[3]С2.5!$CG$11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[4]И1!D13</f>
        <v>Субъект Российской Федерации</v>
      </c>
      <c r="C4" s="10" t="str">
        <f>[4]И1!E13</f>
        <v>Новосибирская область</v>
      </c>
    </row>
    <row r="5" spans="1:3" ht="46.9" customHeight="1" x14ac:dyDescent="0.2">
      <c r="A5" s="8"/>
      <c r="B5" s="9" t="str">
        <f>[4]И1!D14</f>
        <v>Тип муниципального образования (выберите из списка)</v>
      </c>
      <c r="C5" s="10" t="str">
        <f>[4]И1!E14</f>
        <v>село Зубково, Краснозерский муниципальный район</v>
      </c>
    </row>
    <row r="6" spans="1:3" x14ac:dyDescent="0.2">
      <c r="A6" s="8"/>
      <c r="B6" s="9" t="str">
        <f>IF([4]И1!E15="","",[4]И1!D15)</f>
        <v/>
      </c>
      <c r="C6" s="10" t="str">
        <f>IF([4]И1!E15="","",[4]И1!E15)</f>
        <v/>
      </c>
    </row>
    <row r="7" spans="1:3" x14ac:dyDescent="0.2">
      <c r="A7" s="8"/>
      <c r="B7" s="9" t="str">
        <f>[4]И1!D16</f>
        <v>Код ОКТМО</v>
      </c>
      <c r="C7" s="11" t="str">
        <f>[4]И1!E16</f>
        <v xml:space="preserve"> (50627407101)</v>
      </c>
    </row>
    <row r="8" spans="1:3" x14ac:dyDescent="0.2">
      <c r="A8" s="8"/>
      <c r="B8" s="12" t="str">
        <f>[4]И1!D17</f>
        <v>Система теплоснабжения</v>
      </c>
      <c r="C8" s="13">
        <f>[4]И1!E17</f>
        <v>0</v>
      </c>
    </row>
    <row r="9" spans="1:3" x14ac:dyDescent="0.2">
      <c r="A9" s="8"/>
      <c r="B9" s="9" t="str">
        <f>[4]И1!D8</f>
        <v>Период регулирования (i)-й</v>
      </c>
      <c r="C9" s="14">
        <f>[4]И1!E8</f>
        <v>2025</v>
      </c>
    </row>
    <row r="10" spans="1:3" x14ac:dyDescent="0.2">
      <c r="A10" s="8"/>
      <c r="B10" s="9" t="str">
        <f>[4]И1!D9</f>
        <v>Период регулирования (i-1)-й</v>
      </c>
      <c r="C10" s="14">
        <f>[4]И1!E9</f>
        <v>2024</v>
      </c>
    </row>
    <row r="11" spans="1:3" x14ac:dyDescent="0.2">
      <c r="A11" s="8"/>
      <c r="B11" s="9" t="str">
        <f>[4]И1!D10</f>
        <v>Период регулирования (i-2)-й</v>
      </c>
      <c r="C11" s="14">
        <f>[4]И1!E10</f>
        <v>2023</v>
      </c>
    </row>
    <row r="12" spans="1:3" x14ac:dyDescent="0.2">
      <c r="A12" s="8"/>
      <c r="B12" s="9" t="str">
        <f>[4]И1!D11</f>
        <v>Базовый год (б)</v>
      </c>
      <c r="C12" s="14">
        <f>[4]И1!E11</f>
        <v>2019</v>
      </c>
    </row>
    <row r="13" spans="1:3" ht="38.25" x14ac:dyDescent="0.2">
      <c r="A13" s="8"/>
      <c r="B13" s="9" t="str">
        <f>[4]И1!D18</f>
        <v>Вид топлива, использование которого преобладает в системе теплоснабжения</v>
      </c>
      <c r="C13" s="15" t="str">
        <f>[4]С1.1!E13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5757.3358657124536</v>
      </c>
    </row>
    <row r="18" spans="1:3" ht="42.75" x14ac:dyDescent="0.2">
      <c r="A18" s="22" t="s">
        <v>8</v>
      </c>
      <c r="B18" s="25" t="s">
        <v>9</v>
      </c>
      <c r="C18" s="26">
        <f>[4]С1!F12</f>
        <v>1157.8125758373328</v>
      </c>
    </row>
    <row r="19" spans="1:3" ht="42.75" x14ac:dyDescent="0.2">
      <c r="A19" s="22" t="s">
        <v>10</v>
      </c>
      <c r="B19" s="25" t="s">
        <v>11</v>
      </c>
      <c r="C19" s="26">
        <f>[4]С2!F12</f>
        <v>3044.8315746726421</v>
      </c>
    </row>
    <row r="20" spans="1:3" ht="30" x14ac:dyDescent="0.2">
      <c r="A20" s="22" t="s">
        <v>12</v>
      </c>
      <c r="B20" s="25" t="s">
        <v>13</v>
      </c>
      <c r="C20" s="26">
        <f>[4]С3!F12</f>
        <v>911.5178018038722</v>
      </c>
    </row>
    <row r="21" spans="1:3" ht="42.75" x14ac:dyDescent="0.2">
      <c r="A21" s="22" t="s">
        <v>14</v>
      </c>
      <c r="B21" s="25" t="s">
        <v>15</v>
      </c>
      <c r="C21" s="26">
        <f>[4]С4!F12</f>
        <v>530.28497485522507</v>
      </c>
    </row>
    <row r="22" spans="1:3" ht="30" x14ac:dyDescent="0.2">
      <c r="A22" s="22" t="s">
        <v>16</v>
      </c>
      <c r="B22" s="25" t="s">
        <v>17</v>
      </c>
      <c r="C22" s="26">
        <f>[4]С5!F12</f>
        <v>112.88893854338144</v>
      </c>
    </row>
    <row r="23" spans="1:3" ht="43.5" thickBot="1" x14ac:dyDescent="0.25">
      <c r="A23" s="27" t="s">
        <v>18</v>
      </c>
      <c r="B23" s="117" t="s">
        <v>19</v>
      </c>
      <c r="C23" s="28" t="str">
        <f>[4]С6!F12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[4]С1.1!E16</f>
        <v>5100</v>
      </c>
    </row>
    <row r="29" spans="1:3" ht="42.75" x14ac:dyDescent="0.2">
      <c r="A29" s="22" t="s">
        <v>10</v>
      </c>
      <c r="B29" s="33" t="s">
        <v>22</v>
      </c>
      <c r="C29" s="34">
        <f>[4]С1.1!E27</f>
        <v>4176.5250000000005</v>
      </c>
    </row>
    <row r="30" spans="1:3" ht="17.25" x14ac:dyDescent="0.2">
      <c r="A30" s="22" t="s">
        <v>12</v>
      </c>
      <c r="B30" s="33" t="s">
        <v>23</v>
      </c>
      <c r="C30" s="35">
        <f>[4]С1.1!E19</f>
        <v>1.4E-2</v>
      </c>
    </row>
    <row r="31" spans="1:3" ht="17.25" x14ac:dyDescent="0.2">
      <c r="A31" s="22" t="s">
        <v>14</v>
      </c>
      <c r="B31" s="33" t="s">
        <v>24</v>
      </c>
      <c r="C31" s="35">
        <f>[4]С1.1!E20</f>
        <v>0.04</v>
      </c>
    </row>
    <row r="32" spans="1:3" ht="30" x14ac:dyDescent="0.2">
      <c r="A32" s="22" t="s">
        <v>16</v>
      </c>
      <c r="B32" s="36" t="s">
        <v>25</v>
      </c>
      <c r="C32" s="37">
        <f>[4]С1!F13</f>
        <v>176.4</v>
      </c>
    </row>
    <row r="33" spans="1:3" x14ac:dyDescent="0.2">
      <c r="A33" s="22" t="s">
        <v>18</v>
      </c>
      <c r="B33" s="36" t="s">
        <v>26</v>
      </c>
      <c r="C33" s="38">
        <f>[4]С1!F16</f>
        <v>7000</v>
      </c>
    </row>
    <row r="34" spans="1:3" ht="14.25" x14ac:dyDescent="0.2">
      <c r="A34" s="22" t="s">
        <v>27</v>
      </c>
      <c r="B34" s="39" t="s">
        <v>28</v>
      </c>
      <c r="C34" s="40">
        <f>[4]С1!F17</f>
        <v>0.72857142857142854</v>
      </c>
    </row>
    <row r="35" spans="1:3" ht="15.75" x14ac:dyDescent="0.2">
      <c r="A35" s="41" t="s">
        <v>29</v>
      </c>
      <c r="B35" s="42" t="s">
        <v>30</v>
      </c>
      <c r="C35" s="40">
        <f>[4]С1!F20</f>
        <v>21.588411179999994</v>
      </c>
    </row>
    <row r="36" spans="1:3" ht="15.75" x14ac:dyDescent="0.2">
      <c r="A36" s="41" t="s">
        <v>31</v>
      </c>
      <c r="B36" s="43" t="s">
        <v>32</v>
      </c>
      <c r="C36" s="40">
        <f>[4]С1!F21</f>
        <v>20.818139999999996</v>
      </c>
    </row>
    <row r="37" spans="1:3" ht="14.25" x14ac:dyDescent="0.2">
      <c r="A37" s="41" t="s">
        <v>33</v>
      </c>
      <c r="B37" s="44" t="s">
        <v>34</v>
      </c>
      <c r="C37" s="40">
        <f>[4]С1!F22</f>
        <v>1.0369999999999999</v>
      </c>
    </row>
    <row r="38" spans="1:3" ht="53.25" thickBot="1" x14ac:dyDescent="0.25">
      <c r="A38" s="27" t="s">
        <v>35</v>
      </c>
      <c r="B38" s="45" t="s">
        <v>36</v>
      </c>
      <c r="C38" s="46">
        <f>[4]С1!F23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[4]С2.1!E12</f>
        <v>V</v>
      </c>
    </row>
    <row r="42" spans="1:3" ht="25.5" x14ac:dyDescent="0.2">
      <c r="A42" s="22" t="s">
        <v>41</v>
      </c>
      <c r="B42" s="33" t="s">
        <v>42</v>
      </c>
      <c r="C42" s="51" t="str">
        <f>[4]С2.1!E13</f>
        <v>6 и менее баллов</v>
      </c>
    </row>
    <row r="43" spans="1:3" ht="25.5" x14ac:dyDescent="0.2">
      <c r="A43" s="22" t="s">
        <v>43</v>
      </c>
      <c r="B43" s="33" t="s">
        <v>44</v>
      </c>
      <c r="C43" s="51" t="str">
        <f>[4]С2.1!E14</f>
        <v>от 200 до 500</v>
      </c>
    </row>
    <row r="44" spans="1:3" ht="25.5" x14ac:dyDescent="0.2">
      <c r="A44" s="22" t="s">
        <v>45</v>
      </c>
      <c r="B44" s="33" t="s">
        <v>46</v>
      </c>
      <c r="C44" s="52" t="str">
        <f>[4]С2.1!E15</f>
        <v>нет</v>
      </c>
    </row>
    <row r="45" spans="1:3" ht="30" x14ac:dyDescent="0.2">
      <c r="A45" s="22" t="s">
        <v>47</v>
      </c>
      <c r="B45" s="33" t="s">
        <v>48</v>
      </c>
      <c r="C45" s="34">
        <f>[4]С2!F18</f>
        <v>38910.02669467502</v>
      </c>
    </row>
    <row r="46" spans="1:3" ht="30" x14ac:dyDescent="0.2">
      <c r="A46" s="22" t="s">
        <v>49</v>
      </c>
      <c r="B46" s="53" t="s">
        <v>50</v>
      </c>
      <c r="C46" s="34">
        <f>IF([4]С2!F19&gt;0,[4]С2!F19,[4]С2!F20)</f>
        <v>23441.524932855718</v>
      </c>
    </row>
    <row r="47" spans="1:3" ht="25.5" x14ac:dyDescent="0.2">
      <c r="A47" s="22" t="s">
        <v>51</v>
      </c>
      <c r="B47" s="54" t="s">
        <v>52</v>
      </c>
      <c r="C47" s="34">
        <f>[4]С2.1!E19</f>
        <v>-38</v>
      </c>
    </row>
    <row r="48" spans="1:3" ht="25.5" x14ac:dyDescent="0.2">
      <c r="A48" s="22" t="s">
        <v>53</v>
      </c>
      <c r="B48" s="54" t="s">
        <v>54</v>
      </c>
      <c r="C48" s="34" t="str">
        <f>[4]С2.1!E22</f>
        <v>нет</v>
      </c>
    </row>
    <row r="49" spans="1:3" ht="38.25" x14ac:dyDescent="0.2">
      <c r="A49" s="22" t="s">
        <v>55</v>
      </c>
      <c r="B49" s="55" t="s">
        <v>56</v>
      </c>
      <c r="C49" s="34">
        <f>[4]С2.2!E10</f>
        <v>1287</v>
      </c>
    </row>
    <row r="50" spans="1:3" ht="25.5" x14ac:dyDescent="0.2">
      <c r="A50" s="22" t="s">
        <v>57</v>
      </c>
      <c r="B50" s="56" t="s">
        <v>58</v>
      </c>
      <c r="C50" s="34">
        <f>[4]С2.2!E12</f>
        <v>5.97</v>
      </c>
    </row>
    <row r="51" spans="1:3" ht="52.5" x14ac:dyDescent="0.2">
      <c r="A51" s="22" t="s">
        <v>59</v>
      </c>
      <c r="B51" s="57" t="s">
        <v>60</v>
      </c>
      <c r="C51" s="34">
        <f>[4]С2.2!E13</f>
        <v>1</v>
      </c>
    </row>
    <row r="52" spans="1:3" ht="27.75" x14ac:dyDescent="0.2">
      <c r="A52" s="22" t="s">
        <v>61</v>
      </c>
      <c r="B52" s="56" t="s">
        <v>62</v>
      </c>
      <c r="C52" s="34">
        <f>[4]С2.2!E14</f>
        <v>12104</v>
      </c>
    </row>
    <row r="53" spans="1:3" ht="25.5" x14ac:dyDescent="0.2">
      <c r="A53" s="22" t="s">
        <v>63</v>
      </c>
      <c r="B53" s="57" t="s">
        <v>64</v>
      </c>
      <c r="C53" s="35">
        <f>[4]С2.2!E15</f>
        <v>4.8000000000000001E-2</v>
      </c>
    </row>
    <row r="54" spans="1:3" x14ac:dyDescent="0.2">
      <c r="A54" s="22" t="s">
        <v>65</v>
      </c>
      <c r="B54" s="57" t="s">
        <v>66</v>
      </c>
      <c r="C54" s="34">
        <f>[4]С2.2!E16</f>
        <v>1</v>
      </c>
    </row>
    <row r="55" spans="1:3" ht="15.75" x14ac:dyDescent="0.2">
      <c r="A55" s="22" t="s">
        <v>67</v>
      </c>
      <c r="B55" s="58" t="s">
        <v>68</v>
      </c>
      <c r="C55" s="34">
        <f>[4]С2!F21</f>
        <v>1</v>
      </c>
    </row>
    <row r="56" spans="1:3" ht="30" x14ac:dyDescent="0.2">
      <c r="A56" s="59" t="s">
        <v>69</v>
      </c>
      <c r="B56" s="33" t="s">
        <v>70</v>
      </c>
      <c r="C56" s="34">
        <f>[4]С2!F13</f>
        <v>203708.97017230222</v>
      </c>
    </row>
    <row r="57" spans="1:3" ht="30" x14ac:dyDescent="0.2">
      <c r="A57" s="59" t="s">
        <v>71</v>
      </c>
      <c r="B57" s="58" t="s">
        <v>72</v>
      </c>
      <c r="C57" s="34">
        <f>[4]С2!F14</f>
        <v>113455</v>
      </c>
    </row>
    <row r="58" spans="1:3" ht="15.75" x14ac:dyDescent="0.2">
      <c r="A58" s="59" t="s">
        <v>73</v>
      </c>
      <c r="B58" s="60" t="s">
        <v>74</v>
      </c>
      <c r="C58" s="40">
        <f>[4]С2!F15</f>
        <v>1.071</v>
      </c>
    </row>
    <row r="59" spans="1:3" ht="15.75" x14ac:dyDescent="0.2">
      <c r="A59" s="59" t="s">
        <v>75</v>
      </c>
      <c r="B59" s="60" t="s">
        <v>76</v>
      </c>
      <c r="C59" s="40">
        <f>[4]С2!F16</f>
        <v>1</v>
      </c>
    </row>
    <row r="60" spans="1:3" ht="17.25" x14ac:dyDescent="0.2">
      <c r="A60" s="59" t="s">
        <v>77</v>
      </c>
      <c r="B60" s="58" t="s">
        <v>78</v>
      </c>
      <c r="C60" s="34">
        <f>[4]С2!F17</f>
        <v>1.01</v>
      </c>
    </row>
    <row r="61" spans="1:3" s="63" customFormat="1" ht="14.25" x14ac:dyDescent="0.2">
      <c r="A61" s="59" t="s">
        <v>79</v>
      </c>
      <c r="B61" s="61" t="s">
        <v>80</v>
      </c>
      <c r="C61" s="62">
        <f>[4]С2!F33</f>
        <v>10</v>
      </c>
    </row>
    <row r="62" spans="1:3" ht="30" x14ac:dyDescent="0.2">
      <c r="A62" s="59" t="s">
        <v>81</v>
      </c>
      <c r="B62" s="64" t="s">
        <v>82</v>
      </c>
      <c r="C62" s="34">
        <f>[4]С2!F26</f>
        <v>1349.309862285194</v>
      </c>
    </row>
    <row r="63" spans="1:3" ht="17.25" x14ac:dyDescent="0.2">
      <c r="A63" s="59" t="s">
        <v>83</v>
      </c>
      <c r="B63" s="53" t="s">
        <v>84</v>
      </c>
      <c r="C63" s="34">
        <f>[4]С2!F27</f>
        <v>0.19354712999999998</v>
      </c>
    </row>
    <row r="64" spans="1:3" ht="17.25" x14ac:dyDescent="0.2">
      <c r="A64" s="59" t="s">
        <v>85</v>
      </c>
      <c r="B64" s="58" t="s">
        <v>86</v>
      </c>
      <c r="C64" s="62">
        <f>[4]С2!F28</f>
        <v>4200</v>
      </c>
    </row>
    <row r="65" spans="1:3" ht="42.75" x14ac:dyDescent="0.2">
      <c r="A65" s="59" t="s">
        <v>87</v>
      </c>
      <c r="B65" s="33" t="s">
        <v>88</v>
      </c>
      <c r="C65" s="34">
        <f>[4]С2!F22</f>
        <v>42890.921752741691</v>
      </c>
    </row>
    <row r="66" spans="1:3" ht="30" x14ac:dyDescent="0.2">
      <c r="A66" s="59" t="s">
        <v>89</v>
      </c>
      <c r="B66" s="60" t="s">
        <v>90</v>
      </c>
      <c r="C66" s="34">
        <f>[4]С2!F23</f>
        <v>1990</v>
      </c>
    </row>
    <row r="67" spans="1:3" ht="30" x14ac:dyDescent="0.2">
      <c r="A67" s="59" t="s">
        <v>91</v>
      </c>
      <c r="B67" s="53" t="s">
        <v>92</v>
      </c>
      <c r="C67" s="34">
        <f>[4]С2.1!E27</f>
        <v>14307.876789999998</v>
      </c>
    </row>
    <row r="68" spans="1:3" ht="38.25" x14ac:dyDescent="0.2">
      <c r="A68" s="59" t="s">
        <v>93</v>
      </c>
      <c r="B68" s="65" t="s">
        <v>94</v>
      </c>
      <c r="C68" s="52">
        <f>[4]С2.3!E21</f>
        <v>0</v>
      </c>
    </row>
    <row r="69" spans="1:3" ht="25.5" x14ac:dyDescent="0.2">
      <c r="A69" s="59" t="s">
        <v>95</v>
      </c>
      <c r="B69" s="66" t="s">
        <v>96</v>
      </c>
      <c r="C69" s="67">
        <f>[4]С2.3!E11</f>
        <v>9.89</v>
      </c>
    </row>
    <row r="70" spans="1:3" ht="25.5" x14ac:dyDescent="0.2">
      <c r="A70" s="59" t="s">
        <v>97</v>
      </c>
      <c r="B70" s="66" t="s">
        <v>98</v>
      </c>
      <c r="C70" s="62">
        <f>[4]С2.3!E13</f>
        <v>300</v>
      </c>
    </row>
    <row r="71" spans="1:3" ht="25.5" x14ac:dyDescent="0.2">
      <c r="A71" s="59" t="s">
        <v>99</v>
      </c>
      <c r="B71" s="65" t="s">
        <v>100</v>
      </c>
      <c r="C71" s="68">
        <f>IF([4]С2.3!E22&gt;0,[4]С2.3!E22,[4]С2.3!E14)</f>
        <v>61211</v>
      </c>
    </row>
    <row r="72" spans="1:3" ht="38.25" x14ac:dyDescent="0.2">
      <c r="A72" s="59" t="s">
        <v>101</v>
      </c>
      <c r="B72" s="65" t="s">
        <v>102</v>
      </c>
      <c r="C72" s="68">
        <f>IF([4]С2.3!E23&gt;0,[4]С2.3!E23,[4]С2.3!E15)</f>
        <v>45675</v>
      </c>
    </row>
    <row r="73" spans="1:3" ht="30" x14ac:dyDescent="0.2">
      <c r="A73" s="59" t="s">
        <v>103</v>
      </c>
      <c r="B73" s="53" t="s">
        <v>104</v>
      </c>
      <c r="C73" s="34">
        <f>[4]С2.1!E28</f>
        <v>9541.9567200000001</v>
      </c>
    </row>
    <row r="74" spans="1:3" ht="38.25" x14ac:dyDescent="0.2">
      <c r="A74" s="59" t="s">
        <v>105</v>
      </c>
      <c r="B74" s="65" t="s">
        <v>106</v>
      </c>
      <c r="C74" s="52">
        <f>[4]С2.3!E25</f>
        <v>0</v>
      </c>
    </row>
    <row r="75" spans="1:3" ht="25.5" x14ac:dyDescent="0.2">
      <c r="A75" s="59" t="s">
        <v>107</v>
      </c>
      <c r="B75" s="66" t="s">
        <v>108</v>
      </c>
      <c r="C75" s="67">
        <f>[4]С2.3!E12</f>
        <v>0.56000000000000005</v>
      </c>
    </row>
    <row r="76" spans="1:3" ht="25.5" x14ac:dyDescent="0.2">
      <c r="A76" s="59" t="s">
        <v>109</v>
      </c>
      <c r="B76" s="66" t="s">
        <v>98</v>
      </c>
      <c r="C76" s="62">
        <f>[4]С2.3!E13</f>
        <v>300</v>
      </c>
    </row>
    <row r="77" spans="1:3" ht="25.5" x14ac:dyDescent="0.2">
      <c r="A77" s="59" t="s">
        <v>110</v>
      </c>
      <c r="B77" s="69" t="s">
        <v>111</v>
      </c>
      <c r="C77" s="68">
        <f>IF([4]С2.3!E26&gt;0,[4]С2.3!E26,[4]С2.3!E16)</f>
        <v>65637</v>
      </c>
    </row>
    <row r="78" spans="1:3" ht="38.25" x14ac:dyDescent="0.2">
      <c r="A78" s="59" t="s">
        <v>112</v>
      </c>
      <c r="B78" s="69" t="s">
        <v>113</v>
      </c>
      <c r="C78" s="68">
        <f>IF([4]С2.3!E27&gt;0,[4]С2.3!E27,[4]С2.3!E17)</f>
        <v>31684</v>
      </c>
    </row>
    <row r="79" spans="1:3" ht="17.25" x14ac:dyDescent="0.2">
      <c r="A79" s="59" t="s">
        <v>114</v>
      </c>
      <c r="B79" s="33" t="s">
        <v>115</v>
      </c>
      <c r="C79" s="35">
        <f>[4]С2!F29</f>
        <v>0.17804631770487722</v>
      </c>
    </row>
    <row r="80" spans="1:3" ht="30" x14ac:dyDescent="0.2">
      <c r="A80" s="59" t="s">
        <v>116</v>
      </c>
      <c r="B80" s="53" t="s">
        <v>117</v>
      </c>
      <c r="C80" s="70">
        <f>[4]С2!F30</f>
        <v>0.1652189781021898</v>
      </c>
    </row>
    <row r="81" spans="1:3" ht="17.25" x14ac:dyDescent="0.2">
      <c r="A81" s="59" t="s">
        <v>118</v>
      </c>
      <c r="B81" s="71" t="s">
        <v>119</v>
      </c>
      <c r="C81" s="35">
        <f>[4]С2!F31</f>
        <v>0.13880000000000001</v>
      </c>
    </row>
    <row r="82" spans="1:3" s="63" customFormat="1" ht="18" thickBot="1" x14ac:dyDescent="0.25">
      <c r="A82" s="72" t="s">
        <v>120</v>
      </c>
      <c r="B82" s="73" t="s">
        <v>121</v>
      </c>
      <c r="C82" s="74">
        <f>[4]С2!F32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[4]С3!F14</f>
        <v>14784.578474435859</v>
      </c>
    </row>
    <row r="86" spans="1:3" s="63" customFormat="1" ht="42.75" x14ac:dyDescent="0.2">
      <c r="A86" s="77" t="s">
        <v>126</v>
      </c>
      <c r="B86" s="53" t="s">
        <v>127</v>
      </c>
      <c r="C86" s="78">
        <f>[4]С3!F15</f>
        <v>0.25</v>
      </c>
    </row>
    <row r="87" spans="1:3" s="63" customFormat="1" ht="14.25" x14ac:dyDescent="0.2">
      <c r="A87" s="77" t="s">
        <v>128</v>
      </c>
      <c r="B87" s="79" t="s">
        <v>129</v>
      </c>
      <c r="C87" s="62">
        <f>[4]С3!F18</f>
        <v>15</v>
      </c>
    </row>
    <row r="88" spans="1:3" s="63" customFormat="1" ht="17.25" x14ac:dyDescent="0.2">
      <c r="A88" s="77" t="s">
        <v>130</v>
      </c>
      <c r="B88" s="33" t="s">
        <v>131</v>
      </c>
      <c r="C88" s="34">
        <f>[4]С3!F19</f>
        <v>4187.478806422544</v>
      </c>
    </row>
    <row r="89" spans="1:3" s="63" customFormat="1" ht="55.5" x14ac:dyDescent="0.2">
      <c r="A89" s="77" t="s">
        <v>132</v>
      </c>
      <c r="B89" s="53" t="s">
        <v>133</v>
      </c>
      <c r="C89" s="80">
        <f>[4]С3!F20</f>
        <v>2.1999999999999999E-2</v>
      </c>
    </row>
    <row r="90" spans="1:3" s="63" customFormat="1" ht="14.25" x14ac:dyDescent="0.2">
      <c r="A90" s="77" t="s">
        <v>134</v>
      </c>
      <c r="B90" s="58" t="s">
        <v>80</v>
      </c>
      <c r="C90" s="62">
        <f>[4]С3!F21</f>
        <v>10</v>
      </c>
    </row>
    <row r="91" spans="1:3" s="63" customFormat="1" ht="17.25" x14ac:dyDescent="0.2">
      <c r="A91" s="77" t="s">
        <v>135</v>
      </c>
      <c r="B91" s="33" t="s">
        <v>136</v>
      </c>
      <c r="C91" s="34">
        <f>[4]С3!F22</f>
        <v>4.0479295868555818</v>
      </c>
    </row>
    <row r="92" spans="1:3" s="63" customFormat="1" ht="55.5" x14ac:dyDescent="0.2">
      <c r="A92" s="77" t="s">
        <v>137</v>
      </c>
      <c r="B92" s="53" t="s">
        <v>138</v>
      </c>
      <c r="C92" s="80">
        <f>[4]С3!F23</f>
        <v>3.0000000000000001E-3</v>
      </c>
    </row>
    <row r="93" spans="1:3" s="63" customFormat="1" ht="27.75" thickBot="1" x14ac:dyDescent="0.25">
      <c r="A93" s="81" t="s">
        <v>139</v>
      </c>
      <c r="B93" s="82" t="s">
        <v>140</v>
      </c>
      <c r="C93" s="83">
        <f>[4]С3!F24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[4]С4!F16</f>
        <v>1652.5</v>
      </c>
    </row>
    <row r="97" spans="1:3" ht="30" x14ac:dyDescent="0.2">
      <c r="A97" s="59" t="s">
        <v>145</v>
      </c>
      <c r="B97" s="58" t="s">
        <v>146</v>
      </c>
      <c r="C97" s="34">
        <f>[4]С4!F17</f>
        <v>73547</v>
      </c>
    </row>
    <row r="98" spans="1:3" ht="17.25" x14ac:dyDescent="0.2">
      <c r="A98" s="59" t="s">
        <v>147</v>
      </c>
      <c r="B98" s="58" t="s">
        <v>148</v>
      </c>
      <c r="C98" s="40">
        <f>[4]С4!F18</f>
        <v>0.02</v>
      </c>
    </row>
    <row r="99" spans="1:3" ht="30" x14ac:dyDescent="0.2">
      <c r="A99" s="59" t="s">
        <v>149</v>
      </c>
      <c r="B99" s="58" t="s">
        <v>150</v>
      </c>
      <c r="C99" s="34">
        <f>[4]С4!F19</f>
        <v>12104</v>
      </c>
    </row>
    <row r="100" spans="1:3" ht="31.5" x14ac:dyDescent="0.2">
      <c r="A100" s="59" t="s">
        <v>151</v>
      </c>
      <c r="B100" s="58" t="s">
        <v>152</v>
      </c>
      <c r="C100" s="40">
        <f>[4]С4!F20</f>
        <v>1.4999999999999999E-2</v>
      </c>
    </row>
    <row r="101" spans="1:3" ht="30" x14ac:dyDescent="0.2">
      <c r="A101" s="59" t="s">
        <v>153</v>
      </c>
      <c r="B101" s="33" t="s">
        <v>154</v>
      </c>
      <c r="C101" s="34">
        <f>[4]С4!F21</f>
        <v>1933.1949342509995</v>
      </c>
    </row>
    <row r="102" spans="1:3" ht="24" customHeight="1" x14ac:dyDescent="0.2">
      <c r="A102" s="59" t="s">
        <v>155</v>
      </c>
      <c r="B102" s="53" t="s">
        <v>156</v>
      </c>
      <c r="C102" s="85">
        <f>IF([4]С4.2!F8="да",[4]С4.2!D21,[4]С4.2!D15)</f>
        <v>0</v>
      </c>
    </row>
    <row r="103" spans="1:3" ht="68.25" x14ac:dyDescent="0.2">
      <c r="A103" s="59" t="s">
        <v>157</v>
      </c>
      <c r="B103" s="53" t="s">
        <v>158</v>
      </c>
      <c r="C103" s="34">
        <f>[4]С4!F22</f>
        <v>3.6112641666666665</v>
      </c>
    </row>
    <row r="104" spans="1:3" ht="30" x14ac:dyDescent="0.2">
      <c r="A104" s="59" t="s">
        <v>159</v>
      </c>
      <c r="B104" s="58" t="s">
        <v>160</v>
      </c>
      <c r="C104" s="34">
        <f>[4]С4!F23</f>
        <v>180</v>
      </c>
    </row>
    <row r="105" spans="1:3" ht="14.25" x14ac:dyDescent="0.2">
      <c r="A105" s="59" t="s">
        <v>161</v>
      </c>
      <c r="B105" s="53" t="s">
        <v>162</v>
      </c>
      <c r="C105" s="34">
        <f>[4]С4!F24</f>
        <v>8497.1999999999989</v>
      </c>
    </row>
    <row r="106" spans="1:3" ht="14.25" x14ac:dyDescent="0.2">
      <c r="A106" s="59" t="s">
        <v>163</v>
      </c>
      <c r="B106" s="58" t="s">
        <v>164</v>
      </c>
      <c r="C106" s="40">
        <f>[4]С4!F25</f>
        <v>0.35</v>
      </c>
    </row>
    <row r="107" spans="1:3" ht="17.25" x14ac:dyDescent="0.2">
      <c r="A107" s="59" t="s">
        <v>165</v>
      </c>
      <c r="B107" s="33" t="s">
        <v>166</v>
      </c>
      <c r="C107" s="34">
        <f>[4]С4!F26</f>
        <v>26.941125</v>
      </c>
    </row>
    <row r="108" spans="1:3" ht="25.5" x14ac:dyDescent="0.2">
      <c r="A108" s="59" t="s">
        <v>167</v>
      </c>
      <c r="B108" s="53" t="s">
        <v>94</v>
      </c>
      <c r="C108" s="85">
        <f>[4]С4.3!E16</f>
        <v>0</v>
      </c>
    </row>
    <row r="109" spans="1:3" ht="25.5" x14ac:dyDescent="0.2">
      <c r="A109" s="59" t="s">
        <v>168</v>
      </c>
      <c r="B109" s="53" t="s">
        <v>169</v>
      </c>
      <c r="C109" s="34">
        <f>[4]С4.3!E17</f>
        <v>6.3083333333333336</v>
      </c>
    </row>
    <row r="110" spans="1:3" ht="38.25" x14ac:dyDescent="0.2">
      <c r="A110" s="59" t="s">
        <v>170</v>
      </c>
      <c r="B110" s="53" t="s">
        <v>106</v>
      </c>
      <c r="C110" s="85">
        <f>[4]С4.3!E18</f>
        <v>0</v>
      </c>
    </row>
    <row r="111" spans="1:3" x14ac:dyDescent="0.2">
      <c r="A111" s="59" t="s">
        <v>171</v>
      </c>
      <c r="B111" s="53" t="s">
        <v>172</v>
      </c>
      <c r="C111" s="34">
        <f>[4]С4.3!E19</f>
        <v>23.616666666666667</v>
      </c>
    </row>
    <row r="112" spans="1:3" x14ac:dyDescent="0.2">
      <c r="A112" s="59" t="s">
        <v>173</v>
      </c>
      <c r="B112" s="58" t="s">
        <v>174</v>
      </c>
      <c r="C112" s="34">
        <f>[4]С4.3!E11</f>
        <v>1871</v>
      </c>
    </row>
    <row r="113" spans="1:3" x14ac:dyDescent="0.2">
      <c r="A113" s="59" t="s">
        <v>175</v>
      </c>
      <c r="B113" s="58" t="s">
        <v>176</v>
      </c>
      <c r="C113" s="52">
        <f>[4]С4.3!E12</f>
        <v>1636</v>
      </c>
    </row>
    <row r="114" spans="1:3" x14ac:dyDescent="0.2">
      <c r="A114" s="59" t="s">
        <v>177</v>
      </c>
      <c r="B114" s="58" t="s">
        <v>178</v>
      </c>
      <c r="C114" s="52">
        <f>[4]С4.3!E13</f>
        <v>204</v>
      </c>
    </row>
    <row r="115" spans="1:3" ht="30" x14ac:dyDescent="0.2">
      <c r="A115" s="59" t="s">
        <v>179</v>
      </c>
      <c r="B115" s="33" t="s">
        <v>180</v>
      </c>
      <c r="C115" s="34">
        <f>[4]С4!F27</f>
        <v>1291.2863994686898</v>
      </c>
    </row>
    <row r="116" spans="1:3" ht="25.5" x14ac:dyDescent="0.2">
      <c r="A116" s="59" t="s">
        <v>181</v>
      </c>
      <c r="B116" s="53" t="s">
        <v>182</v>
      </c>
      <c r="C116" s="34">
        <f>[4]С4!F28</f>
        <v>991.77142816335618</v>
      </c>
    </row>
    <row r="117" spans="1:3" ht="42.75" x14ac:dyDescent="0.2">
      <c r="A117" s="59" t="s">
        <v>183</v>
      </c>
      <c r="B117" s="53" t="s">
        <v>184</v>
      </c>
      <c r="C117" s="34">
        <f>[4]С4!F29</f>
        <v>299.51497130533357</v>
      </c>
    </row>
    <row r="118" spans="1:3" ht="30" x14ac:dyDescent="0.2">
      <c r="A118" s="59" t="s">
        <v>185</v>
      </c>
      <c r="B118" s="39" t="s">
        <v>186</v>
      </c>
      <c r="C118" s="34">
        <f>[4]С4!F30</f>
        <v>2899.643221393334</v>
      </c>
    </row>
    <row r="119" spans="1:3" ht="42.75" x14ac:dyDescent="0.2">
      <c r="A119" s="59" t="s">
        <v>187</v>
      </c>
      <c r="B119" s="86" t="s">
        <v>188</v>
      </c>
      <c r="C119" s="34">
        <f>[4]С4!F33</f>
        <v>1704.2859818279546</v>
      </c>
    </row>
    <row r="120" spans="1:3" ht="30" x14ac:dyDescent="0.2">
      <c r="A120" s="59" t="s">
        <v>189</v>
      </c>
      <c r="B120" s="87" t="s">
        <v>190</v>
      </c>
      <c r="C120" s="34">
        <f>[4]С4!F35</f>
        <v>17.040680999999999</v>
      </c>
    </row>
    <row r="121" spans="1:3" ht="14.25" x14ac:dyDescent="0.2">
      <c r="A121" s="59" t="s">
        <v>191</v>
      </c>
      <c r="B121" s="56" t="s">
        <v>192</v>
      </c>
      <c r="C121" s="34">
        <f>[4]С4!F36</f>
        <v>14319.9</v>
      </c>
    </row>
    <row r="122" spans="1:3" ht="28.5" thickBot="1" x14ac:dyDescent="0.25">
      <c r="A122" s="72" t="s">
        <v>193</v>
      </c>
      <c r="B122" s="88" t="s">
        <v>194</v>
      </c>
      <c r="C122" s="83">
        <f>[4]С4!F37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[4]С5!F17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[4]С2!F37</f>
        <v>20.818139999999996</v>
      </c>
    </row>
    <row r="136" spans="1:3" ht="14.25" x14ac:dyDescent="0.2">
      <c r="A136" s="59" t="s">
        <v>216</v>
      </c>
      <c r="B136" s="101" t="s">
        <v>217</v>
      </c>
      <c r="C136" s="34">
        <f>[4]С2!F38</f>
        <v>7</v>
      </c>
    </row>
    <row r="137" spans="1:3" ht="17.25" x14ac:dyDescent="0.2">
      <c r="A137" s="59" t="s">
        <v>218</v>
      </c>
      <c r="B137" s="101" t="s">
        <v>219</v>
      </c>
      <c r="C137" s="34">
        <f>[4]С2!F40</f>
        <v>0.97</v>
      </c>
    </row>
    <row r="138" spans="1:3" ht="15" thickBot="1" x14ac:dyDescent="0.25">
      <c r="A138" s="72" t="s">
        <v>220</v>
      </c>
      <c r="B138" s="102" t="s">
        <v>221</v>
      </c>
      <c r="C138" s="46">
        <f>[4]С2!F42</f>
        <v>0.35</v>
      </c>
    </row>
    <row r="139" spans="1:3" s="89" customFormat="1" ht="13.5" thickBot="1" x14ac:dyDescent="0.25">
      <c r="A139" s="47"/>
      <c r="B139" s="75"/>
      <c r="C139" s="15"/>
    </row>
    <row r="140" spans="1:3" ht="30" x14ac:dyDescent="0.2">
      <c r="A140" s="84" t="s">
        <v>222</v>
      </c>
      <c r="B140" s="103" t="s">
        <v>223</v>
      </c>
      <c r="C140" s="104">
        <f>[4]С2!F35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[4]С2.5!$E$11</f>
        <v>-2.9000000000000026E-2</v>
      </c>
    </row>
    <row r="144" spans="1:3" x14ac:dyDescent="0.2">
      <c r="A144" s="105"/>
      <c r="B144" s="110">
        <f>B143+1</f>
        <v>2021</v>
      </c>
      <c r="C144" s="111">
        <f>[4]С2.5!$F$11</f>
        <v>0.245</v>
      </c>
    </row>
    <row r="145" spans="1:3" x14ac:dyDescent="0.2">
      <c r="A145" s="105"/>
      <c r="B145" s="110">
        <f t="shared" ref="B145:B208" si="0">B144+1</f>
        <v>2022</v>
      </c>
      <c r="C145" s="111">
        <f>[4]С2.5!$G$11</f>
        <v>0.114</v>
      </c>
    </row>
    <row r="146" spans="1:3" ht="13.5" thickBot="1" x14ac:dyDescent="0.25">
      <c r="A146" s="105"/>
      <c r="B146" s="112">
        <f t="shared" si="0"/>
        <v>2023</v>
      </c>
      <c r="C146" s="113">
        <f>[4]С2.5!$H$11</f>
        <v>0.04</v>
      </c>
    </row>
    <row r="147" spans="1:3" x14ac:dyDescent="0.2">
      <c r="A147" s="105"/>
      <c r="B147" s="114">
        <f t="shared" si="0"/>
        <v>2024</v>
      </c>
      <c r="C147" s="115">
        <f>[4]С2.5!$I$11</f>
        <v>0.11700000000000001</v>
      </c>
    </row>
    <row r="148" spans="1:3" x14ac:dyDescent="0.2">
      <c r="A148" s="105"/>
      <c r="B148" s="110">
        <f t="shared" si="0"/>
        <v>2025</v>
      </c>
      <c r="C148" s="111">
        <f>[4]С2.5!$J$11</f>
        <v>6.0999999999999999E-2</v>
      </c>
    </row>
    <row r="149" spans="1:3" hidden="1" x14ac:dyDescent="0.2">
      <c r="A149" s="105"/>
      <c r="B149" s="110">
        <f t="shared" si="0"/>
        <v>2026</v>
      </c>
      <c r="C149" s="111">
        <f>[4]С2.5!$K$11</f>
        <v>3.5813361771260002E-2</v>
      </c>
    </row>
    <row r="150" spans="1:3" hidden="1" x14ac:dyDescent="0.2">
      <c r="A150" s="105"/>
      <c r="B150" s="110">
        <f t="shared" si="0"/>
        <v>2027</v>
      </c>
      <c r="C150" s="111">
        <f>[4]С2.5!$L$11</f>
        <v>3.2682303599220003E-2</v>
      </c>
    </row>
    <row r="151" spans="1:3" hidden="1" x14ac:dyDescent="0.2">
      <c r="A151" s="105"/>
      <c r="B151" s="110">
        <f t="shared" si="0"/>
        <v>2028</v>
      </c>
      <c r="C151" s="111">
        <f>[4]С2.5!$M$11</f>
        <v>0</v>
      </c>
    </row>
    <row r="152" spans="1:3" hidden="1" x14ac:dyDescent="0.2">
      <c r="A152" s="105"/>
      <c r="B152" s="110">
        <f t="shared" si="0"/>
        <v>2029</v>
      </c>
      <c r="C152" s="111">
        <f>[4]С2.5!$N$11</f>
        <v>0</v>
      </c>
    </row>
    <row r="153" spans="1:3" hidden="1" x14ac:dyDescent="0.2">
      <c r="A153" s="105"/>
      <c r="B153" s="110">
        <f t="shared" si="0"/>
        <v>2030</v>
      </c>
      <c r="C153" s="111">
        <f>[4]С2.5!$O$11</f>
        <v>0</v>
      </c>
    </row>
    <row r="154" spans="1:3" hidden="1" x14ac:dyDescent="0.2">
      <c r="A154" s="105"/>
      <c r="B154" s="110">
        <f t="shared" si="0"/>
        <v>2031</v>
      </c>
      <c r="C154" s="111">
        <f>[4]С2.5!$P$11</f>
        <v>0</v>
      </c>
    </row>
    <row r="155" spans="1:3" hidden="1" x14ac:dyDescent="0.2">
      <c r="A155" s="89"/>
      <c r="B155" s="110">
        <f t="shared" si="0"/>
        <v>2032</v>
      </c>
      <c r="C155" s="111">
        <f>[4]С2.5!$Q$11</f>
        <v>0</v>
      </c>
    </row>
    <row r="156" spans="1:3" hidden="1" x14ac:dyDescent="0.2">
      <c r="A156" s="89"/>
      <c r="B156" s="110">
        <f t="shared" si="0"/>
        <v>2033</v>
      </c>
      <c r="C156" s="111">
        <f>[4]С2.5!$R$11</f>
        <v>0</v>
      </c>
    </row>
    <row r="157" spans="1:3" hidden="1" x14ac:dyDescent="0.2">
      <c r="B157" s="110">
        <f t="shared" si="0"/>
        <v>2034</v>
      </c>
      <c r="C157" s="111">
        <f>[4]С2.5!$S$11</f>
        <v>0</v>
      </c>
    </row>
    <row r="158" spans="1:3" hidden="1" x14ac:dyDescent="0.2">
      <c r="B158" s="110">
        <f t="shared" si="0"/>
        <v>2035</v>
      </c>
      <c r="C158" s="111">
        <f>[4]С2.5!$T$11</f>
        <v>0</v>
      </c>
    </row>
    <row r="159" spans="1:3" hidden="1" x14ac:dyDescent="0.2">
      <c r="B159" s="110">
        <f t="shared" si="0"/>
        <v>2036</v>
      </c>
      <c r="C159" s="111">
        <f>[4]С2.5!$U$11</f>
        <v>0</v>
      </c>
    </row>
    <row r="160" spans="1:3" hidden="1" x14ac:dyDescent="0.2">
      <c r="B160" s="110">
        <f t="shared" si="0"/>
        <v>2037</v>
      </c>
      <c r="C160" s="111">
        <f>[4]С2.5!$V$11</f>
        <v>0</v>
      </c>
    </row>
    <row r="161" spans="2:3" hidden="1" x14ac:dyDescent="0.2">
      <c r="B161" s="110">
        <f t="shared" si="0"/>
        <v>2038</v>
      </c>
      <c r="C161" s="111">
        <f>[4]С2.5!$W$11</f>
        <v>0</v>
      </c>
    </row>
    <row r="162" spans="2:3" hidden="1" x14ac:dyDescent="0.2">
      <c r="B162" s="110">
        <f t="shared" si="0"/>
        <v>2039</v>
      </c>
      <c r="C162" s="111">
        <f>[4]С2.5!$X$11</f>
        <v>0</v>
      </c>
    </row>
    <row r="163" spans="2:3" hidden="1" x14ac:dyDescent="0.2">
      <c r="B163" s="110">
        <f t="shared" si="0"/>
        <v>2040</v>
      </c>
      <c r="C163" s="111">
        <f>[4]С2.5!$Y$11</f>
        <v>0</v>
      </c>
    </row>
    <row r="164" spans="2:3" hidden="1" x14ac:dyDescent="0.2">
      <c r="B164" s="110">
        <f t="shared" si="0"/>
        <v>2041</v>
      </c>
      <c r="C164" s="111">
        <f>[4]С2.5!$Z$11</f>
        <v>0</v>
      </c>
    </row>
    <row r="165" spans="2:3" hidden="1" x14ac:dyDescent="0.2">
      <c r="B165" s="110">
        <f t="shared" si="0"/>
        <v>2042</v>
      </c>
      <c r="C165" s="111">
        <f>[4]С2.5!$AA$11</f>
        <v>0</v>
      </c>
    </row>
    <row r="166" spans="2:3" hidden="1" x14ac:dyDescent="0.2">
      <c r="B166" s="110">
        <f t="shared" si="0"/>
        <v>2043</v>
      </c>
      <c r="C166" s="111">
        <f>[4]С2.5!$AB$11</f>
        <v>0</v>
      </c>
    </row>
    <row r="167" spans="2:3" hidden="1" x14ac:dyDescent="0.2">
      <c r="B167" s="110">
        <f t="shared" si="0"/>
        <v>2044</v>
      </c>
      <c r="C167" s="111">
        <f>[4]С2.5!$AC$11</f>
        <v>0</v>
      </c>
    </row>
    <row r="168" spans="2:3" hidden="1" x14ac:dyDescent="0.2">
      <c r="B168" s="110">
        <f t="shared" si="0"/>
        <v>2045</v>
      </c>
      <c r="C168" s="111">
        <f>[4]С2.5!$AD$11</f>
        <v>0</v>
      </c>
    </row>
    <row r="169" spans="2:3" hidden="1" x14ac:dyDescent="0.2">
      <c r="B169" s="110">
        <f t="shared" si="0"/>
        <v>2046</v>
      </c>
      <c r="C169" s="111">
        <f>[4]С2.5!$AE$11</f>
        <v>0</v>
      </c>
    </row>
    <row r="170" spans="2:3" hidden="1" x14ac:dyDescent="0.2">
      <c r="B170" s="110">
        <f t="shared" si="0"/>
        <v>2047</v>
      </c>
      <c r="C170" s="111">
        <f>[4]С2.5!$AF$11</f>
        <v>0</v>
      </c>
    </row>
    <row r="171" spans="2:3" hidden="1" x14ac:dyDescent="0.2">
      <c r="B171" s="110">
        <f t="shared" si="0"/>
        <v>2048</v>
      </c>
      <c r="C171" s="111">
        <f>[4]С2.5!$AG$11</f>
        <v>0</v>
      </c>
    </row>
    <row r="172" spans="2:3" hidden="1" x14ac:dyDescent="0.2">
      <c r="B172" s="110">
        <f t="shared" si="0"/>
        <v>2049</v>
      </c>
      <c r="C172" s="111">
        <f>[4]С2.5!$AH$11</f>
        <v>0</v>
      </c>
    </row>
    <row r="173" spans="2:3" hidden="1" x14ac:dyDescent="0.2">
      <c r="B173" s="110">
        <f t="shared" si="0"/>
        <v>2050</v>
      </c>
      <c r="C173" s="111">
        <f>[4]С2.5!$AI$11</f>
        <v>0</v>
      </c>
    </row>
    <row r="174" spans="2:3" hidden="1" x14ac:dyDescent="0.2">
      <c r="B174" s="110">
        <f t="shared" si="0"/>
        <v>2051</v>
      </c>
      <c r="C174" s="111">
        <f>[4]С2.5!$AJ$11</f>
        <v>0</v>
      </c>
    </row>
    <row r="175" spans="2:3" hidden="1" x14ac:dyDescent="0.2">
      <c r="B175" s="110">
        <f t="shared" si="0"/>
        <v>2052</v>
      </c>
      <c r="C175" s="111">
        <f>[4]С2.5!$AK$11</f>
        <v>0</v>
      </c>
    </row>
    <row r="176" spans="2:3" hidden="1" x14ac:dyDescent="0.2">
      <c r="B176" s="110">
        <f t="shared" si="0"/>
        <v>2053</v>
      </c>
      <c r="C176" s="111">
        <f>[4]С2.5!$AL$11</f>
        <v>0</v>
      </c>
    </row>
    <row r="177" spans="2:3" hidden="1" x14ac:dyDescent="0.2">
      <c r="B177" s="110">
        <f t="shared" si="0"/>
        <v>2054</v>
      </c>
      <c r="C177" s="111">
        <f>[4]С2.5!$AM$11</f>
        <v>0</v>
      </c>
    </row>
    <row r="178" spans="2:3" hidden="1" x14ac:dyDescent="0.2">
      <c r="B178" s="110">
        <f t="shared" si="0"/>
        <v>2055</v>
      </c>
      <c r="C178" s="111">
        <f>[4]С2.5!$AN$11</f>
        <v>0</v>
      </c>
    </row>
    <row r="179" spans="2:3" hidden="1" x14ac:dyDescent="0.2">
      <c r="B179" s="110">
        <f t="shared" si="0"/>
        <v>2056</v>
      </c>
      <c r="C179" s="111">
        <f>[4]С2.5!$AO$11</f>
        <v>0</v>
      </c>
    </row>
    <row r="180" spans="2:3" hidden="1" x14ac:dyDescent="0.2">
      <c r="B180" s="110">
        <f t="shared" si="0"/>
        <v>2057</v>
      </c>
      <c r="C180" s="111">
        <f>[4]С2.5!$AP$11</f>
        <v>0</v>
      </c>
    </row>
    <row r="181" spans="2:3" hidden="1" x14ac:dyDescent="0.2">
      <c r="B181" s="110">
        <f t="shared" si="0"/>
        <v>2058</v>
      </c>
      <c r="C181" s="111">
        <f>[4]С2.5!$AQ$11</f>
        <v>0</v>
      </c>
    </row>
    <row r="182" spans="2:3" hidden="1" x14ac:dyDescent="0.2">
      <c r="B182" s="110">
        <f t="shared" si="0"/>
        <v>2059</v>
      </c>
      <c r="C182" s="111">
        <f>[4]С2.5!$AR$11</f>
        <v>0</v>
      </c>
    </row>
    <row r="183" spans="2:3" hidden="1" x14ac:dyDescent="0.2">
      <c r="B183" s="110">
        <f t="shared" si="0"/>
        <v>2060</v>
      </c>
      <c r="C183" s="111">
        <f>[4]С2.5!$AS$11</f>
        <v>0</v>
      </c>
    </row>
    <row r="184" spans="2:3" hidden="1" x14ac:dyDescent="0.2">
      <c r="B184" s="110">
        <f t="shared" si="0"/>
        <v>2061</v>
      </c>
      <c r="C184" s="111">
        <f>[4]С2.5!$AT$11</f>
        <v>0</v>
      </c>
    </row>
    <row r="185" spans="2:3" hidden="1" x14ac:dyDescent="0.2">
      <c r="B185" s="110">
        <f t="shared" si="0"/>
        <v>2062</v>
      </c>
      <c r="C185" s="111">
        <f>[4]С2.5!$AU$11</f>
        <v>0</v>
      </c>
    </row>
    <row r="186" spans="2:3" hidden="1" x14ac:dyDescent="0.2">
      <c r="B186" s="110">
        <f t="shared" si="0"/>
        <v>2063</v>
      </c>
      <c r="C186" s="111">
        <f>[4]С2.5!$AV$11</f>
        <v>0</v>
      </c>
    </row>
    <row r="187" spans="2:3" hidden="1" x14ac:dyDescent="0.2">
      <c r="B187" s="110">
        <f t="shared" si="0"/>
        <v>2064</v>
      </c>
      <c r="C187" s="111">
        <f>[4]С2.5!$AW$11</f>
        <v>0</v>
      </c>
    </row>
    <row r="188" spans="2:3" hidden="1" x14ac:dyDescent="0.2">
      <c r="B188" s="110">
        <f t="shared" si="0"/>
        <v>2065</v>
      </c>
      <c r="C188" s="111">
        <f>[4]С2.5!$AX$11</f>
        <v>0</v>
      </c>
    </row>
    <row r="189" spans="2:3" hidden="1" x14ac:dyDescent="0.2">
      <c r="B189" s="110">
        <f t="shared" si="0"/>
        <v>2066</v>
      </c>
      <c r="C189" s="111">
        <f>[4]С2.5!$AY$11</f>
        <v>0</v>
      </c>
    </row>
    <row r="190" spans="2:3" hidden="1" x14ac:dyDescent="0.2">
      <c r="B190" s="110">
        <f t="shared" si="0"/>
        <v>2067</v>
      </c>
      <c r="C190" s="111">
        <f>[4]С2.5!$AZ$11</f>
        <v>0</v>
      </c>
    </row>
    <row r="191" spans="2:3" hidden="1" x14ac:dyDescent="0.2">
      <c r="B191" s="110">
        <f t="shared" si="0"/>
        <v>2068</v>
      </c>
      <c r="C191" s="111">
        <f>[4]С2.5!$BA$11</f>
        <v>0</v>
      </c>
    </row>
    <row r="192" spans="2:3" hidden="1" x14ac:dyDescent="0.2">
      <c r="B192" s="110">
        <f t="shared" si="0"/>
        <v>2069</v>
      </c>
      <c r="C192" s="111">
        <f>[4]С2.5!$BB$11</f>
        <v>0</v>
      </c>
    </row>
    <row r="193" spans="2:3" hidden="1" x14ac:dyDescent="0.2">
      <c r="B193" s="110">
        <f t="shared" si="0"/>
        <v>2070</v>
      </c>
      <c r="C193" s="111">
        <f>[4]С2.5!$BC$11</f>
        <v>0</v>
      </c>
    </row>
    <row r="194" spans="2:3" hidden="1" x14ac:dyDescent="0.2">
      <c r="B194" s="110">
        <f t="shared" si="0"/>
        <v>2071</v>
      </c>
      <c r="C194" s="111">
        <f>[4]С2.5!$BD$11</f>
        <v>0</v>
      </c>
    </row>
    <row r="195" spans="2:3" hidden="1" x14ac:dyDescent="0.2">
      <c r="B195" s="110">
        <f t="shared" si="0"/>
        <v>2072</v>
      </c>
      <c r="C195" s="111">
        <f>[4]С2.5!$BE$11</f>
        <v>0</v>
      </c>
    </row>
    <row r="196" spans="2:3" hidden="1" x14ac:dyDescent="0.2">
      <c r="B196" s="110">
        <f t="shared" si="0"/>
        <v>2073</v>
      </c>
      <c r="C196" s="111">
        <f>[4]С2.5!$BF$11</f>
        <v>0</v>
      </c>
    </row>
    <row r="197" spans="2:3" hidden="1" x14ac:dyDescent="0.2">
      <c r="B197" s="110">
        <f t="shared" si="0"/>
        <v>2074</v>
      </c>
      <c r="C197" s="111">
        <f>[4]С2.5!$BG$11</f>
        <v>0</v>
      </c>
    </row>
    <row r="198" spans="2:3" hidden="1" x14ac:dyDescent="0.2">
      <c r="B198" s="110">
        <f t="shared" si="0"/>
        <v>2075</v>
      </c>
      <c r="C198" s="111">
        <f>[4]С2.5!$BH$11</f>
        <v>0</v>
      </c>
    </row>
    <row r="199" spans="2:3" hidden="1" x14ac:dyDescent="0.2">
      <c r="B199" s="110">
        <f t="shared" si="0"/>
        <v>2076</v>
      </c>
      <c r="C199" s="111">
        <f>[4]С2.5!$BI$11</f>
        <v>0</v>
      </c>
    </row>
    <row r="200" spans="2:3" hidden="1" x14ac:dyDescent="0.2">
      <c r="B200" s="110">
        <f t="shared" si="0"/>
        <v>2077</v>
      </c>
      <c r="C200" s="111">
        <f>[4]С2.5!$BJ$11</f>
        <v>0</v>
      </c>
    </row>
    <row r="201" spans="2:3" hidden="1" x14ac:dyDescent="0.2">
      <c r="B201" s="110">
        <f t="shared" si="0"/>
        <v>2078</v>
      </c>
      <c r="C201" s="111">
        <f>[4]С2.5!$BK$11</f>
        <v>0</v>
      </c>
    </row>
    <row r="202" spans="2:3" hidden="1" x14ac:dyDescent="0.2">
      <c r="B202" s="110">
        <f t="shared" si="0"/>
        <v>2079</v>
      </c>
      <c r="C202" s="111">
        <f>[4]С2.5!$BL$11</f>
        <v>0</v>
      </c>
    </row>
    <row r="203" spans="2:3" hidden="1" x14ac:dyDescent="0.2">
      <c r="B203" s="110">
        <f t="shared" si="0"/>
        <v>2080</v>
      </c>
      <c r="C203" s="111">
        <f>[4]С2.5!$BM$11</f>
        <v>0</v>
      </c>
    </row>
    <row r="204" spans="2:3" hidden="1" x14ac:dyDescent="0.2">
      <c r="B204" s="110">
        <f t="shared" si="0"/>
        <v>2081</v>
      </c>
      <c r="C204" s="111">
        <f>[4]С2.5!$BN$11</f>
        <v>0</v>
      </c>
    </row>
    <row r="205" spans="2:3" hidden="1" x14ac:dyDescent="0.2">
      <c r="B205" s="110">
        <f t="shared" si="0"/>
        <v>2082</v>
      </c>
      <c r="C205" s="111">
        <f>[4]С2.5!$BO$11</f>
        <v>0</v>
      </c>
    </row>
    <row r="206" spans="2:3" hidden="1" x14ac:dyDescent="0.2">
      <c r="B206" s="110">
        <f t="shared" si="0"/>
        <v>2083</v>
      </c>
      <c r="C206" s="111">
        <f>[4]С2.5!$BP$11</f>
        <v>0</v>
      </c>
    </row>
    <row r="207" spans="2:3" hidden="1" x14ac:dyDescent="0.2">
      <c r="B207" s="110">
        <f t="shared" si="0"/>
        <v>2084</v>
      </c>
      <c r="C207" s="111">
        <f>[4]С2.5!$BQ$11</f>
        <v>0</v>
      </c>
    </row>
    <row r="208" spans="2:3" hidden="1" x14ac:dyDescent="0.2">
      <c r="B208" s="110">
        <f t="shared" si="0"/>
        <v>2085</v>
      </c>
      <c r="C208" s="111">
        <f>[4]С2.5!$BR$11</f>
        <v>0</v>
      </c>
    </row>
    <row r="209" spans="2:3" hidden="1" x14ac:dyDescent="0.2">
      <c r="B209" s="110">
        <f t="shared" ref="B209:B223" si="1">B208+1</f>
        <v>2086</v>
      </c>
      <c r="C209" s="111">
        <f>[4]С2.5!$BS$11</f>
        <v>0</v>
      </c>
    </row>
    <row r="210" spans="2:3" hidden="1" x14ac:dyDescent="0.2">
      <c r="B210" s="110">
        <f t="shared" si="1"/>
        <v>2087</v>
      </c>
      <c r="C210" s="111">
        <f>[4]С2.5!$BT$11</f>
        <v>0</v>
      </c>
    </row>
    <row r="211" spans="2:3" hidden="1" x14ac:dyDescent="0.2">
      <c r="B211" s="110">
        <f t="shared" si="1"/>
        <v>2088</v>
      </c>
      <c r="C211" s="111">
        <f>[4]С2.5!$BU$11</f>
        <v>0</v>
      </c>
    </row>
    <row r="212" spans="2:3" hidden="1" x14ac:dyDescent="0.2">
      <c r="B212" s="110">
        <f t="shared" si="1"/>
        <v>2089</v>
      </c>
      <c r="C212" s="111">
        <f>[4]С2.5!$BV$11</f>
        <v>0</v>
      </c>
    </row>
    <row r="213" spans="2:3" hidden="1" x14ac:dyDescent="0.2">
      <c r="B213" s="110">
        <f t="shared" si="1"/>
        <v>2090</v>
      </c>
      <c r="C213" s="111">
        <f>[4]С2.5!$BW$11</f>
        <v>0</v>
      </c>
    </row>
    <row r="214" spans="2:3" hidden="1" x14ac:dyDescent="0.2">
      <c r="B214" s="110">
        <f t="shared" si="1"/>
        <v>2091</v>
      </c>
      <c r="C214" s="111">
        <f>[4]С2.5!$BX$11</f>
        <v>0</v>
      </c>
    </row>
    <row r="215" spans="2:3" hidden="1" x14ac:dyDescent="0.2">
      <c r="B215" s="110">
        <f t="shared" si="1"/>
        <v>2092</v>
      </c>
      <c r="C215" s="111">
        <f>[4]С2.5!$BY$11</f>
        <v>0</v>
      </c>
    </row>
    <row r="216" spans="2:3" hidden="1" x14ac:dyDescent="0.2">
      <c r="B216" s="110">
        <f t="shared" si="1"/>
        <v>2093</v>
      </c>
      <c r="C216" s="111">
        <f>[4]С2.5!$BZ$11</f>
        <v>0</v>
      </c>
    </row>
    <row r="217" spans="2:3" hidden="1" x14ac:dyDescent="0.2">
      <c r="B217" s="110">
        <f t="shared" si="1"/>
        <v>2094</v>
      </c>
      <c r="C217" s="111">
        <f>[4]С2.5!$CA$11</f>
        <v>0</v>
      </c>
    </row>
    <row r="218" spans="2:3" hidden="1" x14ac:dyDescent="0.2">
      <c r="B218" s="110">
        <f t="shared" si="1"/>
        <v>2095</v>
      </c>
      <c r="C218" s="111">
        <f>[4]С2.5!$CB$11</f>
        <v>0</v>
      </c>
    </row>
    <row r="219" spans="2:3" hidden="1" x14ac:dyDescent="0.2">
      <c r="B219" s="110">
        <f t="shared" si="1"/>
        <v>2096</v>
      </c>
      <c r="C219" s="111">
        <f>[4]С2.5!$CC$11</f>
        <v>0</v>
      </c>
    </row>
    <row r="220" spans="2:3" hidden="1" x14ac:dyDescent="0.2">
      <c r="B220" s="110">
        <f t="shared" si="1"/>
        <v>2097</v>
      </c>
      <c r="C220" s="111">
        <f>[4]С2.5!$CD$11</f>
        <v>0</v>
      </c>
    </row>
    <row r="221" spans="2:3" hidden="1" x14ac:dyDescent="0.2">
      <c r="B221" s="110">
        <f t="shared" si="1"/>
        <v>2098</v>
      </c>
      <c r="C221" s="111">
        <f>[4]С2.5!$CE$11</f>
        <v>0</v>
      </c>
    </row>
    <row r="222" spans="2:3" hidden="1" x14ac:dyDescent="0.2">
      <c r="B222" s="110">
        <f t="shared" si="1"/>
        <v>2099</v>
      </c>
      <c r="C222" s="111">
        <f>[4]С2.5!$CF$11</f>
        <v>0</v>
      </c>
    </row>
    <row r="223" spans="2:3" ht="13.5" hidden="1" thickBot="1" x14ac:dyDescent="0.25">
      <c r="B223" s="112">
        <f t="shared" si="1"/>
        <v>2100</v>
      </c>
      <c r="C223" s="113">
        <f>[4]С2.5!$CG$11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[5]И1!D13</f>
        <v>Субъект Российской Федерации</v>
      </c>
      <c r="C4" s="10" t="str">
        <f>[5]И1!E13</f>
        <v>Новосибирская область</v>
      </c>
    </row>
    <row r="5" spans="1:3" ht="46.9" customHeight="1" x14ac:dyDescent="0.2">
      <c r="A5" s="8"/>
      <c r="B5" s="9" t="str">
        <f>[5]И1!D14</f>
        <v>Тип муниципального образования (выберите из списка)</v>
      </c>
      <c r="C5" s="10" t="str">
        <f>[5]И1!E14</f>
        <v xml:space="preserve">село Казанак, Краснозерский муниципальный район </v>
      </c>
    </row>
    <row r="6" spans="1:3" x14ac:dyDescent="0.2">
      <c r="A6" s="8"/>
      <c r="B6" s="9" t="str">
        <f>IF([5]И1!E15="","",[5]И1!D15)</f>
        <v/>
      </c>
      <c r="C6" s="10" t="str">
        <f>IF([5]И1!E15="","",[5]И1!E15)</f>
        <v/>
      </c>
    </row>
    <row r="7" spans="1:3" x14ac:dyDescent="0.2">
      <c r="A7" s="8"/>
      <c r="B7" s="9" t="str">
        <f>[5]И1!D16</f>
        <v>Код ОКТМО</v>
      </c>
      <c r="C7" s="11" t="str">
        <f>[5]И1!E16</f>
        <v>(50627408101)</v>
      </c>
    </row>
    <row r="8" spans="1:3" x14ac:dyDescent="0.2">
      <c r="A8" s="8"/>
      <c r="B8" s="12" t="str">
        <f>[5]И1!D17</f>
        <v>Система теплоснабжения</v>
      </c>
      <c r="C8" s="13">
        <f>[5]И1!E17</f>
        <v>0</v>
      </c>
    </row>
    <row r="9" spans="1:3" x14ac:dyDescent="0.2">
      <c r="A9" s="8"/>
      <c r="B9" s="9" t="str">
        <f>[5]И1!D8</f>
        <v>Период регулирования (i)-й</v>
      </c>
      <c r="C9" s="14">
        <f>[5]И1!E8</f>
        <v>2025</v>
      </c>
    </row>
    <row r="10" spans="1:3" x14ac:dyDescent="0.2">
      <c r="A10" s="8"/>
      <c r="B10" s="9" t="str">
        <f>[5]И1!D9</f>
        <v>Период регулирования (i-1)-й</v>
      </c>
      <c r="C10" s="14">
        <f>[5]И1!E9</f>
        <v>2024</v>
      </c>
    </row>
    <row r="11" spans="1:3" x14ac:dyDescent="0.2">
      <c r="A11" s="8"/>
      <c r="B11" s="9" t="str">
        <f>[5]И1!D10</f>
        <v>Период регулирования (i-2)-й</v>
      </c>
      <c r="C11" s="14">
        <f>[5]И1!E10</f>
        <v>2023</v>
      </c>
    </row>
    <row r="12" spans="1:3" x14ac:dyDescent="0.2">
      <c r="A12" s="8"/>
      <c r="B12" s="9" t="str">
        <f>[5]И1!D11</f>
        <v>Базовый год (б)</v>
      </c>
      <c r="C12" s="14">
        <f>[5]И1!E11</f>
        <v>2019</v>
      </c>
    </row>
    <row r="13" spans="1:3" ht="38.25" x14ac:dyDescent="0.2">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5684.0037076492717</v>
      </c>
    </row>
    <row r="18" spans="1:3" ht="42.75" x14ac:dyDescent="0.2">
      <c r="A18" s="22" t="s">
        <v>8</v>
      </c>
      <c r="B18" s="25" t="s">
        <v>9</v>
      </c>
      <c r="C18" s="26">
        <f>[5]С1!F12</f>
        <v>1087.0385350710806</v>
      </c>
    </row>
    <row r="19" spans="1:3" ht="42.75" x14ac:dyDescent="0.2">
      <c r="A19" s="22" t="s">
        <v>10</v>
      </c>
      <c r="B19" s="25" t="s">
        <v>11</v>
      </c>
      <c r="C19" s="26">
        <f>[5]С2!F12</f>
        <v>3044.8315746726421</v>
      </c>
    </row>
    <row r="20" spans="1:3" ht="30" x14ac:dyDescent="0.2">
      <c r="A20" s="22" t="s">
        <v>12</v>
      </c>
      <c r="B20" s="25" t="s">
        <v>13</v>
      </c>
      <c r="C20" s="26">
        <f>[5]С3!F12</f>
        <v>911.5178018038722</v>
      </c>
    </row>
    <row r="21" spans="1:3" ht="42.75" x14ac:dyDescent="0.2">
      <c r="A21" s="22" t="s">
        <v>14</v>
      </c>
      <c r="B21" s="25" t="s">
        <v>15</v>
      </c>
      <c r="C21" s="26">
        <f>[5]С4!F12</f>
        <v>529.16474301051517</v>
      </c>
    </row>
    <row r="22" spans="1:3" ht="30" x14ac:dyDescent="0.2">
      <c r="A22" s="22" t="s">
        <v>16</v>
      </c>
      <c r="B22" s="25" t="s">
        <v>17</v>
      </c>
      <c r="C22" s="26">
        <f>[5]С5!F12</f>
        <v>111.45105309116219</v>
      </c>
    </row>
    <row r="23" spans="1:3" ht="43.5" thickBot="1" x14ac:dyDescent="0.25">
      <c r="A23" s="27" t="s">
        <v>18</v>
      </c>
      <c r="B23" s="117" t="s">
        <v>19</v>
      </c>
      <c r="C23" s="28" t="str">
        <f>[5]С6!F12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[5]С1.1!E16</f>
        <v>5100</v>
      </c>
    </row>
    <row r="29" spans="1:3" ht="42.75" x14ac:dyDescent="0.2">
      <c r="A29" s="22" t="s">
        <v>10</v>
      </c>
      <c r="B29" s="33" t="s">
        <v>22</v>
      </c>
      <c r="C29" s="34">
        <f>[5]С1.1!E27</f>
        <v>3921.2250000000004</v>
      </c>
    </row>
    <row r="30" spans="1:3" ht="17.25" x14ac:dyDescent="0.2">
      <c r="A30" s="22" t="s">
        <v>12</v>
      </c>
      <c r="B30" s="33" t="s">
        <v>23</v>
      </c>
      <c r="C30" s="35">
        <f>[5]С1.1!E19</f>
        <v>1.4E-2</v>
      </c>
    </row>
    <row r="31" spans="1:3" ht="17.25" x14ac:dyDescent="0.2">
      <c r="A31" s="22" t="s">
        <v>14</v>
      </c>
      <c r="B31" s="33" t="s">
        <v>24</v>
      </c>
      <c r="C31" s="35">
        <f>[5]С1.1!E20</f>
        <v>0.04</v>
      </c>
    </row>
    <row r="32" spans="1:3" ht="30" x14ac:dyDescent="0.2">
      <c r="A32" s="22" t="s">
        <v>16</v>
      </c>
      <c r="B32" s="36" t="s">
        <v>25</v>
      </c>
      <c r="C32" s="37">
        <f>[5]С1!F13</f>
        <v>176.4</v>
      </c>
    </row>
    <row r="33" spans="1:3" x14ac:dyDescent="0.2">
      <c r="A33" s="22" t="s">
        <v>18</v>
      </c>
      <c r="B33" s="36" t="s">
        <v>26</v>
      </c>
      <c r="C33" s="38">
        <f>[5]С1!F16</f>
        <v>7000</v>
      </c>
    </row>
    <row r="34" spans="1:3" ht="14.25" x14ac:dyDescent="0.2">
      <c r="A34" s="22" t="s">
        <v>27</v>
      </c>
      <c r="B34" s="39" t="s">
        <v>28</v>
      </c>
      <c r="C34" s="40">
        <f>[5]С1!F17</f>
        <v>0.72857142857142854</v>
      </c>
    </row>
    <row r="35" spans="1:3" ht="15.75" x14ac:dyDescent="0.2">
      <c r="A35" s="41" t="s">
        <v>29</v>
      </c>
      <c r="B35" s="42" t="s">
        <v>30</v>
      </c>
      <c r="C35" s="40">
        <f>[5]С1!F20</f>
        <v>21.588411179999994</v>
      </c>
    </row>
    <row r="36" spans="1:3" ht="15.75" x14ac:dyDescent="0.2">
      <c r="A36" s="41" t="s">
        <v>31</v>
      </c>
      <c r="B36" s="43" t="s">
        <v>32</v>
      </c>
      <c r="C36" s="40">
        <f>[5]С1!F21</f>
        <v>20.818139999999996</v>
      </c>
    </row>
    <row r="37" spans="1:3" ht="14.25" x14ac:dyDescent="0.2">
      <c r="A37" s="41" t="s">
        <v>33</v>
      </c>
      <c r="B37" s="44" t="s">
        <v>34</v>
      </c>
      <c r="C37" s="40">
        <f>[5]С1!F22</f>
        <v>1.0369999999999999</v>
      </c>
    </row>
    <row r="38" spans="1:3" ht="53.25" thickBot="1" x14ac:dyDescent="0.25">
      <c r="A38" s="27" t="s">
        <v>35</v>
      </c>
      <c r="B38" s="45" t="s">
        <v>36</v>
      </c>
      <c r="C38" s="46">
        <f>[5]С1!F23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[5]С2.1!E12</f>
        <v>V</v>
      </c>
    </row>
    <row r="42" spans="1:3" ht="25.5" x14ac:dyDescent="0.2">
      <c r="A42" s="22" t="s">
        <v>41</v>
      </c>
      <c r="B42" s="33" t="s">
        <v>42</v>
      </c>
      <c r="C42" s="51" t="str">
        <f>[5]С2.1!E13</f>
        <v>6 и менее баллов</v>
      </c>
    </row>
    <row r="43" spans="1:3" ht="25.5" x14ac:dyDescent="0.2">
      <c r="A43" s="22" t="s">
        <v>43</v>
      </c>
      <c r="B43" s="33" t="s">
        <v>44</v>
      </c>
      <c r="C43" s="51" t="str">
        <f>[5]С2.1!E14</f>
        <v>от 200 до 500</v>
      </c>
    </row>
    <row r="44" spans="1:3" ht="25.5" x14ac:dyDescent="0.2">
      <c r="A44" s="22" t="s">
        <v>45</v>
      </c>
      <c r="B44" s="33" t="s">
        <v>46</v>
      </c>
      <c r="C44" s="52" t="str">
        <f>[5]С2.1!E15</f>
        <v>нет</v>
      </c>
    </row>
    <row r="45" spans="1:3" ht="30" x14ac:dyDescent="0.2">
      <c r="A45" s="22" t="s">
        <v>47</v>
      </c>
      <c r="B45" s="33" t="s">
        <v>48</v>
      </c>
      <c r="C45" s="34">
        <f>[5]С2!F18</f>
        <v>38910.02669467502</v>
      </c>
    </row>
    <row r="46" spans="1:3" ht="30" x14ac:dyDescent="0.2">
      <c r="A46" s="22" t="s">
        <v>49</v>
      </c>
      <c r="B46" s="53" t="s">
        <v>50</v>
      </c>
      <c r="C46" s="34">
        <f>IF([5]С2!F19&gt;0,[5]С2!F19,[5]С2!F20)</f>
        <v>23441.524932855718</v>
      </c>
    </row>
    <row r="47" spans="1:3" ht="25.5" x14ac:dyDescent="0.2">
      <c r="A47" s="22" t="s">
        <v>51</v>
      </c>
      <c r="B47" s="54" t="s">
        <v>52</v>
      </c>
      <c r="C47" s="34">
        <f>[5]С2.1!E19</f>
        <v>-38</v>
      </c>
    </row>
    <row r="48" spans="1:3" ht="25.5" x14ac:dyDescent="0.2">
      <c r="A48" s="22" t="s">
        <v>53</v>
      </c>
      <c r="B48" s="54" t="s">
        <v>54</v>
      </c>
      <c r="C48" s="34" t="str">
        <f>[5]С2.1!E22</f>
        <v>нет</v>
      </c>
    </row>
    <row r="49" spans="1:3" ht="38.25" x14ac:dyDescent="0.2">
      <c r="A49" s="22" t="s">
        <v>55</v>
      </c>
      <c r="B49" s="55" t="s">
        <v>56</v>
      </c>
      <c r="C49" s="34">
        <f>[5]С2.2!E10</f>
        <v>1287</v>
      </c>
    </row>
    <row r="50" spans="1:3" ht="25.5" x14ac:dyDescent="0.2">
      <c r="A50" s="22" t="s">
        <v>57</v>
      </c>
      <c r="B50" s="56" t="s">
        <v>58</v>
      </c>
      <c r="C50" s="34">
        <f>[5]С2.2!E12</f>
        <v>5.97</v>
      </c>
    </row>
    <row r="51" spans="1:3" ht="52.5" x14ac:dyDescent="0.2">
      <c r="A51" s="22" t="s">
        <v>59</v>
      </c>
      <c r="B51" s="57" t="s">
        <v>60</v>
      </c>
      <c r="C51" s="34">
        <f>[5]С2.2!E13</f>
        <v>1</v>
      </c>
    </row>
    <row r="52" spans="1:3" ht="27.75" x14ac:dyDescent="0.2">
      <c r="A52" s="22" t="s">
        <v>61</v>
      </c>
      <c r="B52" s="56" t="s">
        <v>62</v>
      </c>
      <c r="C52" s="34">
        <f>[5]С2.2!E14</f>
        <v>12104</v>
      </c>
    </row>
    <row r="53" spans="1:3" ht="25.5" x14ac:dyDescent="0.2">
      <c r="A53" s="22" t="s">
        <v>63</v>
      </c>
      <c r="B53" s="57" t="s">
        <v>64</v>
      </c>
      <c r="C53" s="35">
        <f>[5]С2.2!E15</f>
        <v>4.8000000000000001E-2</v>
      </c>
    </row>
    <row r="54" spans="1:3" x14ac:dyDescent="0.2">
      <c r="A54" s="22" t="s">
        <v>65</v>
      </c>
      <c r="B54" s="57" t="s">
        <v>66</v>
      </c>
      <c r="C54" s="34">
        <f>[5]С2.2!E16</f>
        <v>1</v>
      </c>
    </row>
    <row r="55" spans="1:3" ht="15.75" x14ac:dyDescent="0.2">
      <c r="A55" s="22" t="s">
        <v>67</v>
      </c>
      <c r="B55" s="58" t="s">
        <v>68</v>
      </c>
      <c r="C55" s="34">
        <f>[5]С2!F21</f>
        <v>1</v>
      </c>
    </row>
    <row r="56" spans="1:3" ht="30" x14ac:dyDescent="0.2">
      <c r="A56" s="59" t="s">
        <v>69</v>
      </c>
      <c r="B56" s="33" t="s">
        <v>70</v>
      </c>
      <c r="C56" s="34">
        <f>[5]С2!F13</f>
        <v>203708.97017230222</v>
      </c>
    </row>
    <row r="57" spans="1:3" ht="30" x14ac:dyDescent="0.2">
      <c r="A57" s="59" t="s">
        <v>71</v>
      </c>
      <c r="B57" s="58" t="s">
        <v>72</v>
      </c>
      <c r="C57" s="34">
        <f>[5]С2!F14</f>
        <v>113455</v>
      </c>
    </row>
    <row r="58" spans="1:3" ht="15.75" x14ac:dyDescent="0.2">
      <c r="A58" s="59" t="s">
        <v>73</v>
      </c>
      <c r="B58" s="60" t="s">
        <v>74</v>
      </c>
      <c r="C58" s="40">
        <f>[5]С2!F15</f>
        <v>1.071</v>
      </c>
    </row>
    <row r="59" spans="1:3" ht="15.75" x14ac:dyDescent="0.2">
      <c r="A59" s="59" t="s">
        <v>75</v>
      </c>
      <c r="B59" s="60" t="s">
        <v>76</v>
      </c>
      <c r="C59" s="40">
        <f>[5]С2!F16</f>
        <v>1</v>
      </c>
    </row>
    <row r="60" spans="1:3" ht="17.25" x14ac:dyDescent="0.2">
      <c r="A60" s="59" t="s">
        <v>77</v>
      </c>
      <c r="B60" s="58" t="s">
        <v>78</v>
      </c>
      <c r="C60" s="34">
        <f>[5]С2!F17</f>
        <v>1.01</v>
      </c>
    </row>
    <row r="61" spans="1:3" s="63" customFormat="1" ht="14.25" x14ac:dyDescent="0.2">
      <c r="A61" s="59" t="s">
        <v>79</v>
      </c>
      <c r="B61" s="61" t="s">
        <v>80</v>
      </c>
      <c r="C61" s="62">
        <f>[5]С2!F33</f>
        <v>10</v>
      </c>
    </row>
    <row r="62" spans="1:3" ht="30" x14ac:dyDescent="0.2">
      <c r="A62" s="59" t="s">
        <v>81</v>
      </c>
      <c r="B62" s="64" t="s">
        <v>82</v>
      </c>
      <c r="C62" s="34">
        <f>[5]С2!F26</f>
        <v>1349.309862285194</v>
      </c>
    </row>
    <row r="63" spans="1:3" ht="17.25" x14ac:dyDescent="0.2">
      <c r="A63" s="59" t="s">
        <v>83</v>
      </c>
      <c r="B63" s="53" t="s">
        <v>84</v>
      </c>
      <c r="C63" s="34">
        <f>[5]С2!F27</f>
        <v>0.19354712999999998</v>
      </c>
    </row>
    <row r="64" spans="1:3" ht="17.25" x14ac:dyDescent="0.2">
      <c r="A64" s="59" t="s">
        <v>85</v>
      </c>
      <c r="B64" s="58" t="s">
        <v>86</v>
      </c>
      <c r="C64" s="62">
        <f>[5]С2!F28</f>
        <v>4200</v>
      </c>
    </row>
    <row r="65" spans="1:3" ht="42.75" x14ac:dyDescent="0.2">
      <c r="A65" s="59" t="s">
        <v>87</v>
      </c>
      <c r="B65" s="33" t="s">
        <v>88</v>
      </c>
      <c r="C65" s="34">
        <f>[5]С2!F22</f>
        <v>42890.921752741691</v>
      </c>
    </row>
    <row r="66" spans="1:3" ht="30" x14ac:dyDescent="0.2">
      <c r="A66" s="59" t="s">
        <v>89</v>
      </c>
      <c r="B66" s="60" t="s">
        <v>90</v>
      </c>
      <c r="C66" s="34">
        <f>[5]С2!F23</f>
        <v>1990</v>
      </c>
    </row>
    <row r="67" spans="1:3" ht="30" x14ac:dyDescent="0.2">
      <c r="A67" s="59" t="s">
        <v>91</v>
      </c>
      <c r="B67" s="53" t="s">
        <v>92</v>
      </c>
      <c r="C67" s="34">
        <f>[5]С2.1!E27</f>
        <v>14307.876789999998</v>
      </c>
    </row>
    <row r="68" spans="1:3" ht="38.25" x14ac:dyDescent="0.2">
      <c r="A68" s="59" t="s">
        <v>93</v>
      </c>
      <c r="B68" s="65" t="s">
        <v>94</v>
      </c>
      <c r="C68" s="52">
        <f>[5]С2.3!E21</f>
        <v>0</v>
      </c>
    </row>
    <row r="69" spans="1:3" ht="25.5" x14ac:dyDescent="0.2">
      <c r="A69" s="59" t="s">
        <v>95</v>
      </c>
      <c r="B69" s="66" t="s">
        <v>96</v>
      </c>
      <c r="C69" s="67">
        <f>[5]С2.3!E11</f>
        <v>9.89</v>
      </c>
    </row>
    <row r="70" spans="1:3" ht="25.5" x14ac:dyDescent="0.2">
      <c r="A70" s="59" t="s">
        <v>97</v>
      </c>
      <c r="B70" s="66" t="s">
        <v>98</v>
      </c>
      <c r="C70" s="62">
        <f>[5]С2.3!E13</f>
        <v>300</v>
      </c>
    </row>
    <row r="71" spans="1:3" ht="25.5" x14ac:dyDescent="0.2">
      <c r="A71" s="59" t="s">
        <v>99</v>
      </c>
      <c r="B71" s="65" t="s">
        <v>100</v>
      </c>
      <c r="C71" s="68">
        <f>IF([5]С2.3!E22&gt;0,[5]С2.3!E22,[5]С2.3!E14)</f>
        <v>61211</v>
      </c>
    </row>
    <row r="72" spans="1:3" ht="38.25" x14ac:dyDescent="0.2">
      <c r="A72" s="59" t="s">
        <v>101</v>
      </c>
      <c r="B72" s="65" t="s">
        <v>102</v>
      </c>
      <c r="C72" s="68">
        <f>IF([5]С2.3!E23&gt;0,[5]С2.3!E23,[5]С2.3!E15)</f>
        <v>45675</v>
      </c>
    </row>
    <row r="73" spans="1:3" ht="30" x14ac:dyDescent="0.2">
      <c r="A73" s="59" t="s">
        <v>103</v>
      </c>
      <c r="B73" s="53" t="s">
        <v>104</v>
      </c>
      <c r="C73" s="34">
        <f>[5]С2.1!E28</f>
        <v>9541.9567200000001</v>
      </c>
    </row>
    <row r="74" spans="1:3" ht="38.25" x14ac:dyDescent="0.2">
      <c r="A74" s="59" t="s">
        <v>105</v>
      </c>
      <c r="B74" s="65" t="s">
        <v>106</v>
      </c>
      <c r="C74" s="52">
        <f>[5]С2.3!E25</f>
        <v>0</v>
      </c>
    </row>
    <row r="75" spans="1:3" ht="25.5" x14ac:dyDescent="0.2">
      <c r="A75" s="59" t="s">
        <v>107</v>
      </c>
      <c r="B75" s="66" t="s">
        <v>108</v>
      </c>
      <c r="C75" s="67">
        <f>[5]С2.3!E12</f>
        <v>0.56000000000000005</v>
      </c>
    </row>
    <row r="76" spans="1:3" ht="25.5" x14ac:dyDescent="0.2">
      <c r="A76" s="59" t="s">
        <v>109</v>
      </c>
      <c r="B76" s="66" t="s">
        <v>98</v>
      </c>
      <c r="C76" s="62">
        <f>[5]С2.3!E13</f>
        <v>300</v>
      </c>
    </row>
    <row r="77" spans="1:3" ht="25.5" x14ac:dyDescent="0.2">
      <c r="A77" s="59" t="s">
        <v>110</v>
      </c>
      <c r="B77" s="69" t="s">
        <v>111</v>
      </c>
      <c r="C77" s="68">
        <f>IF([5]С2.3!E26&gt;0,[5]С2.3!E26,[5]С2.3!E16)</f>
        <v>65637</v>
      </c>
    </row>
    <row r="78" spans="1:3" ht="38.25" x14ac:dyDescent="0.2">
      <c r="A78" s="59" t="s">
        <v>112</v>
      </c>
      <c r="B78" s="69" t="s">
        <v>113</v>
      </c>
      <c r="C78" s="68">
        <f>IF([5]С2.3!E27&gt;0,[5]С2.3!E27,[5]С2.3!E17)</f>
        <v>31684</v>
      </c>
    </row>
    <row r="79" spans="1:3" ht="17.25" x14ac:dyDescent="0.2">
      <c r="A79" s="59" t="s">
        <v>114</v>
      </c>
      <c r="B79" s="33" t="s">
        <v>115</v>
      </c>
      <c r="C79" s="35">
        <f>[5]С2!F29</f>
        <v>0.17804631770487722</v>
      </c>
    </row>
    <row r="80" spans="1:3" ht="30" x14ac:dyDescent="0.2">
      <c r="A80" s="59" t="s">
        <v>116</v>
      </c>
      <c r="B80" s="53" t="s">
        <v>117</v>
      </c>
      <c r="C80" s="70">
        <f>[5]С2!F30</f>
        <v>0.1652189781021898</v>
      </c>
    </row>
    <row r="81" spans="1:3" ht="17.25" x14ac:dyDescent="0.2">
      <c r="A81" s="59" t="s">
        <v>118</v>
      </c>
      <c r="B81" s="71" t="s">
        <v>119</v>
      </c>
      <c r="C81" s="35">
        <f>[5]С2!F31</f>
        <v>0.13880000000000001</v>
      </c>
    </row>
    <row r="82" spans="1:3" s="63" customFormat="1" ht="18" thickBot="1" x14ac:dyDescent="0.25">
      <c r="A82" s="72" t="s">
        <v>120</v>
      </c>
      <c r="B82" s="73" t="s">
        <v>121</v>
      </c>
      <c r="C82" s="74">
        <f>[5]С2!F32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[5]С3!F14</f>
        <v>14784.578474435859</v>
      </c>
    </row>
    <row r="86" spans="1:3" s="63" customFormat="1" ht="42.75" x14ac:dyDescent="0.2">
      <c r="A86" s="77" t="s">
        <v>126</v>
      </c>
      <c r="B86" s="53" t="s">
        <v>127</v>
      </c>
      <c r="C86" s="78">
        <f>[5]С3!F15</f>
        <v>0.25</v>
      </c>
    </row>
    <row r="87" spans="1:3" s="63" customFormat="1" ht="14.25" x14ac:dyDescent="0.2">
      <c r="A87" s="77" t="s">
        <v>128</v>
      </c>
      <c r="B87" s="79" t="s">
        <v>129</v>
      </c>
      <c r="C87" s="62">
        <f>[5]С3!F18</f>
        <v>15</v>
      </c>
    </row>
    <row r="88" spans="1:3" s="63" customFormat="1" ht="17.25" x14ac:dyDescent="0.2">
      <c r="A88" s="77" t="s">
        <v>130</v>
      </c>
      <c r="B88" s="33" t="s">
        <v>131</v>
      </c>
      <c r="C88" s="34">
        <f>[5]С3!F19</f>
        <v>4187.478806422544</v>
      </c>
    </row>
    <row r="89" spans="1:3" s="63" customFormat="1" ht="55.5" x14ac:dyDescent="0.2">
      <c r="A89" s="77" t="s">
        <v>132</v>
      </c>
      <c r="B89" s="53" t="s">
        <v>133</v>
      </c>
      <c r="C89" s="80">
        <f>[5]С3!F20</f>
        <v>2.1999999999999999E-2</v>
      </c>
    </row>
    <row r="90" spans="1:3" s="63" customFormat="1" ht="14.25" x14ac:dyDescent="0.2">
      <c r="A90" s="77" t="s">
        <v>134</v>
      </c>
      <c r="B90" s="58" t="s">
        <v>80</v>
      </c>
      <c r="C90" s="62">
        <f>[5]С3!F21</f>
        <v>10</v>
      </c>
    </row>
    <row r="91" spans="1:3" s="63" customFormat="1" ht="17.25" x14ac:dyDescent="0.2">
      <c r="A91" s="77" t="s">
        <v>135</v>
      </c>
      <c r="B91" s="33" t="s">
        <v>136</v>
      </c>
      <c r="C91" s="34">
        <f>[5]С3!F22</f>
        <v>4.0479295868555818</v>
      </c>
    </row>
    <row r="92" spans="1:3" s="63" customFormat="1" ht="55.5" x14ac:dyDescent="0.2">
      <c r="A92" s="77" t="s">
        <v>137</v>
      </c>
      <c r="B92" s="53" t="s">
        <v>138</v>
      </c>
      <c r="C92" s="80">
        <f>[5]С3!F23</f>
        <v>3.0000000000000001E-3</v>
      </c>
    </row>
    <row r="93" spans="1:3" s="63" customFormat="1" ht="27.75" thickBot="1" x14ac:dyDescent="0.25">
      <c r="A93" s="81" t="s">
        <v>139</v>
      </c>
      <c r="B93" s="82" t="s">
        <v>140</v>
      </c>
      <c r="C93" s="83">
        <f>[5]С3!F24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[5]С4!F16</f>
        <v>1652.5</v>
      </c>
    </row>
    <row r="97" spans="1:3" ht="30" x14ac:dyDescent="0.2">
      <c r="A97" s="59" t="s">
        <v>145</v>
      </c>
      <c r="B97" s="58" t="s">
        <v>146</v>
      </c>
      <c r="C97" s="34">
        <f>[5]С4!F17</f>
        <v>73547</v>
      </c>
    </row>
    <row r="98" spans="1:3" ht="17.25" x14ac:dyDescent="0.2">
      <c r="A98" s="59" t="s">
        <v>147</v>
      </c>
      <c r="B98" s="58" t="s">
        <v>148</v>
      </c>
      <c r="C98" s="40">
        <f>[5]С4!F18</f>
        <v>0.02</v>
      </c>
    </row>
    <row r="99" spans="1:3" ht="30" x14ac:dyDescent="0.2">
      <c r="A99" s="59" t="s">
        <v>149</v>
      </c>
      <c r="B99" s="58" t="s">
        <v>150</v>
      </c>
      <c r="C99" s="34">
        <f>[5]С4!F19</f>
        <v>12104</v>
      </c>
    </row>
    <row r="100" spans="1:3" ht="31.5" x14ac:dyDescent="0.2">
      <c r="A100" s="59" t="s">
        <v>151</v>
      </c>
      <c r="B100" s="58" t="s">
        <v>152</v>
      </c>
      <c r="C100" s="40">
        <f>[5]С4!F20</f>
        <v>1.4999999999999999E-2</v>
      </c>
    </row>
    <row r="101" spans="1:3" ht="30" x14ac:dyDescent="0.2">
      <c r="A101" s="59" t="s">
        <v>153</v>
      </c>
      <c r="B101" s="33" t="s">
        <v>154</v>
      </c>
      <c r="C101" s="34">
        <f>[5]С4!F21</f>
        <v>1933.1949342509995</v>
      </c>
    </row>
    <row r="102" spans="1:3" ht="24" customHeight="1" x14ac:dyDescent="0.2">
      <c r="A102" s="59" t="s">
        <v>155</v>
      </c>
      <c r="B102" s="53" t="s">
        <v>156</v>
      </c>
      <c r="C102" s="85">
        <f>IF([5]С4.2!F8="да",[5]С4.2!D21,[5]С4.2!D15)</f>
        <v>0</v>
      </c>
    </row>
    <row r="103" spans="1:3" ht="68.25" x14ac:dyDescent="0.2">
      <c r="A103" s="59" t="s">
        <v>157</v>
      </c>
      <c r="B103" s="53" t="s">
        <v>158</v>
      </c>
      <c r="C103" s="34">
        <f>[5]С4!F22</f>
        <v>3.6112641666666665</v>
      </c>
    </row>
    <row r="104" spans="1:3" ht="30" x14ac:dyDescent="0.2">
      <c r="A104" s="59" t="s">
        <v>159</v>
      </c>
      <c r="B104" s="58" t="s">
        <v>160</v>
      </c>
      <c r="C104" s="34">
        <f>[5]С4!F23</f>
        <v>180</v>
      </c>
    </row>
    <row r="105" spans="1:3" ht="14.25" x14ac:dyDescent="0.2">
      <c r="A105" s="59" t="s">
        <v>161</v>
      </c>
      <c r="B105" s="53" t="s">
        <v>162</v>
      </c>
      <c r="C105" s="34">
        <f>[5]С4!F24</f>
        <v>8497.1999999999989</v>
      </c>
    </row>
    <row r="106" spans="1:3" ht="14.25" x14ac:dyDescent="0.2">
      <c r="A106" s="59" t="s">
        <v>163</v>
      </c>
      <c r="B106" s="58" t="s">
        <v>164</v>
      </c>
      <c r="C106" s="40">
        <f>[5]С4!F25</f>
        <v>0.35</v>
      </c>
    </row>
    <row r="107" spans="1:3" ht="17.25" x14ac:dyDescent="0.2">
      <c r="A107" s="59" t="s">
        <v>165</v>
      </c>
      <c r="B107" s="33" t="s">
        <v>166</v>
      </c>
      <c r="C107" s="34">
        <f>[5]С4!F26</f>
        <v>72.736700000000013</v>
      </c>
    </row>
    <row r="108" spans="1:3" ht="25.5" x14ac:dyDescent="0.2">
      <c r="A108" s="59" t="s">
        <v>167</v>
      </c>
      <c r="B108" s="53" t="s">
        <v>94</v>
      </c>
      <c r="C108" s="85">
        <f>[5]С4.3!E16</f>
        <v>0</v>
      </c>
    </row>
    <row r="109" spans="1:3" ht="25.5" x14ac:dyDescent="0.2">
      <c r="A109" s="59" t="s">
        <v>168</v>
      </c>
      <c r="B109" s="53" t="s">
        <v>169</v>
      </c>
      <c r="C109" s="34">
        <f>[5]С4.3!E17</f>
        <v>19.366666666666667</v>
      </c>
    </row>
    <row r="110" spans="1:3" ht="38.25" x14ac:dyDescent="0.2">
      <c r="A110" s="59" t="s">
        <v>170</v>
      </c>
      <c r="B110" s="53" t="s">
        <v>106</v>
      </c>
      <c r="C110" s="85">
        <f>[5]С4.3!E18</f>
        <v>0</v>
      </c>
    </row>
    <row r="111" spans="1:3" x14ac:dyDescent="0.2">
      <c r="A111" s="59" t="s">
        <v>171</v>
      </c>
      <c r="B111" s="53" t="s">
        <v>172</v>
      </c>
      <c r="C111" s="34">
        <f>[5]С4.3!E19</f>
        <v>23.616666666666667</v>
      </c>
    </row>
    <row r="112" spans="1:3" x14ac:dyDescent="0.2">
      <c r="A112" s="59" t="s">
        <v>173</v>
      </c>
      <c r="B112" s="58" t="s">
        <v>174</v>
      </c>
      <c r="C112" s="34">
        <f>[5]С4.3!E11</f>
        <v>1871</v>
      </c>
    </row>
    <row r="113" spans="1:3" x14ac:dyDescent="0.2">
      <c r="A113" s="59" t="s">
        <v>175</v>
      </c>
      <c r="B113" s="58" t="s">
        <v>176</v>
      </c>
      <c r="C113" s="52">
        <f>[5]С4.3!E12</f>
        <v>1636</v>
      </c>
    </row>
    <row r="114" spans="1:3" x14ac:dyDescent="0.2">
      <c r="A114" s="59" t="s">
        <v>177</v>
      </c>
      <c r="B114" s="58" t="s">
        <v>178</v>
      </c>
      <c r="C114" s="52">
        <f>[5]С4.3!E13</f>
        <v>204</v>
      </c>
    </row>
    <row r="115" spans="1:3" ht="30" x14ac:dyDescent="0.2">
      <c r="A115" s="59" t="s">
        <v>179</v>
      </c>
      <c r="B115" s="33" t="s">
        <v>180</v>
      </c>
      <c r="C115" s="34">
        <f>[5]С4!F27</f>
        <v>1291.2863994686898</v>
      </c>
    </row>
    <row r="116" spans="1:3" ht="25.5" x14ac:dyDescent="0.2">
      <c r="A116" s="59" t="s">
        <v>181</v>
      </c>
      <c r="B116" s="53" t="s">
        <v>182</v>
      </c>
      <c r="C116" s="34">
        <f>[5]С4!F28</f>
        <v>991.77142816335618</v>
      </c>
    </row>
    <row r="117" spans="1:3" ht="42.75" x14ac:dyDescent="0.2">
      <c r="A117" s="59" t="s">
        <v>183</v>
      </c>
      <c r="B117" s="53" t="s">
        <v>184</v>
      </c>
      <c r="C117" s="34">
        <f>[5]С4!F29</f>
        <v>299.51497130533357</v>
      </c>
    </row>
    <row r="118" spans="1:3" ht="30" x14ac:dyDescent="0.2">
      <c r="A118" s="59" t="s">
        <v>185</v>
      </c>
      <c r="B118" s="39" t="s">
        <v>186</v>
      </c>
      <c r="C118" s="34">
        <f>[5]С4!F30</f>
        <v>2800.3070981538958</v>
      </c>
    </row>
    <row r="119" spans="1:3" ht="42.75" x14ac:dyDescent="0.2">
      <c r="A119" s="59" t="s">
        <v>187</v>
      </c>
      <c r="B119" s="86" t="s">
        <v>188</v>
      </c>
      <c r="C119" s="34">
        <f>[5]С4!F33</f>
        <v>1601.1491095953263</v>
      </c>
    </row>
    <row r="120" spans="1:3" ht="30" x14ac:dyDescent="0.2">
      <c r="A120" s="59" t="s">
        <v>189</v>
      </c>
      <c r="B120" s="87" t="s">
        <v>190</v>
      </c>
      <c r="C120" s="34">
        <f>[5]С4!F35</f>
        <v>17.040680999999999</v>
      </c>
    </row>
    <row r="121" spans="1:3" ht="14.25" x14ac:dyDescent="0.2">
      <c r="A121" s="59" t="s">
        <v>191</v>
      </c>
      <c r="B121" s="56" t="s">
        <v>192</v>
      </c>
      <c r="C121" s="34">
        <f>[5]С4!F36</f>
        <v>14319.9</v>
      </c>
    </row>
    <row r="122" spans="1:3" ht="28.5" thickBot="1" x14ac:dyDescent="0.25">
      <c r="A122" s="72" t="s">
        <v>193</v>
      </c>
      <c r="B122" s="88" t="s">
        <v>194</v>
      </c>
      <c r="C122" s="83">
        <f>[5]С4!F37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[5]С5!F17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[5]С2!F37</f>
        <v>20.818139999999996</v>
      </c>
    </row>
    <row r="136" spans="1:3" ht="14.25" x14ac:dyDescent="0.2">
      <c r="A136" s="59" t="s">
        <v>216</v>
      </c>
      <c r="B136" s="101" t="s">
        <v>217</v>
      </c>
      <c r="C136" s="34">
        <f>[5]С2!F38</f>
        <v>7</v>
      </c>
    </row>
    <row r="137" spans="1:3" ht="17.25" x14ac:dyDescent="0.2">
      <c r="A137" s="59" t="s">
        <v>218</v>
      </c>
      <c r="B137" s="101" t="s">
        <v>219</v>
      </c>
      <c r="C137" s="34">
        <f>[5]С2!F40</f>
        <v>0.97</v>
      </c>
    </row>
    <row r="138" spans="1:3" ht="15" thickBot="1" x14ac:dyDescent="0.25">
      <c r="A138" s="72" t="s">
        <v>220</v>
      </c>
      <c r="B138" s="102" t="s">
        <v>221</v>
      </c>
      <c r="C138" s="46">
        <f>[5]С2!F42</f>
        <v>0.35</v>
      </c>
    </row>
    <row r="139" spans="1:3" s="89" customFormat="1" ht="13.5" thickBot="1" x14ac:dyDescent="0.25">
      <c r="A139" s="47"/>
      <c r="B139" s="75"/>
      <c r="C139" s="15"/>
    </row>
    <row r="140" spans="1:3" ht="30" x14ac:dyDescent="0.2">
      <c r="A140" s="84" t="s">
        <v>222</v>
      </c>
      <c r="B140" s="103" t="s">
        <v>223</v>
      </c>
      <c r="C140" s="104">
        <f>[5]С2!F35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[5]С2.5!$E$11</f>
        <v>-2.9000000000000026E-2</v>
      </c>
    </row>
    <row r="144" spans="1:3" x14ac:dyDescent="0.2">
      <c r="A144" s="105"/>
      <c r="B144" s="110">
        <f>B143+1</f>
        <v>2021</v>
      </c>
      <c r="C144" s="111">
        <f>[5]С2.5!$F$11</f>
        <v>0.245</v>
      </c>
    </row>
    <row r="145" spans="1:3" x14ac:dyDescent="0.2">
      <c r="A145" s="105"/>
      <c r="B145" s="110">
        <f t="shared" ref="B145:B208" si="0">B144+1</f>
        <v>2022</v>
      </c>
      <c r="C145" s="111">
        <f>[5]С2.5!$G$11</f>
        <v>0.114</v>
      </c>
    </row>
    <row r="146" spans="1:3" ht="13.5" thickBot="1" x14ac:dyDescent="0.25">
      <c r="A146" s="105"/>
      <c r="B146" s="112">
        <f t="shared" si="0"/>
        <v>2023</v>
      </c>
      <c r="C146" s="113">
        <f>[5]С2.5!$H$11</f>
        <v>0.04</v>
      </c>
    </row>
    <row r="147" spans="1:3" x14ac:dyDescent="0.2">
      <c r="A147" s="105"/>
      <c r="B147" s="114">
        <f t="shared" si="0"/>
        <v>2024</v>
      </c>
      <c r="C147" s="115">
        <f>[5]С2.5!$I$11</f>
        <v>0.11700000000000001</v>
      </c>
    </row>
    <row r="148" spans="1:3" x14ac:dyDescent="0.2">
      <c r="A148" s="105"/>
      <c r="B148" s="110">
        <f t="shared" si="0"/>
        <v>2025</v>
      </c>
      <c r="C148" s="111">
        <f>[5]С2.5!$J$11</f>
        <v>6.0999999999999999E-2</v>
      </c>
    </row>
    <row r="149" spans="1:3" hidden="1" x14ac:dyDescent="0.2">
      <c r="A149" s="105"/>
      <c r="B149" s="110">
        <f t="shared" si="0"/>
        <v>2026</v>
      </c>
      <c r="C149" s="111">
        <f>[5]С2.5!$K$11</f>
        <v>3.5813361771260002E-2</v>
      </c>
    </row>
    <row r="150" spans="1:3" hidden="1" x14ac:dyDescent="0.2">
      <c r="A150" s="105"/>
      <c r="B150" s="110">
        <f t="shared" si="0"/>
        <v>2027</v>
      </c>
      <c r="C150" s="111">
        <f>[5]С2.5!$L$11</f>
        <v>3.2682303599220003E-2</v>
      </c>
    </row>
    <row r="151" spans="1:3" hidden="1" x14ac:dyDescent="0.2">
      <c r="A151" s="105"/>
      <c r="B151" s="110">
        <f t="shared" si="0"/>
        <v>2028</v>
      </c>
      <c r="C151" s="111">
        <f>[5]С2.5!$M$11</f>
        <v>0</v>
      </c>
    </row>
    <row r="152" spans="1:3" hidden="1" x14ac:dyDescent="0.2">
      <c r="A152" s="105"/>
      <c r="B152" s="110">
        <f t="shared" si="0"/>
        <v>2029</v>
      </c>
      <c r="C152" s="111">
        <f>[5]С2.5!$N$11</f>
        <v>0</v>
      </c>
    </row>
    <row r="153" spans="1:3" hidden="1" x14ac:dyDescent="0.2">
      <c r="A153" s="105"/>
      <c r="B153" s="110">
        <f t="shared" si="0"/>
        <v>2030</v>
      </c>
      <c r="C153" s="111">
        <f>[5]С2.5!$O$11</f>
        <v>0</v>
      </c>
    </row>
    <row r="154" spans="1:3" hidden="1" x14ac:dyDescent="0.2">
      <c r="A154" s="105"/>
      <c r="B154" s="110">
        <f t="shared" si="0"/>
        <v>2031</v>
      </c>
      <c r="C154" s="111">
        <f>[5]С2.5!$P$11</f>
        <v>0</v>
      </c>
    </row>
    <row r="155" spans="1:3" hidden="1" x14ac:dyDescent="0.2">
      <c r="A155" s="89"/>
      <c r="B155" s="110">
        <f t="shared" si="0"/>
        <v>2032</v>
      </c>
      <c r="C155" s="111">
        <f>[5]С2.5!$Q$11</f>
        <v>0</v>
      </c>
    </row>
    <row r="156" spans="1:3" hidden="1" x14ac:dyDescent="0.2">
      <c r="A156" s="89"/>
      <c r="B156" s="110">
        <f t="shared" si="0"/>
        <v>2033</v>
      </c>
      <c r="C156" s="111">
        <f>[5]С2.5!$R$11</f>
        <v>0</v>
      </c>
    </row>
    <row r="157" spans="1:3" hidden="1" x14ac:dyDescent="0.2">
      <c r="B157" s="110">
        <f t="shared" si="0"/>
        <v>2034</v>
      </c>
      <c r="C157" s="111">
        <f>[5]С2.5!$S$11</f>
        <v>0</v>
      </c>
    </row>
    <row r="158" spans="1:3" hidden="1" x14ac:dyDescent="0.2">
      <c r="B158" s="110">
        <f t="shared" si="0"/>
        <v>2035</v>
      </c>
      <c r="C158" s="111">
        <f>[5]С2.5!$T$11</f>
        <v>0</v>
      </c>
    </row>
    <row r="159" spans="1:3" hidden="1" x14ac:dyDescent="0.2">
      <c r="B159" s="110">
        <f t="shared" si="0"/>
        <v>2036</v>
      </c>
      <c r="C159" s="111">
        <f>[5]С2.5!$U$11</f>
        <v>0</v>
      </c>
    </row>
    <row r="160" spans="1:3" hidden="1" x14ac:dyDescent="0.2">
      <c r="B160" s="110">
        <f t="shared" si="0"/>
        <v>2037</v>
      </c>
      <c r="C160" s="111">
        <f>[5]С2.5!$V$11</f>
        <v>0</v>
      </c>
    </row>
    <row r="161" spans="2:3" hidden="1" x14ac:dyDescent="0.2">
      <c r="B161" s="110">
        <f t="shared" si="0"/>
        <v>2038</v>
      </c>
      <c r="C161" s="111">
        <f>[5]С2.5!$W$11</f>
        <v>0</v>
      </c>
    </row>
    <row r="162" spans="2:3" hidden="1" x14ac:dyDescent="0.2">
      <c r="B162" s="110">
        <f t="shared" si="0"/>
        <v>2039</v>
      </c>
      <c r="C162" s="111">
        <f>[5]С2.5!$X$11</f>
        <v>0</v>
      </c>
    </row>
    <row r="163" spans="2:3" hidden="1" x14ac:dyDescent="0.2">
      <c r="B163" s="110">
        <f t="shared" si="0"/>
        <v>2040</v>
      </c>
      <c r="C163" s="111">
        <f>[5]С2.5!$Y$11</f>
        <v>0</v>
      </c>
    </row>
    <row r="164" spans="2:3" hidden="1" x14ac:dyDescent="0.2">
      <c r="B164" s="110">
        <f t="shared" si="0"/>
        <v>2041</v>
      </c>
      <c r="C164" s="111">
        <f>[5]С2.5!$Z$11</f>
        <v>0</v>
      </c>
    </row>
    <row r="165" spans="2:3" hidden="1" x14ac:dyDescent="0.2">
      <c r="B165" s="110">
        <f t="shared" si="0"/>
        <v>2042</v>
      </c>
      <c r="C165" s="111">
        <f>[5]С2.5!$AA$11</f>
        <v>0</v>
      </c>
    </row>
    <row r="166" spans="2:3" hidden="1" x14ac:dyDescent="0.2">
      <c r="B166" s="110">
        <f t="shared" si="0"/>
        <v>2043</v>
      </c>
      <c r="C166" s="111">
        <f>[5]С2.5!$AB$11</f>
        <v>0</v>
      </c>
    </row>
    <row r="167" spans="2:3" hidden="1" x14ac:dyDescent="0.2">
      <c r="B167" s="110">
        <f t="shared" si="0"/>
        <v>2044</v>
      </c>
      <c r="C167" s="111">
        <f>[5]С2.5!$AC$11</f>
        <v>0</v>
      </c>
    </row>
    <row r="168" spans="2:3" hidden="1" x14ac:dyDescent="0.2">
      <c r="B168" s="110">
        <f t="shared" si="0"/>
        <v>2045</v>
      </c>
      <c r="C168" s="111">
        <f>[5]С2.5!$AD$11</f>
        <v>0</v>
      </c>
    </row>
    <row r="169" spans="2:3" hidden="1" x14ac:dyDescent="0.2">
      <c r="B169" s="110">
        <f t="shared" si="0"/>
        <v>2046</v>
      </c>
      <c r="C169" s="111">
        <f>[5]С2.5!$AE$11</f>
        <v>0</v>
      </c>
    </row>
    <row r="170" spans="2:3" hidden="1" x14ac:dyDescent="0.2">
      <c r="B170" s="110">
        <f t="shared" si="0"/>
        <v>2047</v>
      </c>
      <c r="C170" s="111">
        <f>[5]С2.5!$AF$11</f>
        <v>0</v>
      </c>
    </row>
    <row r="171" spans="2:3" hidden="1" x14ac:dyDescent="0.2">
      <c r="B171" s="110">
        <f t="shared" si="0"/>
        <v>2048</v>
      </c>
      <c r="C171" s="111">
        <f>[5]С2.5!$AG$11</f>
        <v>0</v>
      </c>
    </row>
    <row r="172" spans="2:3" hidden="1" x14ac:dyDescent="0.2">
      <c r="B172" s="110">
        <f t="shared" si="0"/>
        <v>2049</v>
      </c>
      <c r="C172" s="111">
        <f>[5]С2.5!$AH$11</f>
        <v>0</v>
      </c>
    </row>
    <row r="173" spans="2:3" hidden="1" x14ac:dyDescent="0.2">
      <c r="B173" s="110">
        <f t="shared" si="0"/>
        <v>2050</v>
      </c>
      <c r="C173" s="111">
        <f>[5]С2.5!$AI$11</f>
        <v>0</v>
      </c>
    </row>
    <row r="174" spans="2:3" hidden="1" x14ac:dyDescent="0.2">
      <c r="B174" s="110">
        <f t="shared" si="0"/>
        <v>2051</v>
      </c>
      <c r="C174" s="111">
        <f>[5]С2.5!$AJ$11</f>
        <v>0</v>
      </c>
    </row>
    <row r="175" spans="2:3" hidden="1" x14ac:dyDescent="0.2">
      <c r="B175" s="110">
        <f t="shared" si="0"/>
        <v>2052</v>
      </c>
      <c r="C175" s="111">
        <f>[5]С2.5!$AK$11</f>
        <v>0</v>
      </c>
    </row>
    <row r="176" spans="2:3" hidden="1" x14ac:dyDescent="0.2">
      <c r="B176" s="110">
        <f t="shared" si="0"/>
        <v>2053</v>
      </c>
      <c r="C176" s="111">
        <f>[5]С2.5!$AL$11</f>
        <v>0</v>
      </c>
    </row>
    <row r="177" spans="2:3" hidden="1" x14ac:dyDescent="0.2">
      <c r="B177" s="110">
        <f t="shared" si="0"/>
        <v>2054</v>
      </c>
      <c r="C177" s="111">
        <f>[5]С2.5!$AM$11</f>
        <v>0</v>
      </c>
    </row>
    <row r="178" spans="2:3" hidden="1" x14ac:dyDescent="0.2">
      <c r="B178" s="110">
        <f t="shared" si="0"/>
        <v>2055</v>
      </c>
      <c r="C178" s="111">
        <f>[5]С2.5!$AN$11</f>
        <v>0</v>
      </c>
    </row>
    <row r="179" spans="2:3" hidden="1" x14ac:dyDescent="0.2">
      <c r="B179" s="110">
        <f t="shared" si="0"/>
        <v>2056</v>
      </c>
      <c r="C179" s="111">
        <f>[5]С2.5!$AO$11</f>
        <v>0</v>
      </c>
    </row>
    <row r="180" spans="2:3" hidden="1" x14ac:dyDescent="0.2">
      <c r="B180" s="110">
        <f t="shared" si="0"/>
        <v>2057</v>
      </c>
      <c r="C180" s="111">
        <f>[5]С2.5!$AP$11</f>
        <v>0</v>
      </c>
    </row>
    <row r="181" spans="2:3" hidden="1" x14ac:dyDescent="0.2">
      <c r="B181" s="110">
        <f t="shared" si="0"/>
        <v>2058</v>
      </c>
      <c r="C181" s="111">
        <f>[5]С2.5!$AQ$11</f>
        <v>0</v>
      </c>
    </row>
    <row r="182" spans="2:3" hidden="1" x14ac:dyDescent="0.2">
      <c r="B182" s="110">
        <f t="shared" si="0"/>
        <v>2059</v>
      </c>
      <c r="C182" s="111">
        <f>[5]С2.5!$AR$11</f>
        <v>0</v>
      </c>
    </row>
    <row r="183" spans="2:3" hidden="1" x14ac:dyDescent="0.2">
      <c r="B183" s="110">
        <f t="shared" si="0"/>
        <v>2060</v>
      </c>
      <c r="C183" s="111">
        <f>[5]С2.5!$AS$11</f>
        <v>0</v>
      </c>
    </row>
    <row r="184" spans="2:3" hidden="1" x14ac:dyDescent="0.2">
      <c r="B184" s="110">
        <f t="shared" si="0"/>
        <v>2061</v>
      </c>
      <c r="C184" s="111">
        <f>[5]С2.5!$AT$11</f>
        <v>0</v>
      </c>
    </row>
    <row r="185" spans="2:3" hidden="1" x14ac:dyDescent="0.2">
      <c r="B185" s="110">
        <f t="shared" si="0"/>
        <v>2062</v>
      </c>
      <c r="C185" s="111">
        <f>[5]С2.5!$AU$11</f>
        <v>0</v>
      </c>
    </row>
    <row r="186" spans="2:3" hidden="1" x14ac:dyDescent="0.2">
      <c r="B186" s="110">
        <f t="shared" si="0"/>
        <v>2063</v>
      </c>
      <c r="C186" s="111">
        <f>[5]С2.5!$AV$11</f>
        <v>0</v>
      </c>
    </row>
    <row r="187" spans="2:3" hidden="1" x14ac:dyDescent="0.2">
      <c r="B187" s="110">
        <f t="shared" si="0"/>
        <v>2064</v>
      </c>
      <c r="C187" s="111">
        <f>[5]С2.5!$AW$11</f>
        <v>0</v>
      </c>
    </row>
    <row r="188" spans="2:3" hidden="1" x14ac:dyDescent="0.2">
      <c r="B188" s="110">
        <f t="shared" si="0"/>
        <v>2065</v>
      </c>
      <c r="C188" s="111">
        <f>[5]С2.5!$AX$11</f>
        <v>0</v>
      </c>
    </row>
    <row r="189" spans="2:3" hidden="1" x14ac:dyDescent="0.2">
      <c r="B189" s="110">
        <f t="shared" si="0"/>
        <v>2066</v>
      </c>
      <c r="C189" s="111">
        <f>[5]С2.5!$AY$11</f>
        <v>0</v>
      </c>
    </row>
    <row r="190" spans="2:3" hidden="1" x14ac:dyDescent="0.2">
      <c r="B190" s="110">
        <f t="shared" si="0"/>
        <v>2067</v>
      </c>
      <c r="C190" s="111">
        <f>[5]С2.5!$AZ$11</f>
        <v>0</v>
      </c>
    </row>
    <row r="191" spans="2:3" hidden="1" x14ac:dyDescent="0.2">
      <c r="B191" s="110">
        <f t="shared" si="0"/>
        <v>2068</v>
      </c>
      <c r="C191" s="111">
        <f>[5]С2.5!$BA$11</f>
        <v>0</v>
      </c>
    </row>
    <row r="192" spans="2:3" hidden="1" x14ac:dyDescent="0.2">
      <c r="B192" s="110">
        <f t="shared" si="0"/>
        <v>2069</v>
      </c>
      <c r="C192" s="111">
        <f>[5]С2.5!$BB$11</f>
        <v>0</v>
      </c>
    </row>
    <row r="193" spans="2:3" hidden="1" x14ac:dyDescent="0.2">
      <c r="B193" s="110">
        <f t="shared" si="0"/>
        <v>2070</v>
      </c>
      <c r="C193" s="111">
        <f>[5]С2.5!$BC$11</f>
        <v>0</v>
      </c>
    </row>
    <row r="194" spans="2:3" hidden="1" x14ac:dyDescent="0.2">
      <c r="B194" s="110">
        <f t="shared" si="0"/>
        <v>2071</v>
      </c>
      <c r="C194" s="111">
        <f>[5]С2.5!$BD$11</f>
        <v>0</v>
      </c>
    </row>
    <row r="195" spans="2:3" hidden="1" x14ac:dyDescent="0.2">
      <c r="B195" s="110">
        <f t="shared" si="0"/>
        <v>2072</v>
      </c>
      <c r="C195" s="111">
        <f>[5]С2.5!$BE$11</f>
        <v>0</v>
      </c>
    </row>
    <row r="196" spans="2:3" hidden="1" x14ac:dyDescent="0.2">
      <c r="B196" s="110">
        <f t="shared" si="0"/>
        <v>2073</v>
      </c>
      <c r="C196" s="111">
        <f>[5]С2.5!$BF$11</f>
        <v>0</v>
      </c>
    </row>
    <row r="197" spans="2:3" hidden="1" x14ac:dyDescent="0.2">
      <c r="B197" s="110">
        <f t="shared" si="0"/>
        <v>2074</v>
      </c>
      <c r="C197" s="111">
        <f>[5]С2.5!$BG$11</f>
        <v>0</v>
      </c>
    </row>
    <row r="198" spans="2:3" hidden="1" x14ac:dyDescent="0.2">
      <c r="B198" s="110">
        <f t="shared" si="0"/>
        <v>2075</v>
      </c>
      <c r="C198" s="111">
        <f>[5]С2.5!$BH$11</f>
        <v>0</v>
      </c>
    </row>
    <row r="199" spans="2:3" hidden="1" x14ac:dyDescent="0.2">
      <c r="B199" s="110">
        <f t="shared" si="0"/>
        <v>2076</v>
      </c>
      <c r="C199" s="111">
        <f>[5]С2.5!$BI$11</f>
        <v>0</v>
      </c>
    </row>
    <row r="200" spans="2:3" hidden="1" x14ac:dyDescent="0.2">
      <c r="B200" s="110">
        <f t="shared" si="0"/>
        <v>2077</v>
      </c>
      <c r="C200" s="111">
        <f>[5]С2.5!$BJ$11</f>
        <v>0</v>
      </c>
    </row>
    <row r="201" spans="2:3" hidden="1" x14ac:dyDescent="0.2">
      <c r="B201" s="110">
        <f t="shared" si="0"/>
        <v>2078</v>
      </c>
      <c r="C201" s="111">
        <f>[5]С2.5!$BK$11</f>
        <v>0</v>
      </c>
    </row>
    <row r="202" spans="2:3" hidden="1" x14ac:dyDescent="0.2">
      <c r="B202" s="110">
        <f t="shared" si="0"/>
        <v>2079</v>
      </c>
      <c r="C202" s="111">
        <f>[5]С2.5!$BL$11</f>
        <v>0</v>
      </c>
    </row>
    <row r="203" spans="2:3" hidden="1" x14ac:dyDescent="0.2">
      <c r="B203" s="110">
        <f t="shared" si="0"/>
        <v>2080</v>
      </c>
      <c r="C203" s="111">
        <f>[5]С2.5!$BM$11</f>
        <v>0</v>
      </c>
    </row>
    <row r="204" spans="2:3" hidden="1" x14ac:dyDescent="0.2">
      <c r="B204" s="110">
        <f t="shared" si="0"/>
        <v>2081</v>
      </c>
      <c r="C204" s="111">
        <f>[5]С2.5!$BN$11</f>
        <v>0</v>
      </c>
    </row>
    <row r="205" spans="2:3" hidden="1" x14ac:dyDescent="0.2">
      <c r="B205" s="110">
        <f t="shared" si="0"/>
        <v>2082</v>
      </c>
      <c r="C205" s="111">
        <f>[5]С2.5!$BO$11</f>
        <v>0</v>
      </c>
    </row>
    <row r="206" spans="2:3" hidden="1" x14ac:dyDescent="0.2">
      <c r="B206" s="110">
        <f t="shared" si="0"/>
        <v>2083</v>
      </c>
      <c r="C206" s="111">
        <f>[5]С2.5!$BP$11</f>
        <v>0</v>
      </c>
    </row>
    <row r="207" spans="2:3" hidden="1" x14ac:dyDescent="0.2">
      <c r="B207" s="110">
        <f t="shared" si="0"/>
        <v>2084</v>
      </c>
      <c r="C207" s="111">
        <f>[5]С2.5!$BQ$11</f>
        <v>0</v>
      </c>
    </row>
    <row r="208" spans="2:3" hidden="1" x14ac:dyDescent="0.2">
      <c r="B208" s="110">
        <f t="shared" si="0"/>
        <v>2085</v>
      </c>
      <c r="C208" s="111">
        <f>[5]С2.5!$BR$11</f>
        <v>0</v>
      </c>
    </row>
    <row r="209" spans="2:3" hidden="1" x14ac:dyDescent="0.2">
      <c r="B209" s="110">
        <f t="shared" ref="B209:B223" si="1">B208+1</f>
        <v>2086</v>
      </c>
      <c r="C209" s="111">
        <f>[5]С2.5!$BS$11</f>
        <v>0</v>
      </c>
    </row>
    <row r="210" spans="2:3" hidden="1" x14ac:dyDescent="0.2">
      <c r="B210" s="110">
        <f t="shared" si="1"/>
        <v>2087</v>
      </c>
      <c r="C210" s="111">
        <f>[5]С2.5!$BT$11</f>
        <v>0</v>
      </c>
    </row>
    <row r="211" spans="2:3" hidden="1" x14ac:dyDescent="0.2">
      <c r="B211" s="110">
        <f t="shared" si="1"/>
        <v>2088</v>
      </c>
      <c r="C211" s="111">
        <f>[5]С2.5!$BU$11</f>
        <v>0</v>
      </c>
    </row>
    <row r="212" spans="2:3" hidden="1" x14ac:dyDescent="0.2">
      <c r="B212" s="110">
        <f t="shared" si="1"/>
        <v>2089</v>
      </c>
      <c r="C212" s="111">
        <f>[5]С2.5!$BV$11</f>
        <v>0</v>
      </c>
    </row>
    <row r="213" spans="2:3" hidden="1" x14ac:dyDescent="0.2">
      <c r="B213" s="110">
        <f t="shared" si="1"/>
        <v>2090</v>
      </c>
      <c r="C213" s="111">
        <f>[5]С2.5!$BW$11</f>
        <v>0</v>
      </c>
    </row>
    <row r="214" spans="2:3" hidden="1" x14ac:dyDescent="0.2">
      <c r="B214" s="110">
        <f t="shared" si="1"/>
        <v>2091</v>
      </c>
      <c r="C214" s="111">
        <f>[5]С2.5!$BX$11</f>
        <v>0</v>
      </c>
    </row>
    <row r="215" spans="2:3" hidden="1" x14ac:dyDescent="0.2">
      <c r="B215" s="110">
        <f t="shared" si="1"/>
        <v>2092</v>
      </c>
      <c r="C215" s="111">
        <f>[5]С2.5!$BY$11</f>
        <v>0</v>
      </c>
    </row>
    <row r="216" spans="2:3" hidden="1" x14ac:dyDescent="0.2">
      <c r="B216" s="110">
        <f t="shared" si="1"/>
        <v>2093</v>
      </c>
      <c r="C216" s="111">
        <f>[5]С2.5!$BZ$11</f>
        <v>0</v>
      </c>
    </row>
    <row r="217" spans="2:3" hidden="1" x14ac:dyDescent="0.2">
      <c r="B217" s="110">
        <f t="shared" si="1"/>
        <v>2094</v>
      </c>
      <c r="C217" s="111">
        <f>[5]С2.5!$CA$11</f>
        <v>0</v>
      </c>
    </row>
    <row r="218" spans="2:3" hidden="1" x14ac:dyDescent="0.2">
      <c r="B218" s="110">
        <f t="shared" si="1"/>
        <v>2095</v>
      </c>
      <c r="C218" s="111">
        <f>[5]С2.5!$CB$11</f>
        <v>0</v>
      </c>
    </row>
    <row r="219" spans="2:3" hidden="1" x14ac:dyDescent="0.2">
      <c r="B219" s="110">
        <f t="shared" si="1"/>
        <v>2096</v>
      </c>
      <c r="C219" s="111">
        <f>[5]С2.5!$CC$11</f>
        <v>0</v>
      </c>
    </row>
    <row r="220" spans="2:3" hidden="1" x14ac:dyDescent="0.2">
      <c r="B220" s="110">
        <f t="shared" si="1"/>
        <v>2097</v>
      </c>
      <c r="C220" s="111">
        <f>[5]С2.5!$CD$11</f>
        <v>0</v>
      </c>
    </row>
    <row r="221" spans="2:3" hidden="1" x14ac:dyDescent="0.2">
      <c r="B221" s="110">
        <f t="shared" si="1"/>
        <v>2098</v>
      </c>
      <c r="C221" s="111">
        <f>[5]С2.5!$CE$11</f>
        <v>0</v>
      </c>
    </row>
    <row r="222" spans="2:3" hidden="1" x14ac:dyDescent="0.2">
      <c r="B222" s="110">
        <f t="shared" si="1"/>
        <v>2099</v>
      </c>
      <c r="C222" s="111">
        <f>[5]С2.5!$CF$11</f>
        <v>0</v>
      </c>
    </row>
    <row r="223" spans="2:3" ht="13.5" hidden="1" thickBot="1" x14ac:dyDescent="0.25">
      <c r="B223" s="112">
        <f t="shared" si="1"/>
        <v>2100</v>
      </c>
      <c r="C223" s="113">
        <f>[5]С2.5!$CG$11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[6]И1!D13</f>
        <v>Субъект Российской Федерации</v>
      </c>
      <c r="C4" s="10" t="str">
        <f>[6]И1!E13</f>
        <v>Новосибирская область</v>
      </c>
    </row>
    <row r="5" spans="1:3" ht="46.9" customHeight="1" x14ac:dyDescent="0.2">
      <c r="A5" s="8"/>
      <c r="B5" s="9" t="str">
        <f>[6]И1!D14</f>
        <v>Тип муниципального образования (выберите из списка)</v>
      </c>
      <c r="C5" s="10" t="str">
        <f>[6]И1!E14</f>
        <v>поселок Кайгородский, Краснозерский муниципальный район</v>
      </c>
    </row>
    <row r="6" spans="1:3" x14ac:dyDescent="0.2">
      <c r="A6" s="8"/>
      <c r="B6" s="9" t="str">
        <f>IF([6]И1!E15="","",[6]И1!D15)</f>
        <v/>
      </c>
      <c r="C6" s="10" t="str">
        <f>IF([6]И1!E15="","",[6]И1!E15)</f>
        <v/>
      </c>
    </row>
    <row r="7" spans="1:3" x14ac:dyDescent="0.2">
      <c r="A7" s="8"/>
      <c r="B7" s="9" t="str">
        <f>[6]И1!D16</f>
        <v>Код ОКТМО</v>
      </c>
      <c r="C7" s="11" t="str">
        <f>[6]И1!E16</f>
        <v xml:space="preserve"> (50627409101)</v>
      </c>
    </row>
    <row r="8" spans="1:3" x14ac:dyDescent="0.2">
      <c r="A8" s="8"/>
      <c r="B8" s="12" t="str">
        <f>[6]И1!D17</f>
        <v>Система теплоснабжения</v>
      </c>
      <c r="C8" s="13">
        <f>[6]И1!E17</f>
        <v>0</v>
      </c>
    </row>
    <row r="9" spans="1:3" x14ac:dyDescent="0.2">
      <c r="A9" s="8"/>
      <c r="B9" s="9" t="str">
        <f>[6]И1!D8</f>
        <v>Период регулирования (i)-й</v>
      </c>
      <c r="C9" s="14">
        <f>[6]И1!E8</f>
        <v>2025</v>
      </c>
    </row>
    <row r="10" spans="1:3" x14ac:dyDescent="0.2">
      <c r="A10" s="8"/>
      <c r="B10" s="9" t="str">
        <f>[6]И1!D9</f>
        <v>Период регулирования (i-1)-й</v>
      </c>
      <c r="C10" s="14">
        <f>[6]И1!E9</f>
        <v>2024</v>
      </c>
    </row>
    <row r="11" spans="1:3" x14ac:dyDescent="0.2">
      <c r="A11" s="8"/>
      <c r="B11" s="9" t="str">
        <f>[6]И1!D10</f>
        <v>Период регулирования (i-2)-й</v>
      </c>
      <c r="C11" s="14">
        <f>[6]И1!E10</f>
        <v>2023</v>
      </c>
    </row>
    <row r="12" spans="1:3" x14ac:dyDescent="0.2">
      <c r="A12" s="8"/>
      <c r="B12" s="9" t="str">
        <f>[6]И1!D11</f>
        <v>Базовый год (б)</v>
      </c>
      <c r="C12" s="14">
        <f>[6]И1!E11</f>
        <v>2019</v>
      </c>
    </row>
    <row r="13" spans="1:3" ht="38.25" x14ac:dyDescent="0.2">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5651.5617475372674</v>
      </c>
    </row>
    <row r="18" spans="1:3" ht="42.75" x14ac:dyDescent="0.2">
      <c r="A18" s="22" t="s">
        <v>8</v>
      </c>
      <c r="B18" s="25" t="s">
        <v>9</v>
      </c>
      <c r="C18" s="26">
        <f>[6]С1!F12</f>
        <v>1057.272132300707</v>
      </c>
    </row>
    <row r="19" spans="1:3" ht="42.75" x14ac:dyDescent="0.2">
      <c r="A19" s="22" t="s">
        <v>10</v>
      </c>
      <c r="B19" s="25" t="s">
        <v>11</v>
      </c>
      <c r="C19" s="26">
        <f>[6]С2!F12</f>
        <v>3044.8315746726421</v>
      </c>
    </row>
    <row r="20" spans="1:3" ht="30" x14ac:dyDescent="0.2">
      <c r="A20" s="22" t="s">
        <v>12</v>
      </c>
      <c r="B20" s="25" t="s">
        <v>13</v>
      </c>
      <c r="C20" s="26">
        <f>[6]С3!F12</f>
        <v>911.5178018038722</v>
      </c>
    </row>
    <row r="21" spans="1:3" ht="42.75" x14ac:dyDescent="0.2">
      <c r="A21" s="22" t="s">
        <v>14</v>
      </c>
      <c r="B21" s="25" t="s">
        <v>15</v>
      </c>
      <c r="C21" s="26">
        <f>[6]С4!F12</f>
        <v>527.12530253382499</v>
      </c>
    </row>
    <row r="22" spans="1:3" ht="30" x14ac:dyDescent="0.2">
      <c r="A22" s="22" t="s">
        <v>16</v>
      </c>
      <c r="B22" s="25" t="s">
        <v>17</v>
      </c>
      <c r="C22" s="26">
        <f>[6]С5!F12</f>
        <v>110.81493622622092</v>
      </c>
    </row>
    <row r="23" spans="1:3" ht="43.5" thickBot="1" x14ac:dyDescent="0.25">
      <c r="A23" s="27" t="s">
        <v>18</v>
      </c>
      <c r="B23" s="117" t="s">
        <v>19</v>
      </c>
      <c r="C23" s="28" t="str">
        <f>[6]С6!F12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[6]С1.1!E16</f>
        <v>5100</v>
      </c>
    </row>
    <row r="29" spans="1:3" ht="42.75" x14ac:dyDescent="0.2">
      <c r="A29" s="22" t="s">
        <v>10</v>
      </c>
      <c r="B29" s="33" t="s">
        <v>22</v>
      </c>
      <c r="C29" s="34">
        <f>[6]С1.1!E27</f>
        <v>3813.85</v>
      </c>
    </row>
    <row r="30" spans="1:3" ht="17.25" x14ac:dyDescent="0.2">
      <c r="A30" s="22" t="s">
        <v>12</v>
      </c>
      <c r="B30" s="33" t="s">
        <v>23</v>
      </c>
      <c r="C30" s="35">
        <f>[6]С1.1!E19</f>
        <v>1.4E-2</v>
      </c>
    </row>
    <row r="31" spans="1:3" ht="17.25" x14ac:dyDescent="0.2">
      <c r="A31" s="22" t="s">
        <v>14</v>
      </c>
      <c r="B31" s="33" t="s">
        <v>24</v>
      </c>
      <c r="C31" s="35">
        <f>[6]С1.1!E20</f>
        <v>0.04</v>
      </c>
    </row>
    <row r="32" spans="1:3" ht="30" x14ac:dyDescent="0.2">
      <c r="A32" s="22" t="s">
        <v>16</v>
      </c>
      <c r="B32" s="36" t="s">
        <v>25</v>
      </c>
      <c r="C32" s="37">
        <f>[6]С1!F13</f>
        <v>176.4</v>
      </c>
    </row>
    <row r="33" spans="1:3" x14ac:dyDescent="0.2">
      <c r="A33" s="22" t="s">
        <v>18</v>
      </c>
      <c r="B33" s="36" t="s">
        <v>26</v>
      </c>
      <c r="C33" s="38">
        <f>[6]С1!F16</f>
        <v>7000</v>
      </c>
    </row>
    <row r="34" spans="1:3" ht="14.25" x14ac:dyDescent="0.2">
      <c r="A34" s="22" t="s">
        <v>27</v>
      </c>
      <c r="B34" s="39" t="s">
        <v>28</v>
      </c>
      <c r="C34" s="40">
        <f>[6]С1!F17</f>
        <v>0.72857142857142854</v>
      </c>
    </row>
    <row r="35" spans="1:3" ht="15.75" x14ac:dyDescent="0.2">
      <c r="A35" s="41" t="s">
        <v>29</v>
      </c>
      <c r="B35" s="42" t="s">
        <v>30</v>
      </c>
      <c r="C35" s="40">
        <f>[6]С1!F20</f>
        <v>21.588411179999994</v>
      </c>
    </row>
    <row r="36" spans="1:3" ht="15.75" x14ac:dyDescent="0.2">
      <c r="A36" s="41" t="s">
        <v>31</v>
      </c>
      <c r="B36" s="43" t="s">
        <v>32</v>
      </c>
      <c r="C36" s="40">
        <f>[6]С1!F21</f>
        <v>20.818139999999996</v>
      </c>
    </row>
    <row r="37" spans="1:3" ht="14.25" x14ac:dyDescent="0.2">
      <c r="A37" s="41" t="s">
        <v>33</v>
      </c>
      <c r="B37" s="44" t="s">
        <v>34</v>
      </c>
      <c r="C37" s="40">
        <f>[6]С1!F22</f>
        <v>1.0369999999999999</v>
      </c>
    </row>
    <row r="38" spans="1:3" ht="53.25" thickBot="1" x14ac:dyDescent="0.25">
      <c r="A38" s="27" t="s">
        <v>35</v>
      </c>
      <c r="B38" s="45" t="s">
        <v>36</v>
      </c>
      <c r="C38" s="46">
        <f>[6]С1!F23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[6]С2.1!E12</f>
        <v>V</v>
      </c>
    </row>
    <row r="42" spans="1:3" ht="25.5" x14ac:dyDescent="0.2">
      <c r="A42" s="22" t="s">
        <v>41</v>
      </c>
      <c r="B42" s="33" t="s">
        <v>42</v>
      </c>
      <c r="C42" s="51" t="str">
        <f>[6]С2.1!E13</f>
        <v>6 и менее баллов</v>
      </c>
    </row>
    <row r="43" spans="1:3" ht="25.5" x14ac:dyDescent="0.2">
      <c r="A43" s="22" t="s">
        <v>43</v>
      </c>
      <c r="B43" s="33" t="s">
        <v>44</v>
      </c>
      <c r="C43" s="51" t="str">
        <f>[6]С2.1!E14</f>
        <v>от 200 до 500</v>
      </c>
    </row>
    <row r="44" spans="1:3" ht="25.5" x14ac:dyDescent="0.2">
      <c r="A44" s="22" t="s">
        <v>45</v>
      </c>
      <c r="B44" s="33" t="s">
        <v>46</v>
      </c>
      <c r="C44" s="52" t="str">
        <f>[6]С2.1!E15</f>
        <v>нет</v>
      </c>
    </row>
    <row r="45" spans="1:3" ht="30" x14ac:dyDescent="0.2">
      <c r="A45" s="22" t="s">
        <v>47</v>
      </c>
      <c r="B45" s="33" t="s">
        <v>48</v>
      </c>
      <c r="C45" s="34">
        <f>[6]С2!F18</f>
        <v>38910.02669467502</v>
      </c>
    </row>
    <row r="46" spans="1:3" ht="30" x14ac:dyDescent="0.2">
      <c r="A46" s="22" t="s">
        <v>49</v>
      </c>
      <c r="B46" s="53" t="s">
        <v>50</v>
      </c>
      <c r="C46" s="34">
        <f>IF([6]С2!F19&gt;0,[6]С2!F19,[6]С2!F20)</f>
        <v>23441.524932855718</v>
      </c>
    </row>
    <row r="47" spans="1:3" ht="25.5" x14ac:dyDescent="0.2">
      <c r="A47" s="22" t="s">
        <v>51</v>
      </c>
      <c r="B47" s="54" t="s">
        <v>52</v>
      </c>
      <c r="C47" s="34">
        <f>[6]С2.1!E19</f>
        <v>-38</v>
      </c>
    </row>
    <row r="48" spans="1:3" ht="25.5" x14ac:dyDescent="0.2">
      <c r="A48" s="22" t="s">
        <v>53</v>
      </c>
      <c r="B48" s="54" t="s">
        <v>54</v>
      </c>
      <c r="C48" s="34" t="str">
        <f>[6]С2.1!E22</f>
        <v>нет</v>
      </c>
    </row>
    <row r="49" spans="1:3" ht="38.25" x14ac:dyDescent="0.2">
      <c r="A49" s="22" t="s">
        <v>55</v>
      </c>
      <c r="B49" s="55" t="s">
        <v>56</v>
      </c>
      <c r="C49" s="34">
        <f>[6]С2.2!E10</f>
        <v>1287</v>
      </c>
    </row>
    <row r="50" spans="1:3" ht="25.5" x14ac:dyDescent="0.2">
      <c r="A50" s="22" t="s">
        <v>57</v>
      </c>
      <c r="B50" s="56" t="s">
        <v>58</v>
      </c>
      <c r="C50" s="34">
        <f>[6]С2.2!E12</f>
        <v>5.97</v>
      </c>
    </row>
    <row r="51" spans="1:3" ht="52.5" x14ac:dyDescent="0.2">
      <c r="A51" s="22" t="s">
        <v>59</v>
      </c>
      <c r="B51" s="57" t="s">
        <v>60</v>
      </c>
      <c r="C51" s="34">
        <f>[6]С2.2!E13</f>
        <v>1</v>
      </c>
    </row>
    <row r="52" spans="1:3" ht="27.75" x14ac:dyDescent="0.2">
      <c r="A52" s="22" t="s">
        <v>61</v>
      </c>
      <c r="B52" s="56" t="s">
        <v>62</v>
      </c>
      <c r="C52" s="34">
        <f>[6]С2.2!E14</f>
        <v>12104</v>
      </c>
    </row>
    <row r="53" spans="1:3" ht="25.5" x14ac:dyDescent="0.2">
      <c r="A53" s="22" t="s">
        <v>63</v>
      </c>
      <c r="B53" s="57" t="s">
        <v>64</v>
      </c>
      <c r="C53" s="35">
        <f>[6]С2.2!E15</f>
        <v>4.8000000000000001E-2</v>
      </c>
    </row>
    <row r="54" spans="1:3" x14ac:dyDescent="0.2">
      <c r="A54" s="22" t="s">
        <v>65</v>
      </c>
      <c r="B54" s="57" t="s">
        <v>66</v>
      </c>
      <c r="C54" s="34">
        <f>[6]С2.2!E16</f>
        <v>1</v>
      </c>
    </row>
    <row r="55" spans="1:3" ht="15.75" x14ac:dyDescent="0.2">
      <c r="A55" s="22" t="s">
        <v>67</v>
      </c>
      <c r="B55" s="58" t="s">
        <v>68</v>
      </c>
      <c r="C55" s="34">
        <f>[6]С2!F21</f>
        <v>1</v>
      </c>
    </row>
    <row r="56" spans="1:3" ht="30" x14ac:dyDescent="0.2">
      <c r="A56" s="59" t="s">
        <v>69</v>
      </c>
      <c r="B56" s="33" t="s">
        <v>70</v>
      </c>
      <c r="C56" s="34">
        <f>[6]С2!F13</f>
        <v>203708.97017230222</v>
      </c>
    </row>
    <row r="57" spans="1:3" ht="30" x14ac:dyDescent="0.2">
      <c r="A57" s="59" t="s">
        <v>71</v>
      </c>
      <c r="B57" s="58" t="s">
        <v>72</v>
      </c>
      <c r="C57" s="34">
        <f>[6]С2!F14</f>
        <v>113455</v>
      </c>
    </row>
    <row r="58" spans="1:3" ht="15.75" x14ac:dyDescent="0.2">
      <c r="A58" s="59" t="s">
        <v>73</v>
      </c>
      <c r="B58" s="60" t="s">
        <v>74</v>
      </c>
      <c r="C58" s="40">
        <f>[6]С2!F15</f>
        <v>1.071</v>
      </c>
    </row>
    <row r="59" spans="1:3" ht="15.75" x14ac:dyDescent="0.2">
      <c r="A59" s="59" t="s">
        <v>75</v>
      </c>
      <c r="B59" s="60" t="s">
        <v>76</v>
      </c>
      <c r="C59" s="40">
        <f>[6]С2!F16</f>
        <v>1</v>
      </c>
    </row>
    <row r="60" spans="1:3" ht="17.25" x14ac:dyDescent="0.2">
      <c r="A60" s="59" t="s">
        <v>77</v>
      </c>
      <c r="B60" s="58" t="s">
        <v>78</v>
      </c>
      <c r="C60" s="34">
        <f>[6]С2!F17</f>
        <v>1.01</v>
      </c>
    </row>
    <row r="61" spans="1:3" s="63" customFormat="1" ht="14.25" x14ac:dyDescent="0.2">
      <c r="A61" s="59" t="s">
        <v>79</v>
      </c>
      <c r="B61" s="61" t="s">
        <v>80</v>
      </c>
      <c r="C61" s="62">
        <f>[6]С2!F33</f>
        <v>10</v>
      </c>
    </row>
    <row r="62" spans="1:3" ht="30" x14ac:dyDescent="0.2">
      <c r="A62" s="59" t="s">
        <v>81</v>
      </c>
      <c r="B62" s="64" t="s">
        <v>82</v>
      </c>
      <c r="C62" s="34">
        <f>[6]С2!F26</f>
        <v>1349.309862285194</v>
      </c>
    </row>
    <row r="63" spans="1:3" ht="17.25" x14ac:dyDescent="0.2">
      <c r="A63" s="59" t="s">
        <v>83</v>
      </c>
      <c r="B63" s="53" t="s">
        <v>84</v>
      </c>
      <c r="C63" s="34">
        <f>[6]С2!F27</f>
        <v>0.19354712999999998</v>
      </c>
    </row>
    <row r="64" spans="1:3" ht="17.25" x14ac:dyDescent="0.2">
      <c r="A64" s="59" t="s">
        <v>85</v>
      </c>
      <c r="B64" s="58" t="s">
        <v>86</v>
      </c>
      <c r="C64" s="62">
        <f>[6]С2!F28</f>
        <v>4200</v>
      </c>
    </row>
    <row r="65" spans="1:3" ht="42.75" x14ac:dyDescent="0.2">
      <c r="A65" s="59" t="s">
        <v>87</v>
      </c>
      <c r="B65" s="33" t="s">
        <v>88</v>
      </c>
      <c r="C65" s="34">
        <f>[6]С2!F22</f>
        <v>42890.921752741691</v>
      </c>
    </row>
    <row r="66" spans="1:3" ht="30" x14ac:dyDescent="0.2">
      <c r="A66" s="59" t="s">
        <v>89</v>
      </c>
      <c r="B66" s="60" t="s">
        <v>90</v>
      </c>
      <c r="C66" s="34">
        <f>[6]С2!F23</f>
        <v>1990</v>
      </c>
    </row>
    <row r="67" spans="1:3" ht="30" x14ac:dyDescent="0.2">
      <c r="A67" s="59" t="s">
        <v>91</v>
      </c>
      <c r="B67" s="53" t="s">
        <v>92</v>
      </c>
      <c r="C67" s="34">
        <f>[6]С2.1!E27</f>
        <v>14307.876789999998</v>
      </c>
    </row>
    <row r="68" spans="1:3" ht="38.25" x14ac:dyDescent="0.2">
      <c r="A68" s="59" t="s">
        <v>93</v>
      </c>
      <c r="B68" s="65" t="s">
        <v>94</v>
      </c>
      <c r="C68" s="52">
        <f>[6]С2.3!E21</f>
        <v>0</v>
      </c>
    </row>
    <row r="69" spans="1:3" ht="25.5" x14ac:dyDescent="0.2">
      <c r="A69" s="59" t="s">
        <v>95</v>
      </c>
      <c r="B69" s="66" t="s">
        <v>96</v>
      </c>
      <c r="C69" s="67">
        <f>[6]С2.3!E11</f>
        <v>9.89</v>
      </c>
    </row>
    <row r="70" spans="1:3" ht="25.5" x14ac:dyDescent="0.2">
      <c r="A70" s="59" t="s">
        <v>97</v>
      </c>
      <c r="B70" s="66" t="s">
        <v>98</v>
      </c>
      <c r="C70" s="62">
        <f>[6]С2.3!E13</f>
        <v>300</v>
      </c>
    </row>
    <row r="71" spans="1:3" ht="25.5" x14ac:dyDescent="0.2">
      <c r="A71" s="59" t="s">
        <v>99</v>
      </c>
      <c r="B71" s="65" t="s">
        <v>100</v>
      </c>
      <c r="C71" s="68">
        <f>IF([6]С2.3!E22&gt;0,[6]С2.3!E22,[6]С2.3!E14)</f>
        <v>61211</v>
      </c>
    </row>
    <row r="72" spans="1:3" ht="38.25" x14ac:dyDescent="0.2">
      <c r="A72" s="59" t="s">
        <v>101</v>
      </c>
      <c r="B72" s="65" t="s">
        <v>102</v>
      </c>
      <c r="C72" s="68">
        <f>IF([6]С2.3!E23&gt;0,[6]С2.3!E23,[6]С2.3!E15)</f>
        <v>45675</v>
      </c>
    </row>
    <row r="73" spans="1:3" ht="30" x14ac:dyDescent="0.2">
      <c r="A73" s="59" t="s">
        <v>103</v>
      </c>
      <c r="B73" s="53" t="s">
        <v>104</v>
      </c>
      <c r="C73" s="34">
        <f>[6]С2.1!E28</f>
        <v>9541.9567200000001</v>
      </c>
    </row>
    <row r="74" spans="1:3" ht="38.25" x14ac:dyDescent="0.2">
      <c r="A74" s="59" t="s">
        <v>105</v>
      </c>
      <c r="B74" s="65" t="s">
        <v>106</v>
      </c>
      <c r="C74" s="52">
        <f>[6]С2.3!E25</f>
        <v>0</v>
      </c>
    </row>
    <row r="75" spans="1:3" ht="25.5" x14ac:dyDescent="0.2">
      <c r="A75" s="59" t="s">
        <v>107</v>
      </c>
      <c r="B75" s="66" t="s">
        <v>108</v>
      </c>
      <c r="C75" s="67">
        <f>[6]С2.3!E12</f>
        <v>0.56000000000000005</v>
      </c>
    </row>
    <row r="76" spans="1:3" ht="25.5" x14ac:dyDescent="0.2">
      <c r="A76" s="59" t="s">
        <v>109</v>
      </c>
      <c r="B76" s="66" t="s">
        <v>98</v>
      </c>
      <c r="C76" s="62">
        <f>[6]С2.3!E13</f>
        <v>300</v>
      </c>
    </row>
    <row r="77" spans="1:3" ht="25.5" x14ac:dyDescent="0.2">
      <c r="A77" s="59" t="s">
        <v>110</v>
      </c>
      <c r="B77" s="69" t="s">
        <v>111</v>
      </c>
      <c r="C77" s="68">
        <f>IF([6]С2.3!E26&gt;0,[6]С2.3!E26,[6]С2.3!E16)</f>
        <v>65637</v>
      </c>
    </row>
    <row r="78" spans="1:3" ht="38.25" x14ac:dyDescent="0.2">
      <c r="A78" s="59" t="s">
        <v>112</v>
      </c>
      <c r="B78" s="69" t="s">
        <v>113</v>
      </c>
      <c r="C78" s="68">
        <f>IF([6]С2.3!E27&gt;0,[6]С2.3!E27,[6]С2.3!E17)</f>
        <v>31684</v>
      </c>
    </row>
    <row r="79" spans="1:3" ht="17.25" x14ac:dyDescent="0.2">
      <c r="A79" s="59" t="s">
        <v>114</v>
      </c>
      <c r="B79" s="33" t="s">
        <v>115</v>
      </c>
      <c r="C79" s="35">
        <f>[6]С2!F29</f>
        <v>0.17804631770487722</v>
      </c>
    </row>
    <row r="80" spans="1:3" ht="30" x14ac:dyDescent="0.2">
      <c r="A80" s="59" t="s">
        <v>116</v>
      </c>
      <c r="B80" s="53" t="s">
        <v>117</v>
      </c>
      <c r="C80" s="70">
        <f>[6]С2!F30</f>
        <v>0.1652189781021898</v>
      </c>
    </row>
    <row r="81" spans="1:3" ht="17.25" x14ac:dyDescent="0.2">
      <c r="A81" s="59" t="s">
        <v>118</v>
      </c>
      <c r="B81" s="71" t="s">
        <v>119</v>
      </c>
      <c r="C81" s="35">
        <f>[6]С2!F31</f>
        <v>0.13880000000000001</v>
      </c>
    </row>
    <row r="82" spans="1:3" s="63" customFormat="1" ht="18" thickBot="1" x14ac:dyDescent="0.25">
      <c r="A82" s="72" t="s">
        <v>120</v>
      </c>
      <c r="B82" s="73" t="s">
        <v>121</v>
      </c>
      <c r="C82" s="74">
        <f>[6]С2!F32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[6]С3!F14</f>
        <v>14784.578474435859</v>
      </c>
    </row>
    <row r="86" spans="1:3" s="63" customFormat="1" ht="42.75" x14ac:dyDescent="0.2">
      <c r="A86" s="77" t="s">
        <v>126</v>
      </c>
      <c r="B86" s="53" t="s">
        <v>127</v>
      </c>
      <c r="C86" s="78">
        <f>[6]С3!F15</f>
        <v>0.25</v>
      </c>
    </row>
    <row r="87" spans="1:3" s="63" customFormat="1" ht="14.25" x14ac:dyDescent="0.2">
      <c r="A87" s="77" t="s">
        <v>128</v>
      </c>
      <c r="B87" s="79" t="s">
        <v>129</v>
      </c>
      <c r="C87" s="62">
        <f>[6]С3!F18</f>
        <v>15</v>
      </c>
    </row>
    <row r="88" spans="1:3" s="63" customFormat="1" ht="17.25" x14ac:dyDescent="0.2">
      <c r="A88" s="77" t="s">
        <v>130</v>
      </c>
      <c r="B88" s="33" t="s">
        <v>131</v>
      </c>
      <c r="C88" s="34">
        <f>[6]С3!F19</f>
        <v>4187.478806422544</v>
      </c>
    </row>
    <row r="89" spans="1:3" s="63" customFormat="1" ht="55.5" x14ac:dyDescent="0.2">
      <c r="A89" s="77" t="s">
        <v>132</v>
      </c>
      <c r="B89" s="53" t="s">
        <v>133</v>
      </c>
      <c r="C89" s="80">
        <f>[6]С3!F20</f>
        <v>2.1999999999999999E-2</v>
      </c>
    </row>
    <row r="90" spans="1:3" s="63" customFormat="1" ht="14.25" x14ac:dyDescent="0.2">
      <c r="A90" s="77" t="s">
        <v>134</v>
      </c>
      <c r="B90" s="58" t="s">
        <v>80</v>
      </c>
      <c r="C90" s="62">
        <f>[6]С3!F21</f>
        <v>10</v>
      </c>
    </row>
    <row r="91" spans="1:3" s="63" customFormat="1" ht="17.25" x14ac:dyDescent="0.2">
      <c r="A91" s="77" t="s">
        <v>135</v>
      </c>
      <c r="B91" s="33" t="s">
        <v>136</v>
      </c>
      <c r="C91" s="34">
        <f>[6]С3!F22</f>
        <v>4.0479295868555818</v>
      </c>
    </row>
    <row r="92" spans="1:3" s="63" customFormat="1" ht="55.5" x14ac:dyDescent="0.2">
      <c r="A92" s="77" t="s">
        <v>137</v>
      </c>
      <c r="B92" s="53" t="s">
        <v>138</v>
      </c>
      <c r="C92" s="80">
        <f>[6]С3!F23</f>
        <v>3.0000000000000001E-3</v>
      </c>
    </row>
    <row r="93" spans="1:3" s="63" customFormat="1" ht="27.75" thickBot="1" x14ac:dyDescent="0.25">
      <c r="A93" s="81" t="s">
        <v>139</v>
      </c>
      <c r="B93" s="82" t="s">
        <v>140</v>
      </c>
      <c r="C93" s="83">
        <f>[6]С3!F24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[6]С4!F16</f>
        <v>1652.5</v>
      </c>
    </row>
    <row r="97" spans="1:3" ht="30" x14ac:dyDescent="0.2">
      <c r="A97" s="59" t="s">
        <v>145</v>
      </c>
      <c r="B97" s="58" t="s">
        <v>146</v>
      </c>
      <c r="C97" s="34">
        <f>[6]С4!F17</f>
        <v>73547</v>
      </c>
    </row>
    <row r="98" spans="1:3" ht="17.25" x14ac:dyDescent="0.2">
      <c r="A98" s="59" t="s">
        <v>147</v>
      </c>
      <c r="B98" s="58" t="s">
        <v>148</v>
      </c>
      <c r="C98" s="40">
        <f>[6]С4!F18</f>
        <v>0.02</v>
      </c>
    </row>
    <row r="99" spans="1:3" ht="30" x14ac:dyDescent="0.2">
      <c r="A99" s="59" t="s">
        <v>149</v>
      </c>
      <c r="B99" s="58" t="s">
        <v>150</v>
      </c>
      <c r="C99" s="34">
        <f>[6]С4!F19</f>
        <v>12104</v>
      </c>
    </row>
    <row r="100" spans="1:3" ht="31.5" x14ac:dyDescent="0.2">
      <c r="A100" s="59" t="s">
        <v>151</v>
      </c>
      <c r="B100" s="58" t="s">
        <v>152</v>
      </c>
      <c r="C100" s="40">
        <f>[6]С4!F20</f>
        <v>1.4999999999999999E-2</v>
      </c>
    </row>
    <row r="101" spans="1:3" ht="30" x14ac:dyDescent="0.2">
      <c r="A101" s="59" t="s">
        <v>153</v>
      </c>
      <c r="B101" s="33" t="s">
        <v>154</v>
      </c>
      <c r="C101" s="34">
        <f>[6]С4!F21</f>
        <v>1933.1949342509995</v>
      </c>
    </row>
    <row r="102" spans="1:3" ht="24" customHeight="1" x14ac:dyDescent="0.2">
      <c r="A102" s="59" t="s">
        <v>155</v>
      </c>
      <c r="B102" s="53" t="s">
        <v>156</v>
      </c>
      <c r="C102" s="85">
        <f>IF([6]С4.2!F8="да",[6]С4.2!D21,[6]С4.2!D15)</f>
        <v>0</v>
      </c>
    </row>
    <row r="103" spans="1:3" ht="68.25" x14ac:dyDescent="0.2">
      <c r="A103" s="59" t="s">
        <v>157</v>
      </c>
      <c r="B103" s="53" t="s">
        <v>158</v>
      </c>
      <c r="C103" s="34">
        <f>[6]С4!F22</f>
        <v>3.6112641666666665</v>
      </c>
    </row>
    <row r="104" spans="1:3" ht="30" x14ac:dyDescent="0.2">
      <c r="A104" s="59" t="s">
        <v>159</v>
      </c>
      <c r="B104" s="58" t="s">
        <v>160</v>
      </c>
      <c r="C104" s="34">
        <f>[6]С4!F23</f>
        <v>180</v>
      </c>
    </row>
    <row r="105" spans="1:3" ht="14.25" x14ac:dyDescent="0.2">
      <c r="A105" s="59" t="s">
        <v>161</v>
      </c>
      <c r="B105" s="53" t="s">
        <v>162</v>
      </c>
      <c r="C105" s="34">
        <f>[6]С4!F24</f>
        <v>8497.1999999999989</v>
      </c>
    </row>
    <row r="106" spans="1:3" ht="14.25" x14ac:dyDescent="0.2">
      <c r="A106" s="59" t="s">
        <v>163</v>
      </c>
      <c r="B106" s="58" t="s">
        <v>164</v>
      </c>
      <c r="C106" s="40">
        <f>[6]С4!F25</f>
        <v>0.35</v>
      </c>
    </row>
    <row r="107" spans="1:3" ht="17.25" x14ac:dyDescent="0.2">
      <c r="A107" s="59" t="s">
        <v>165</v>
      </c>
      <c r="B107" s="33" t="s">
        <v>166</v>
      </c>
      <c r="C107" s="34">
        <f>[6]С4!F26</f>
        <v>73.264750000000006</v>
      </c>
    </row>
    <row r="108" spans="1:3" ht="25.5" x14ac:dyDescent="0.2">
      <c r="A108" s="59" t="s">
        <v>167</v>
      </c>
      <c r="B108" s="53" t="s">
        <v>94</v>
      </c>
      <c r="C108" s="85">
        <f>[6]С4.3!E16</f>
        <v>0</v>
      </c>
    </row>
    <row r="109" spans="1:3" ht="25.5" x14ac:dyDescent="0.2">
      <c r="A109" s="59" t="s">
        <v>168</v>
      </c>
      <c r="B109" s="53" t="s">
        <v>169</v>
      </c>
      <c r="C109" s="34">
        <f>[6]С4.3!E17</f>
        <v>19.916666666666668</v>
      </c>
    </row>
    <row r="110" spans="1:3" ht="38.25" x14ac:dyDescent="0.2">
      <c r="A110" s="59" t="s">
        <v>170</v>
      </c>
      <c r="B110" s="53" t="s">
        <v>106</v>
      </c>
      <c r="C110" s="85">
        <f>[6]С4.3!E18</f>
        <v>0</v>
      </c>
    </row>
    <row r="111" spans="1:3" x14ac:dyDescent="0.2">
      <c r="A111" s="59" t="s">
        <v>171</v>
      </c>
      <c r="B111" s="53" t="s">
        <v>172</v>
      </c>
      <c r="C111" s="34">
        <f>[6]С4.3!E19</f>
        <v>16.75</v>
      </c>
    </row>
    <row r="112" spans="1:3" x14ac:dyDescent="0.2">
      <c r="A112" s="59" t="s">
        <v>173</v>
      </c>
      <c r="B112" s="58" t="s">
        <v>174</v>
      </c>
      <c r="C112" s="34">
        <f>[6]С4.3!E11</f>
        <v>1871</v>
      </c>
    </row>
    <row r="113" spans="1:3" x14ac:dyDescent="0.2">
      <c r="A113" s="59" t="s">
        <v>175</v>
      </c>
      <c r="B113" s="58" t="s">
        <v>176</v>
      </c>
      <c r="C113" s="52">
        <f>[6]С4.3!E12</f>
        <v>1636</v>
      </c>
    </row>
    <row r="114" spans="1:3" x14ac:dyDescent="0.2">
      <c r="A114" s="59" t="s">
        <v>177</v>
      </c>
      <c r="B114" s="58" t="s">
        <v>178</v>
      </c>
      <c r="C114" s="52">
        <f>[6]С4.3!E13</f>
        <v>204</v>
      </c>
    </row>
    <row r="115" spans="1:3" ht="30" x14ac:dyDescent="0.2">
      <c r="A115" s="59" t="s">
        <v>179</v>
      </c>
      <c r="B115" s="33" t="s">
        <v>180</v>
      </c>
      <c r="C115" s="34">
        <f>[6]С4!F27</f>
        <v>1291.2863994686898</v>
      </c>
    </row>
    <row r="116" spans="1:3" ht="25.5" x14ac:dyDescent="0.2">
      <c r="A116" s="59" t="s">
        <v>181</v>
      </c>
      <c r="B116" s="53" t="s">
        <v>182</v>
      </c>
      <c r="C116" s="34">
        <f>[6]С4!F28</f>
        <v>991.77142816335618</v>
      </c>
    </row>
    <row r="117" spans="1:3" ht="42.75" x14ac:dyDescent="0.2">
      <c r="A117" s="59" t="s">
        <v>183</v>
      </c>
      <c r="B117" s="53" t="s">
        <v>184</v>
      </c>
      <c r="C117" s="34">
        <f>[6]С4!F29</f>
        <v>299.51497130533357</v>
      </c>
    </row>
    <row r="118" spans="1:3" ht="30" x14ac:dyDescent="0.2">
      <c r="A118" s="59" t="s">
        <v>185</v>
      </c>
      <c r="B118" s="39" t="s">
        <v>186</v>
      </c>
      <c r="C118" s="34">
        <f>[6]С4!F30</f>
        <v>2756.9732432203991</v>
      </c>
    </row>
    <row r="119" spans="1:3" ht="42.75" x14ac:dyDescent="0.2">
      <c r="A119" s="59" t="s">
        <v>187</v>
      </c>
      <c r="B119" s="86" t="s">
        <v>188</v>
      </c>
      <c r="C119" s="34">
        <f>[6]С4!F33</f>
        <v>1557.7714297834245</v>
      </c>
    </row>
    <row r="120" spans="1:3" ht="30" x14ac:dyDescent="0.2">
      <c r="A120" s="59" t="s">
        <v>189</v>
      </c>
      <c r="B120" s="87" t="s">
        <v>190</v>
      </c>
      <c r="C120" s="34">
        <f>[6]С4!F35</f>
        <v>17.040680999999999</v>
      </c>
    </row>
    <row r="121" spans="1:3" ht="14.25" x14ac:dyDescent="0.2">
      <c r="A121" s="59" t="s">
        <v>191</v>
      </c>
      <c r="B121" s="56" t="s">
        <v>192</v>
      </c>
      <c r="C121" s="34">
        <f>[6]С4!F36</f>
        <v>14319.9</v>
      </c>
    </row>
    <row r="122" spans="1:3" ht="28.5" thickBot="1" x14ac:dyDescent="0.25">
      <c r="A122" s="72" t="s">
        <v>193</v>
      </c>
      <c r="B122" s="88" t="s">
        <v>194</v>
      </c>
      <c r="C122" s="83">
        <f>[6]С4!F37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[6]С5!F17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[6]С2!F37</f>
        <v>20.818139999999996</v>
      </c>
    </row>
    <row r="136" spans="1:3" ht="14.25" x14ac:dyDescent="0.2">
      <c r="A136" s="59" t="s">
        <v>216</v>
      </c>
      <c r="B136" s="101" t="s">
        <v>217</v>
      </c>
      <c r="C136" s="34">
        <f>[6]С2!F38</f>
        <v>7</v>
      </c>
    </row>
    <row r="137" spans="1:3" ht="17.25" x14ac:dyDescent="0.2">
      <c r="A137" s="59" t="s">
        <v>218</v>
      </c>
      <c r="B137" s="101" t="s">
        <v>219</v>
      </c>
      <c r="C137" s="34">
        <f>[6]С2!F40</f>
        <v>0.97</v>
      </c>
    </row>
    <row r="138" spans="1:3" ht="15" thickBot="1" x14ac:dyDescent="0.25">
      <c r="A138" s="72" t="s">
        <v>220</v>
      </c>
      <c r="B138" s="102" t="s">
        <v>221</v>
      </c>
      <c r="C138" s="46">
        <f>[6]С2!F42</f>
        <v>0.35</v>
      </c>
    </row>
    <row r="139" spans="1:3" s="89" customFormat="1" ht="13.5" thickBot="1" x14ac:dyDescent="0.25">
      <c r="A139" s="47"/>
      <c r="B139" s="75"/>
      <c r="C139" s="15"/>
    </row>
    <row r="140" spans="1:3" ht="30" x14ac:dyDescent="0.2">
      <c r="A140" s="84" t="s">
        <v>222</v>
      </c>
      <c r="B140" s="103" t="s">
        <v>223</v>
      </c>
      <c r="C140" s="104">
        <f>[6]С2!F35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[6]С2.5!$E$11</f>
        <v>-2.9000000000000026E-2</v>
      </c>
    </row>
    <row r="144" spans="1:3" x14ac:dyDescent="0.2">
      <c r="A144" s="105"/>
      <c r="B144" s="110">
        <f>B143+1</f>
        <v>2021</v>
      </c>
      <c r="C144" s="111">
        <f>[6]С2.5!$F$11</f>
        <v>0.245</v>
      </c>
    </row>
    <row r="145" spans="1:3" x14ac:dyDescent="0.2">
      <c r="A145" s="105"/>
      <c r="B145" s="110">
        <f t="shared" ref="B145:B208" si="0">B144+1</f>
        <v>2022</v>
      </c>
      <c r="C145" s="111">
        <f>[6]С2.5!$G$11</f>
        <v>0.114</v>
      </c>
    </row>
    <row r="146" spans="1:3" ht="13.5" thickBot="1" x14ac:dyDescent="0.25">
      <c r="A146" s="105"/>
      <c r="B146" s="112">
        <f t="shared" si="0"/>
        <v>2023</v>
      </c>
      <c r="C146" s="113">
        <f>[6]С2.5!$H$11</f>
        <v>0.04</v>
      </c>
    </row>
    <row r="147" spans="1:3" x14ac:dyDescent="0.2">
      <c r="A147" s="105"/>
      <c r="B147" s="114">
        <f t="shared" si="0"/>
        <v>2024</v>
      </c>
      <c r="C147" s="115">
        <f>[6]С2.5!$I$11</f>
        <v>0.11700000000000001</v>
      </c>
    </row>
    <row r="148" spans="1:3" x14ac:dyDescent="0.2">
      <c r="A148" s="105"/>
      <c r="B148" s="110">
        <f t="shared" si="0"/>
        <v>2025</v>
      </c>
      <c r="C148" s="111">
        <f>[6]С2.5!$J$11</f>
        <v>6.0999999999999999E-2</v>
      </c>
    </row>
    <row r="149" spans="1:3" hidden="1" x14ac:dyDescent="0.2">
      <c r="A149" s="105"/>
      <c r="B149" s="110">
        <f t="shared" si="0"/>
        <v>2026</v>
      </c>
      <c r="C149" s="111">
        <f>[6]С2.5!$K$11</f>
        <v>3.5813361771260002E-2</v>
      </c>
    </row>
    <row r="150" spans="1:3" hidden="1" x14ac:dyDescent="0.2">
      <c r="A150" s="105"/>
      <c r="B150" s="110">
        <f t="shared" si="0"/>
        <v>2027</v>
      </c>
      <c r="C150" s="111">
        <f>[6]С2.5!$L$11</f>
        <v>3.2682303599220003E-2</v>
      </c>
    </row>
    <row r="151" spans="1:3" hidden="1" x14ac:dyDescent="0.2">
      <c r="A151" s="105"/>
      <c r="B151" s="110">
        <f t="shared" si="0"/>
        <v>2028</v>
      </c>
      <c r="C151" s="111">
        <f>[6]С2.5!$M$11</f>
        <v>0</v>
      </c>
    </row>
    <row r="152" spans="1:3" hidden="1" x14ac:dyDescent="0.2">
      <c r="A152" s="105"/>
      <c r="B152" s="110">
        <f t="shared" si="0"/>
        <v>2029</v>
      </c>
      <c r="C152" s="111">
        <f>[6]С2.5!$N$11</f>
        <v>0</v>
      </c>
    </row>
    <row r="153" spans="1:3" hidden="1" x14ac:dyDescent="0.2">
      <c r="A153" s="105"/>
      <c r="B153" s="110">
        <f t="shared" si="0"/>
        <v>2030</v>
      </c>
      <c r="C153" s="111">
        <f>[6]С2.5!$O$11</f>
        <v>0</v>
      </c>
    </row>
    <row r="154" spans="1:3" hidden="1" x14ac:dyDescent="0.2">
      <c r="A154" s="105"/>
      <c r="B154" s="110">
        <f t="shared" si="0"/>
        <v>2031</v>
      </c>
      <c r="C154" s="111">
        <f>[6]С2.5!$P$11</f>
        <v>0</v>
      </c>
    </row>
    <row r="155" spans="1:3" hidden="1" x14ac:dyDescent="0.2">
      <c r="A155" s="89"/>
      <c r="B155" s="110">
        <f t="shared" si="0"/>
        <v>2032</v>
      </c>
      <c r="C155" s="111">
        <f>[6]С2.5!$Q$11</f>
        <v>0</v>
      </c>
    </row>
    <row r="156" spans="1:3" hidden="1" x14ac:dyDescent="0.2">
      <c r="A156" s="89"/>
      <c r="B156" s="110">
        <f t="shared" si="0"/>
        <v>2033</v>
      </c>
      <c r="C156" s="111">
        <f>[6]С2.5!$R$11</f>
        <v>0</v>
      </c>
    </row>
    <row r="157" spans="1:3" hidden="1" x14ac:dyDescent="0.2">
      <c r="B157" s="110">
        <f t="shared" si="0"/>
        <v>2034</v>
      </c>
      <c r="C157" s="111">
        <f>[6]С2.5!$S$11</f>
        <v>0</v>
      </c>
    </row>
    <row r="158" spans="1:3" hidden="1" x14ac:dyDescent="0.2">
      <c r="B158" s="110">
        <f t="shared" si="0"/>
        <v>2035</v>
      </c>
      <c r="C158" s="111">
        <f>[6]С2.5!$T$11</f>
        <v>0</v>
      </c>
    </row>
    <row r="159" spans="1:3" hidden="1" x14ac:dyDescent="0.2">
      <c r="B159" s="110">
        <f t="shared" si="0"/>
        <v>2036</v>
      </c>
      <c r="C159" s="111">
        <f>[6]С2.5!$U$11</f>
        <v>0</v>
      </c>
    </row>
    <row r="160" spans="1:3" hidden="1" x14ac:dyDescent="0.2">
      <c r="B160" s="110">
        <f t="shared" si="0"/>
        <v>2037</v>
      </c>
      <c r="C160" s="111">
        <f>[6]С2.5!$V$11</f>
        <v>0</v>
      </c>
    </row>
    <row r="161" spans="2:3" hidden="1" x14ac:dyDescent="0.2">
      <c r="B161" s="110">
        <f t="shared" si="0"/>
        <v>2038</v>
      </c>
      <c r="C161" s="111">
        <f>[6]С2.5!$W$11</f>
        <v>0</v>
      </c>
    </row>
    <row r="162" spans="2:3" hidden="1" x14ac:dyDescent="0.2">
      <c r="B162" s="110">
        <f t="shared" si="0"/>
        <v>2039</v>
      </c>
      <c r="C162" s="111">
        <f>[6]С2.5!$X$11</f>
        <v>0</v>
      </c>
    </row>
    <row r="163" spans="2:3" hidden="1" x14ac:dyDescent="0.2">
      <c r="B163" s="110">
        <f t="shared" si="0"/>
        <v>2040</v>
      </c>
      <c r="C163" s="111">
        <f>[6]С2.5!$Y$11</f>
        <v>0</v>
      </c>
    </row>
    <row r="164" spans="2:3" hidden="1" x14ac:dyDescent="0.2">
      <c r="B164" s="110">
        <f t="shared" si="0"/>
        <v>2041</v>
      </c>
      <c r="C164" s="111">
        <f>[6]С2.5!$Z$11</f>
        <v>0</v>
      </c>
    </row>
    <row r="165" spans="2:3" hidden="1" x14ac:dyDescent="0.2">
      <c r="B165" s="110">
        <f t="shared" si="0"/>
        <v>2042</v>
      </c>
      <c r="C165" s="111">
        <f>[6]С2.5!$AA$11</f>
        <v>0</v>
      </c>
    </row>
    <row r="166" spans="2:3" hidden="1" x14ac:dyDescent="0.2">
      <c r="B166" s="110">
        <f t="shared" si="0"/>
        <v>2043</v>
      </c>
      <c r="C166" s="111">
        <f>[6]С2.5!$AB$11</f>
        <v>0</v>
      </c>
    </row>
    <row r="167" spans="2:3" hidden="1" x14ac:dyDescent="0.2">
      <c r="B167" s="110">
        <f t="shared" si="0"/>
        <v>2044</v>
      </c>
      <c r="C167" s="111">
        <f>[6]С2.5!$AC$11</f>
        <v>0</v>
      </c>
    </row>
    <row r="168" spans="2:3" hidden="1" x14ac:dyDescent="0.2">
      <c r="B168" s="110">
        <f t="shared" si="0"/>
        <v>2045</v>
      </c>
      <c r="C168" s="111">
        <f>[6]С2.5!$AD$11</f>
        <v>0</v>
      </c>
    </row>
    <row r="169" spans="2:3" hidden="1" x14ac:dyDescent="0.2">
      <c r="B169" s="110">
        <f t="shared" si="0"/>
        <v>2046</v>
      </c>
      <c r="C169" s="111">
        <f>[6]С2.5!$AE$11</f>
        <v>0</v>
      </c>
    </row>
    <row r="170" spans="2:3" hidden="1" x14ac:dyDescent="0.2">
      <c r="B170" s="110">
        <f t="shared" si="0"/>
        <v>2047</v>
      </c>
      <c r="C170" s="111">
        <f>[6]С2.5!$AF$11</f>
        <v>0</v>
      </c>
    </row>
    <row r="171" spans="2:3" hidden="1" x14ac:dyDescent="0.2">
      <c r="B171" s="110">
        <f t="shared" si="0"/>
        <v>2048</v>
      </c>
      <c r="C171" s="111">
        <f>[6]С2.5!$AG$11</f>
        <v>0</v>
      </c>
    </row>
    <row r="172" spans="2:3" hidden="1" x14ac:dyDescent="0.2">
      <c r="B172" s="110">
        <f t="shared" si="0"/>
        <v>2049</v>
      </c>
      <c r="C172" s="111">
        <f>[6]С2.5!$AH$11</f>
        <v>0</v>
      </c>
    </row>
    <row r="173" spans="2:3" hidden="1" x14ac:dyDescent="0.2">
      <c r="B173" s="110">
        <f t="shared" si="0"/>
        <v>2050</v>
      </c>
      <c r="C173" s="111">
        <f>[6]С2.5!$AI$11</f>
        <v>0</v>
      </c>
    </row>
    <row r="174" spans="2:3" hidden="1" x14ac:dyDescent="0.2">
      <c r="B174" s="110">
        <f t="shared" si="0"/>
        <v>2051</v>
      </c>
      <c r="C174" s="111">
        <f>[6]С2.5!$AJ$11</f>
        <v>0</v>
      </c>
    </row>
    <row r="175" spans="2:3" hidden="1" x14ac:dyDescent="0.2">
      <c r="B175" s="110">
        <f t="shared" si="0"/>
        <v>2052</v>
      </c>
      <c r="C175" s="111">
        <f>[6]С2.5!$AK$11</f>
        <v>0</v>
      </c>
    </row>
    <row r="176" spans="2:3" hidden="1" x14ac:dyDescent="0.2">
      <c r="B176" s="110">
        <f t="shared" si="0"/>
        <v>2053</v>
      </c>
      <c r="C176" s="111">
        <f>[6]С2.5!$AL$11</f>
        <v>0</v>
      </c>
    </row>
    <row r="177" spans="2:3" hidden="1" x14ac:dyDescent="0.2">
      <c r="B177" s="110">
        <f t="shared" si="0"/>
        <v>2054</v>
      </c>
      <c r="C177" s="111">
        <f>[6]С2.5!$AM$11</f>
        <v>0</v>
      </c>
    </row>
    <row r="178" spans="2:3" hidden="1" x14ac:dyDescent="0.2">
      <c r="B178" s="110">
        <f t="shared" si="0"/>
        <v>2055</v>
      </c>
      <c r="C178" s="111">
        <f>[6]С2.5!$AN$11</f>
        <v>0</v>
      </c>
    </row>
    <row r="179" spans="2:3" hidden="1" x14ac:dyDescent="0.2">
      <c r="B179" s="110">
        <f t="shared" si="0"/>
        <v>2056</v>
      </c>
      <c r="C179" s="111">
        <f>[6]С2.5!$AO$11</f>
        <v>0</v>
      </c>
    </row>
    <row r="180" spans="2:3" hidden="1" x14ac:dyDescent="0.2">
      <c r="B180" s="110">
        <f t="shared" si="0"/>
        <v>2057</v>
      </c>
      <c r="C180" s="111">
        <f>[6]С2.5!$AP$11</f>
        <v>0</v>
      </c>
    </row>
    <row r="181" spans="2:3" hidden="1" x14ac:dyDescent="0.2">
      <c r="B181" s="110">
        <f t="shared" si="0"/>
        <v>2058</v>
      </c>
      <c r="C181" s="111">
        <f>[6]С2.5!$AQ$11</f>
        <v>0</v>
      </c>
    </row>
    <row r="182" spans="2:3" hidden="1" x14ac:dyDescent="0.2">
      <c r="B182" s="110">
        <f t="shared" si="0"/>
        <v>2059</v>
      </c>
      <c r="C182" s="111">
        <f>[6]С2.5!$AR$11</f>
        <v>0</v>
      </c>
    </row>
    <row r="183" spans="2:3" hidden="1" x14ac:dyDescent="0.2">
      <c r="B183" s="110">
        <f t="shared" si="0"/>
        <v>2060</v>
      </c>
      <c r="C183" s="111">
        <f>[6]С2.5!$AS$11</f>
        <v>0</v>
      </c>
    </row>
    <row r="184" spans="2:3" hidden="1" x14ac:dyDescent="0.2">
      <c r="B184" s="110">
        <f t="shared" si="0"/>
        <v>2061</v>
      </c>
      <c r="C184" s="111">
        <f>[6]С2.5!$AT$11</f>
        <v>0</v>
      </c>
    </row>
    <row r="185" spans="2:3" hidden="1" x14ac:dyDescent="0.2">
      <c r="B185" s="110">
        <f t="shared" si="0"/>
        <v>2062</v>
      </c>
      <c r="C185" s="111">
        <f>[6]С2.5!$AU$11</f>
        <v>0</v>
      </c>
    </row>
    <row r="186" spans="2:3" hidden="1" x14ac:dyDescent="0.2">
      <c r="B186" s="110">
        <f t="shared" si="0"/>
        <v>2063</v>
      </c>
      <c r="C186" s="111">
        <f>[6]С2.5!$AV$11</f>
        <v>0</v>
      </c>
    </row>
    <row r="187" spans="2:3" hidden="1" x14ac:dyDescent="0.2">
      <c r="B187" s="110">
        <f t="shared" si="0"/>
        <v>2064</v>
      </c>
      <c r="C187" s="111">
        <f>[6]С2.5!$AW$11</f>
        <v>0</v>
      </c>
    </row>
    <row r="188" spans="2:3" hidden="1" x14ac:dyDescent="0.2">
      <c r="B188" s="110">
        <f t="shared" si="0"/>
        <v>2065</v>
      </c>
      <c r="C188" s="111">
        <f>[6]С2.5!$AX$11</f>
        <v>0</v>
      </c>
    </row>
    <row r="189" spans="2:3" hidden="1" x14ac:dyDescent="0.2">
      <c r="B189" s="110">
        <f t="shared" si="0"/>
        <v>2066</v>
      </c>
      <c r="C189" s="111">
        <f>[6]С2.5!$AY$11</f>
        <v>0</v>
      </c>
    </row>
    <row r="190" spans="2:3" hidden="1" x14ac:dyDescent="0.2">
      <c r="B190" s="110">
        <f t="shared" si="0"/>
        <v>2067</v>
      </c>
      <c r="C190" s="111">
        <f>[6]С2.5!$AZ$11</f>
        <v>0</v>
      </c>
    </row>
    <row r="191" spans="2:3" hidden="1" x14ac:dyDescent="0.2">
      <c r="B191" s="110">
        <f t="shared" si="0"/>
        <v>2068</v>
      </c>
      <c r="C191" s="111">
        <f>[6]С2.5!$BA$11</f>
        <v>0</v>
      </c>
    </row>
    <row r="192" spans="2:3" hidden="1" x14ac:dyDescent="0.2">
      <c r="B192" s="110">
        <f t="shared" si="0"/>
        <v>2069</v>
      </c>
      <c r="C192" s="111">
        <f>[6]С2.5!$BB$11</f>
        <v>0</v>
      </c>
    </row>
    <row r="193" spans="2:3" hidden="1" x14ac:dyDescent="0.2">
      <c r="B193" s="110">
        <f t="shared" si="0"/>
        <v>2070</v>
      </c>
      <c r="C193" s="111">
        <f>[6]С2.5!$BC$11</f>
        <v>0</v>
      </c>
    </row>
    <row r="194" spans="2:3" hidden="1" x14ac:dyDescent="0.2">
      <c r="B194" s="110">
        <f t="shared" si="0"/>
        <v>2071</v>
      </c>
      <c r="C194" s="111">
        <f>[6]С2.5!$BD$11</f>
        <v>0</v>
      </c>
    </row>
    <row r="195" spans="2:3" hidden="1" x14ac:dyDescent="0.2">
      <c r="B195" s="110">
        <f t="shared" si="0"/>
        <v>2072</v>
      </c>
      <c r="C195" s="111">
        <f>[6]С2.5!$BE$11</f>
        <v>0</v>
      </c>
    </row>
    <row r="196" spans="2:3" hidden="1" x14ac:dyDescent="0.2">
      <c r="B196" s="110">
        <f t="shared" si="0"/>
        <v>2073</v>
      </c>
      <c r="C196" s="111">
        <f>[6]С2.5!$BF$11</f>
        <v>0</v>
      </c>
    </row>
    <row r="197" spans="2:3" hidden="1" x14ac:dyDescent="0.2">
      <c r="B197" s="110">
        <f t="shared" si="0"/>
        <v>2074</v>
      </c>
      <c r="C197" s="111">
        <f>[6]С2.5!$BG$11</f>
        <v>0</v>
      </c>
    </row>
    <row r="198" spans="2:3" hidden="1" x14ac:dyDescent="0.2">
      <c r="B198" s="110">
        <f t="shared" si="0"/>
        <v>2075</v>
      </c>
      <c r="C198" s="111">
        <f>[6]С2.5!$BH$11</f>
        <v>0</v>
      </c>
    </row>
    <row r="199" spans="2:3" hidden="1" x14ac:dyDescent="0.2">
      <c r="B199" s="110">
        <f t="shared" si="0"/>
        <v>2076</v>
      </c>
      <c r="C199" s="111">
        <f>[6]С2.5!$BI$11</f>
        <v>0</v>
      </c>
    </row>
    <row r="200" spans="2:3" hidden="1" x14ac:dyDescent="0.2">
      <c r="B200" s="110">
        <f t="shared" si="0"/>
        <v>2077</v>
      </c>
      <c r="C200" s="111">
        <f>[6]С2.5!$BJ$11</f>
        <v>0</v>
      </c>
    </row>
    <row r="201" spans="2:3" hidden="1" x14ac:dyDescent="0.2">
      <c r="B201" s="110">
        <f t="shared" si="0"/>
        <v>2078</v>
      </c>
      <c r="C201" s="111">
        <f>[6]С2.5!$BK$11</f>
        <v>0</v>
      </c>
    </row>
    <row r="202" spans="2:3" hidden="1" x14ac:dyDescent="0.2">
      <c r="B202" s="110">
        <f t="shared" si="0"/>
        <v>2079</v>
      </c>
      <c r="C202" s="111">
        <f>[6]С2.5!$BL$11</f>
        <v>0</v>
      </c>
    </row>
    <row r="203" spans="2:3" hidden="1" x14ac:dyDescent="0.2">
      <c r="B203" s="110">
        <f t="shared" si="0"/>
        <v>2080</v>
      </c>
      <c r="C203" s="111">
        <f>[6]С2.5!$BM$11</f>
        <v>0</v>
      </c>
    </row>
    <row r="204" spans="2:3" hidden="1" x14ac:dyDescent="0.2">
      <c r="B204" s="110">
        <f t="shared" si="0"/>
        <v>2081</v>
      </c>
      <c r="C204" s="111">
        <f>[6]С2.5!$BN$11</f>
        <v>0</v>
      </c>
    </row>
    <row r="205" spans="2:3" hidden="1" x14ac:dyDescent="0.2">
      <c r="B205" s="110">
        <f t="shared" si="0"/>
        <v>2082</v>
      </c>
      <c r="C205" s="111">
        <f>[6]С2.5!$BO$11</f>
        <v>0</v>
      </c>
    </row>
    <row r="206" spans="2:3" hidden="1" x14ac:dyDescent="0.2">
      <c r="B206" s="110">
        <f t="shared" si="0"/>
        <v>2083</v>
      </c>
      <c r="C206" s="111">
        <f>[6]С2.5!$BP$11</f>
        <v>0</v>
      </c>
    </row>
    <row r="207" spans="2:3" hidden="1" x14ac:dyDescent="0.2">
      <c r="B207" s="110">
        <f t="shared" si="0"/>
        <v>2084</v>
      </c>
      <c r="C207" s="111">
        <f>[6]С2.5!$BQ$11</f>
        <v>0</v>
      </c>
    </row>
    <row r="208" spans="2:3" hidden="1" x14ac:dyDescent="0.2">
      <c r="B208" s="110">
        <f t="shared" si="0"/>
        <v>2085</v>
      </c>
      <c r="C208" s="111">
        <f>[6]С2.5!$BR$11</f>
        <v>0</v>
      </c>
    </row>
    <row r="209" spans="2:3" hidden="1" x14ac:dyDescent="0.2">
      <c r="B209" s="110">
        <f t="shared" ref="B209:B223" si="1">B208+1</f>
        <v>2086</v>
      </c>
      <c r="C209" s="111">
        <f>[6]С2.5!$BS$11</f>
        <v>0</v>
      </c>
    </row>
    <row r="210" spans="2:3" hidden="1" x14ac:dyDescent="0.2">
      <c r="B210" s="110">
        <f t="shared" si="1"/>
        <v>2087</v>
      </c>
      <c r="C210" s="111">
        <f>[6]С2.5!$BT$11</f>
        <v>0</v>
      </c>
    </row>
    <row r="211" spans="2:3" hidden="1" x14ac:dyDescent="0.2">
      <c r="B211" s="110">
        <f t="shared" si="1"/>
        <v>2088</v>
      </c>
      <c r="C211" s="111">
        <f>[6]С2.5!$BU$11</f>
        <v>0</v>
      </c>
    </row>
    <row r="212" spans="2:3" hidden="1" x14ac:dyDescent="0.2">
      <c r="B212" s="110">
        <f t="shared" si="1"/>
        <v>2089</v>
      </c>
      <c r="C212" s="111">
        <f>[6]С2.5!$BV$11</f>
        <v>0</v>
      </c>
    </row>
    <row r="213" spans="2:3" hidden="1" x14ac:dyDescent="0.2">
      <c r="B213" s="110">
        <f t="shared" si="1"/>
        <v>2090</v>
      </c>
      <c r="C213" s="111">
        <f>[6]С2.5!$BW$11</f>
        <v>0</v>
      </c>
    </row>
    <row r="214" spans="2:3" hidden="1" x14ac:dyDescent="0.2">
      <c r="B214" s="110">
        <f t="shared" si="1"/>
        <v>2091</v>
      </c>
      <c r="C214" s="111">
        <f>[6]С2.5!$BX$11</f>
        <v>0</v>
      </c>
    </row>
    <row r="215" spans="2:3" hidden="1" x14ac:dyDescent="0.2">
      <c r="B215" s="110">
        <f t="shared" si="1"/>
        <v>2092</v>
      </c>
      <c r="C215" s="111">
        <f>[6]С2.5!$BY$11</f>
        <v>0</v>
      </c>
    </row>
    <row r="216" spans="2:3" hidden="1" x14ac:dyDescent="0.2">
      <c r="B216" s="110">
        <f t="shared" si="1"/>
        <v>2093</v>
      </c>
      <c r="C216" s="111">
        <f>[6]С2.5!$BZ$11</f>
        <v>0</v>
      </c>
    </row>
    <row r="217" spans="2:3" hidden="1" x14ac:dyDescent="0.2">
      <c r="B217" s="110">
        <f t="shared" si="1"/>
        <v>2094</v>
      </c>
      <c r="C217" s="111">
        <f>[6]С2.5!$CA$11</f>
        <v>0</v>
      </c>
    </row>
    <row r="218" spans="2:3" hidden="1" x14ac:dyDescent="0.2">
      <c r="B218" s="110">
        <f t="shared" si="1"/>
        <v>2095</v>
      </c>
      <c r="C218" s="111">
        <f>[6]С2.5!$CB$11</f>
        <v>0</v>
      </c>
    </row>
    <row r="219" spans="2:3" hidden="1" x14ac:dyDescent="0.2">
      <c r="B219" s="110">
        <f t="shared" si="1"/>
        <v>2096</v>
      </c>
      <c r="C219" s="111">
        <f>[6]С2.5!$CC$11</f>
        <v>0</v>
      </c>
    </row>
    <row r="220" spans="2:3" hidden="1" x14ac:dyDescent="0.2">
      <c r="B220" s="110">
        <f t="shared" si="1"/>
        <v>2097</v>
      </c>
      <c r="C220" s="111">
        <f>[6]С2.5!$CD$11</f>
        <v>0</v>
      </c>
    </row>
    <row r="221" spans="2:3" hidden="1" x14ac:dyDescent="0.2">
      <c r="B221" s="110">
        <f t="shared" si="1"/>
        <v>2098</v>
      </c>
      <c r="C221" s="111">
        <f>[6]С2.5!$CE$11</f>
        <v>0</v>
      </c>
    </row>
    <row r="222" spans="2:3" hidden="1" x14ac:dyDescent="0.2">
      <c r="B222" s="110">
        <f t="shared" si="1"/>
        <v>2099</v>
      </c>
      <c r="C222" s="111">
        <f>[6]С2.5!$CF$11</f>
        <v>0</v>
      </c>
    </row>
    <row r="223" spans="2:3" ht="13.5" hidden="1" thickBot="1" x14ac:dyDescent="0.25">
      <c r="B223" s="112">
        <f t="shared" si="1"/>
        <v>2100</v>
      </c>
      <c r="C223" s="113">
        <f>[6]С2.5!$CG$11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[7]И1!D13</f>
        <v>Субъект Российской Федерации</v>
      </c>
      <c r="C4" s="10" t="str">
        <f>[7]И1!E13</f>
        <v>Новосибирская область</v>
      </c>
    </row>
    <row r="5" spans="1:3" ht="46.9" customHeight="1" x14ac:dyDescent="0.2">
      <c r="A5" s="8"/>
      <c r="B5" s="9" t="str">
        <f>[7]И1!D14</f>
        <v>Тип муниципального образования (выберите из списка)</v>
      </c>
      <c r="C5" s="10" t="str">
        <f>[7]И1!E14</f>
        <v>село Колыбелька, Краснозерский муниципальный район</v>
      </c>
    </row>
    <row r="6" spans="1:3" x14ac:dyDescent="0.2">
      <c r="A6" s="8"/>
      <c r="B6" s="9" t="str">
        <f>IF([7]И1!E15="","",[7]И1!D15)</f>
        <v/>
      </c>
      <c r="C6" s="10" t="str">
        <f>IF([7]И1!E15="","",[7]И1!E15)</f>
        <v/>
      </c>
    </row>
    <row r="7" spans="1:3" x14ac:dyDescent="0.2">
      <c r="A7" s="8"/>
      <c r="B7" s="9" t="str">
        <f>[7]И1!D16</f>
        <v>Код ОКТМО</v>
      </c>
      <c r="C7" s="11" t="str">
        <f>[7]И1!E16</f>
        <v xml:space="preserve"> (50627410101)</v>
      </c>
    </row>
    <row r="8" spans="1:3" x14ac:dyDescent="0.2">
      <c r="A8" s="8"/>
      <c r="B8" s="12" t="str">
        <f>[7]И1!D17</f>
        <v>Система теплоснабжения</v>
      </c>
      <c r="C8" s="13">
        <f>[7]И1!E17</f>
        <v>0</v>
      </c>
    </row>
    <row r="9" spans="1:3" x14ac:dyDescent="0.2">
      <c r="A9" s="8"/>
      <c r="B9" s="9" t="str">
        <f>[7]И1!D8</f>
        <v>Период регулирования (i)-й</v>
      </c>
      <c r="C9" s="14">
        <f>[7]И1!E8</f>
        <v>2025</v>
      </c>
    </row>
    <row r="10" spans="1:3" x14ac:dyDescent="0.2">
      <c r="A10" s="8"/>
      <c r="B10" s="9" t="str">
        <f>[7]И1!D9</f>
        <v>Период регулирования (i-1)-й</v>
      </c>
      <c r="C10" s="14">
        <f>[7]И1!E9</f>
        <v>2024</v>
      </c>
    </row>
    <row r="11" spans="1:3" x14ac:dyDescent="0.2">
      <c r="A11" s="8"/>
      <c r="B11" s="9" t="str">
        <f>[7]И1!D10</f>
        <v>Период регулирования (i-2)-й</v>
      </c>
      <c r="C11" s="14">
        <f>[7]И1!E10</f>
        <v>2023</v>
      </c>
    </row>
    <row r="12" spans="1:3" x14ac:dyDescent="0.2">
      <c r="A12" s="8"/>
      <c r="B12" s="9" t="str">
        <f>[7]И1!D11</f>
        <v>Базовый год (б)</v>
      </c>
      <c r="C12" s="14">
        <f>[7]И1!E11</f>
        <v>2019</v>
      </c>
    </row>
    <row r="13" spans="1:3" ht="38.25" x14ac:dyDescent="0.2">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5655.2218155847886</v>
      </c>
    </row>
    <row r="18" spans="1:3" ht="42.75" x14ac:dyDescent="0.2">
      <c r="A18" s="22" t="s">
        <v>8</v>
      </c>
      <c r="B18" s="25" t="s">
        <v>9</v>
      </c>
      <c r="C18" s="26">
        <f>[7]С1!F12</f>
        <v>1063.6897548770437</v>
      </c>
    </row>
    <row r="19" spans="1:3" ht="42.75" x14ac:dyDescent="0.2">
      <c r="A19" s="22" t="s">
        <v>10</v>
      </c>
      <c r="B19" s="25" t="s">
        <v>11</v>
      </c>
      <c r="C19" s="26">
        <f>[7]С2!F12</f>
        <v>3044.8315746726421</v>
      </c>
    </row>
    <row r="20" spans="1:3" ht="30" x14ac:dyDescent="0.2">
      <c r="A20" s="22" t="s">
        <v>12</v>
      </c>
      <c r="B20" s="25" t="s">
        <v>13</v>
      </c>
      <c r="C20" s="26">
        <f>[7]С3!F12</f>
        <v>911.5178018038722</v>
      </c>
    </row>
    <row r="21" spans="1:3" ht="42.75" x14ac:dyDescent="0.2">
      <c r="A21" s="22" t="s">
        <v>14</v>
      </c>
      <c r="B21" s="25" t="s">
        <v>15</v>
      </c>
      <c r="C21" s="26">
        <f>[7]С4!F12</f>
        <v>524.29598196486211</v>
      </c>
    </row>
    <row r="22" spans="1:3" ht="30" x14ac:dyDescent="0.2">
      <c r="A22" s="22" t="s">
        <v>16</v>
      </c>
      <c r="B22" s="25" t="s">
        <v>17</v>
      </c>
      <c r="C22" s="26">
        <f>[7]С5!F12</f>
        <v>110.88670226636842</v>
      </c>
    </row>
    <row r="23" spans="1:3" ht="43.5" thickBot="1" x14ac:dyDescent="0.25">
      <c r="A23" s="27" t="s">
        <v>18</v>
      </c>
      <c r="B23" s="117" t="s">
        <v>19</v>
      </c>
      <c r="C23" s="28" t="str">
        <f>[7]С6!F12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[7]С1.1!E16</f>
        <v>5100</v>
      </c>
    </row>
    <row r="29" spans="1:3" ht="42.75" x14ac:dyDescent="0.2">
      <c r="A29" s="22" t="s">
        <v>10</v>
      </c>
      <c r="B29" s="33" t="s">
        <v>22</v>
      </c>
      <c r="C29" s="34">
        <f>[7]С1.1!E27</f>
        <v>3837</v>
      </c>
    </row>
    <row r="30" spans="1:3" ht="17.25" x14ac:dyDescent="0.2">
      <c r="A30" s="22" t="s">
        <v>12</v>
      </c>
      <c r="B30" s="33" t="s">
        <v>23</v>
      </c>
      <c r="C30" s="35">
        <f>[7]С1.1!E19</f>
        <v>1.4E-2</v>
      </c>
    </row>
    <row r="31" spans="1:3" ht="17.25" x14ac:dyDescent="0.2">
      <c r="A31" s="22" t="s">
        <v>14</v>
      </c>
      <c r="B31" s="33" t="s">
        <v>24</v>
      </c>
      <c r="C31" s="35">
        <f>[7]С1.1!E20</f>
        <v>0.04</v>
      </c>
    </row>
    <row r="32" spans="1:3" ht="30" x14ac:dyDescent="0.2">
      <c r="A32" s="22" t="s">
        <v>16</v>
      </c>
      <c r="B32" s="36" t="s">
        <v>25</v>
      </c>
      <c r="C32" s="37">
        <f>[7]С1!F13</f>
        <v>176.4</v>
      </c>
    </row>
    <row r="33" spans="1:3" x14ac:dyDescent="0.2">
      <c r="A33" s="22" t="s">
        <v>18</v>
      </c>
      <c r="B33" s="36" t="s">
        <v>26</v>
      </c>
      <c r="C33" s="38">
        <f>[7]С1!F16</f>
        <v>7000</v>
      </c>
    </row>
    <row r="34" spans="1:3" ht="14.25" x14ac:dyDescent="0.2">
      <c r="A34" s="22" t="s">
        <v>27</v>
      </c>
      <c r="B34" s="39" t="s">
        <v>28</v>
      </c>
      <c r="C34" s="40">
        <f>[7]С1!F17</f>
        <v>0.72857142857142854</v>
      </c>
    </row>
    <row r="35" spans="1:3" ht="15.75" x14ac:dyDescent="0.2">
      <c r="A35" s="41" t="s">
        <v>29</v>
      </c>
      <c r="B35" s="42" t="s">
        <v>30</v>
      </c>
      <c r="C35" s="40">
        <f>[7]С1!F20</f>
        <v>21.588411179999994</v>
      </c>
    </row>
    <row r="36" spans="1:3" ht="15.75" x14ac:dyDescent="0.2">
      <c r="A36" s="41" t="s">
        <v>31</v>
      </c>
      <c r="B36" s="43" t="s">
        <v>32</v>
      </c>
      <c r="C36" s="40">
        <f>[7]С1!F21</f>
        <v>20.818139999999996</v>
      </c>
    </row>
    <row r="37" spans="1:3" ht="14.25" x14ac:dyDescent="0.2">
      <c r="A37" s="41" t="s">
        <v>33</v>
      </c>
      <c r="B37" s="44" t="s">
        <v>34</v>
      </c>
      <c r="C37" s="40">
        <f>[7]С1!F22</f>
        <v>1.0369999999999999</v>
      </c>
    </row>
    <row r="38" spans="1:3" ht="53.25" thickBot="1" x14ac:dyDescent="0.25">
      <c r="A38" s="27" t="s">
        <v>35</v>
      </c>
      <c r="B38" s="45" t="s">
        <v>36</v>
      </c>
      <c r="C38" s="46">
        <f>[7]С1!F23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[7]С2.1!E12</f>
        <v>V</v>
      </c>
    </row>
    <row r="42" spans="1:3" ht="25.5" x14ac:dyDescent="0.2">
      <c r="A42" s="22" t="s">
        <v>41</v>
      </c>
      <c r="B42" s="33" t="s">
        <v>42</v>
      </c>
      <c r="C42" s="51" t="str">
        <f>[7]С2.1!E13</f>
        <v>6 и менее баллов</v>
      </c>
    </row>
    <row r="43" spans="1:3" ht="25.5" x14ac:dyDescent="0.2">
      <c r="A43" s="22" t="s">
        <v>43</v>
      </c>
      <c r="B43" s="33" t="s">
        <v>44</v>
      </c>
      <c r="C43" s="51" t="str">
        <f>[7]С2.1!E14</f>
        <v>от 200 до 500</v>
      </c>
    </row>
    <row r="44" spans="1:3" ht="25.5" x14ac:dyDescent="0.2">
      <c r="A44" s="22" t="s">
        <v>45</v>
      </c>
      <c r="B44" s="33" t="s">
        <v>46</v>
      </c>
      <c r="C44" s="52" t="str">
        <f>[7]С2.1!E15</f>
        <v>нет</v>
      </c>
    </row>
    <row r="45" spans="1:3" ht="30" x14ac:dyDescent="0.2">
      <c r="A45" s="22" t="s">
        <v>47</v>
      </c>
      <c r="B45" s="33" t="s">
        <v>48</v>
      </c>
      <c r="C45" s="34">
        <f>[7]С2!F18</f>
        <v>38910.02669467502</v>
      </c>
    </row>
    <row r="46" spans="1:3" ht="30" x14ac:dyDescent="0.2">
      <c r="A46" s="22" t="s">
        <v>49</v>
      </c>
      <c r="B46" s="53" t="s">
        <v>50</v>
      </c>
      <c r="C46" s="34">
        <f>IF([7]С2!F19&gt;0,[7]С2!F19,[7]С2!F20)</f>
        <v>23441.524932855718</v>
      </c>
    </row>
    <row r="47" spans="1:3" ht="25.5" x14ac:dyDescent="0.2">
      <c r="A47" s="22" t="s">
        <v>51</v>
      </c>
      <c r="B47" s="54" t="s">
        <v>52</v>
      </c>
      <c r="C47" s="34">
        <f>[7]С2.1!E19</f>
        <v>-38</v>
      </c>
    </row>
    <row r="48" spans="1:3" ht="25.5" x14ac:dyDescent="0.2">
      <c r="A48" s="22" t="s">
        <v>53</v>
      </c>
      <c r="B48" s="54" t="s">
        <v>54</v>
      </c>
      <c r="C48" s="34" t="str">
        <f>[7]С2.1!E22</f>
        <v>нет</v>
      </c>
    </row>
    <row r="49" spans="1:3" ht="38.25" x14ac:dyDescent="0.2">
      <c r="A49" s="22" t="s">
        <v>55</v>
      </c>
      <c r="B49" s="55" t="s">
        <v>56</v>
      </c>
      <c r="C49" s="34">
        <f>[7]С2.2!E10</f>
        <v>1287</v>
      </c>
    </row>
    <row r="50" spans="1:3" ht="25.5" x14ac:dyDescent="0.2">
      <c r="A50" s="22" t="s">
        <v>57</v>
      </c>
      <c r="B50" s="56" t="s">
        <v>58</v>
      </c>
      <c r="C50" s="34">
        <f>[7]С2.2!E12</f>
        <v>5.97</v>
      </c>
    </row>
    <row r="51" spans="1:3" ht="52.5" x14ac:dyDescent="0.2">
      <c r="A51" s="22" t="s">
        <v>59</v>
      </c>
      <c r="B51" s="57" t="s">
        <v>60</v>
      </c>
      <c r="C51" s="34">
        <f>[7]С2.2!E13</f>
        <v>1</v>
      </c>
    </row>
    <row r="52" spans="1:3" ht="27.75" x14ac:dyDescent="0.2">
      <c r="A52" s="22" t="s">
        <v>61</v>
      </c>
      <c r="B52" s="56" t="s">
        <v>62</v>
      </c>
      <c r="C52" s="34">
        <f>[7]С2.2!E14</f>
        <v>12104</v>
      </c>
    </row>
    <row r="53" spans="1:3" ht="25.5" x14ac:dyDescent="0.2">
      <c r="A53" s="22" t="s">
        <v>63</v>
      </c>
      <c r="B53" s="57" t="s">
        <v>64</v>
      </c>
      <c r="C53" s="35">
        <f>[7]С2.2!E15</f>
        <v>4.8000000000000001E-2</v>
      </c>
    </row>
    <row r="54" spans="1:3" x14ac:dyDescent="0.2">
      <c r="A54" s="22" t="s">
        <v>65</v>
      </c>
      <c r="B54" s="57" t="s">
        <v>66</v>
      </c>
      <c r="C54" s="34">
        <f>[7]С2.2!E16</f>
        <v>1</v>
      </c>
    </row>
    <row r="55" spans="1:3" ht="15.75" x14ac:dyDescent="0.2">
      <c r="A55" s="22" t="s">
        <v>67</v>
      </c>
      <c r="B55" s="58" t="s">
        <v>68</v>
      </c>
      <c r="C55" s="34">
        <f>[7]С2!F21</f>
        <v>1</v>
      </c>
    </row>
    <row r="56" spans="1:3" ht="30" x14ac:dyDescent="0.2">
      <c r="A56" s="59" t="s">
        <v>69</v>
      </c>
      <c r="B56" s="33" t="s">
        <v>70</v>
      </c>
      <c r="C56" s="34">
        <f>[7]С2!F13</f>
        <v>203708.97017230222</v>
      </c>
    </row>
    <row r="57" spans="1:3" ht="30" x14ac:dyDescent="0.2">
      <c r="A57" s="59" t="s">
        <v>71</v>
      </c>
      <c r="B57" s="58" t="s">
        <v>72</v>
      </c>
      <c r="C57" s="34">
        <f>[7]С2!F14</f>
        <v>113455</v>
      </c>
    </row>
    <row r="58" spans="1:3" ht="15.75" x14ac:dyDescent="0.2">
      <c r="A58" s="59" t="s">
        <v>73</v>
      </c>
      <c r="B58" s="60" t="s">
        <v>74</v>
      </c>
      <c r="C58" s="40">
        <f>[7]С2!F15</f>
        <v>1.071</v>
      </c>
    </row>
    <row r="59" spans="1:3" ht="15.75" x14ac:dyDescent="0.2">
      <c r="A59" s="59" t="s">
        <v>75</v>
      </c>
      <c r="B59" s="60" t="s">
        <v>76</v>
      </c>
      <c r="C59" s="40">
        <f>[7]С2!F16</f>
        <v>1</v>
      </c>
    </row>
    <row r="60" spans="1:3" ht="17.25" x14ac:dyDescent="0.2">
      <c r="A60" s="59" t="s">
        <v>77</v>
      </c>
      <c r="B60" s="58" t="s">
        <v>78</v>
      </c>
      <c r="C60" s="34">
        <f>[7]С2!F17</f>
        <v>1.01</v>
      </c>
    </row>
    <row r="61" spans="1:3" s="63" customFormat="1" ht="14.25" x14ac:dyDescent="0.2">
      <c r="A61" s="59" t="s">
        <v>79</v>
      </c>
      <c r="B61" s="61" t="s">
        <v>80</v>
      </c>
      <c r="C61" s="62">
        <f>[7]С2!F33</f>
        <v>10</v>
      </c>
    </row>
    <row r="62" spans="1:3" ht="30" x14ac:dyDescent="0.2">
      <c r="A62" s="59" t="s">
        <v>81</v>
      </c>
      <c r="B62" s="64" t="s">
        <v>82</v>
      </c>
      <c r="C62" s="34">
        <f>[7]С2!F26</f>
        <v>1349.309862285194</v>
      </c>
    </row>
    <row r="63" spans="1:3" ht="17.25" x14ac:dyDescent="0.2">
      <c r="A63" s="59" t="s">
        <v>83</v>
      </c>
      <c r="B63" s="53" t="s">
        <v>84</v>
      </c>
      <c r="C63" s="34">
        <f>[7]С2!F27</f>
        <v>0.19354712999999998</v>
      </c>
    </row>
    <row r="64" spans="1:3" ht="17.25" x14ac:dyDescent="0.2">
      <c r="A64" s="59" t="s">
        <v>85</v>
      </c>
      <c r="B64" s="58" t="s">
        <v>86</v>
      </c>
      <c r="C64" s="62">
        <f>[7]С2!F28</f>
        <v>4200</v>
      </c>
    </row>
    <row r="65" spans="1:3" ht="42.75" x14ac:dyDescent="0.2">
      <c r="A65" s="59" t="s">
        <v>87</v>
      </c>
      <c r="B65" s="33" t="s">
        <v>88</v>
      </c>
      <c r="C65" s="34">
        <f>[7]С2!F22</f>
        <v>42890.921752741691</v>
      </c>
    </row>
    <row r="66" spans="1:3" ht="30" x14ac:dyDescent="0.2">
      <c r="A66" s="59" t="s">
        <v>89</v>
      </c>
      <c r="B66" s="60" t="s">
        <v>90</v>
      </c>
      <c r="C66" s="34">
        <f>[7]С2!F23</f>
        <v>1990</v>
      </c>
    </row>
    <row r="67" spans="1:3" ht="30" x14ac:dyDescent="0.2">
      <c r="A67" s="59" t="s">
        <v>91</v>
      </c>
      <c r="B67" s="53" t="s">
        <v>92</v>
      </c>
      <c r="C67" s="34">
        <f>[7]С2.1!E27</f>
        <v>14307.876789999998</v>
      </c>
    </row>
    <row r="68" spans="1:3" ht="38.25" x14ac:dyDescent="0.2">
      <c r="A68" s="59" t="s">
        <v>93</v>
      </c>
      <c r="B68" s="65" t="s">
        <v>94</v>
      </c>
      <c r="C68" s="52">
        <f>[7]С2.3!E21</f>
        <v>0</v>
      </c>
    </row>
    <row r="69" spans="1:3" ht="25.5" x14ac:dyDescent="0.2">
      <c r="A69" s="59" t="s">
        <v>95</v>
      </c>
      <c r="B69" s="66" t="s">
        <v>96</v>
      </c>
      <c r="C69" s="67">
        <f>[7]С2.3!E11</f>
        <v>9.89</v>
      </c>
    </row>
    <row r="70" spans="1:3" ht="25.5" x14ac:dyDescent="0.2">
      <c r="A70" s="59" t="s">
        <v>97</v>
      </c>
      <c r="B70" s="66" t="s">
        <v>98</v>
      </c>
      <c r="C70" s="62">
        <f>[7]С2.3!E13</f>
        <v>300</v>
      </c>
    </row>
    <row r="71" spans="1:3" ht="25.5" x14ac:dyDescent="0.2">
      <c r="A71" s="59" t="s">
        <v>99</v>
      </c>
      <c r="B71" s="65" t="s">
        <v>100</v>
      </c>
      <c r="C71" s="68">
        <f>IF([7]С2.3!E22&gt;0,[7]С2.3!E22,[7]С2.3!E14)</f>
        <v>61211</v>
      </c>
    </row>
    <row r="72" spans="1:3" ht="38.25" x14ac:dyDescent="0.2">
      <c r="A72" s="59" t="s">
        <v>101</v>
      </c>
      <c r="B72" s="65" t="s">
        <v>102</v>
      </c>
      <c r="C72" s="68">
        <f>IF([7]С2.3!E23&gt;0,[7]С2.3!E23,[7]С2.3!E15)</f>
        <v>45675</v>
      </c>
    </row>
    <row r="73" spans="1:3" ht="30" x14ac:dyDescent="0.2">
      <c r="A73" s="59" t="s">
        <v>103</v>
      </c>
      <c r="B73" s="53" t="s">
        <v>104</v>
      </c>
      <c r="C73" s="34">
        <f>[7]С2.1!E28</f>
        <v>9541.9567200000001</v>
      </c>
    </row>
    <row r="74" spans="1:3" ht="38.25" x14ac:dyDescent="0.2">
      <c r="A74" s="59" t="s">
        <v>105</v>
      </c>
      <c r="B74" s="65" t="s">
        <v>106</v>
      </c>
      <c r="C74" s="52">
        <f>[7]С2.3!E25</f>
        <v>0</v>
      </c>
    </row>
    <row r="75" spans="1:3" ht="25.5" x14ac:dyDescent="0.2">
      <c r="A75" s="59" t="s">
        <v>107</v>
      </c>
      <c r="B75" s="66" t="s">
        <v>108</v>
      </c>
      <c r="C75" s="67">
        <f>[7]С2.3!E12</f>
        <v>0.56000000000000005</v>
      </c>
    </row>
    <row r="76" spans="1:3" ht="25.5" x14ac:dyDescent="0.2">
      <c r="A76" s="59" t="s">
        <v>109</v>
      </c>
      <c r="B76" s="66" t="s">
        <v>98</v>
      </c>
      <c r="C76" s="62">
        <f>[7]С2.3!E13</f>
        <v>300</v>
      </c>
    </row>
    <row r="77" spans="1:3" ht="25.5" x14ac:dyDescent="0.2">
      <c r="A77" s="59" t="s">
        <v>110</v>
      </c>
      <c r="B77" s="69" t="s">
        <v>111</v>
      </c>
      <c r="C77" s="68">
        <f>IF([7]С2.3!E26&gt;0,[7]С2.3!E26,[7]С2.3!E16)</f>
        <v>65637</v>
      </c>
    </row>
    <row r="78" spans="1:3" ht="38.25" x14ac:dyDescent="0.2">
      <c r="A78" s="59" t="s">
        <v>112</v>
      </c>
      <c r="B78" s="69" t="s">
        <v>113</v>
      </c>
      <c r="C78" s="68">
        <f>IF([7]С2.3!E27&gt;0,[7]С2.3!E27,[7]С2.3!E17)</f>
        <v>31684</v>
      </c>
    </row>
    <row r="79" spans="1:3" ht="17.25" x14ac:dyDescent="0.2">
      <c r="A79" s="59" t="s">
        <v>114</v>
      </c>
      <c r="B79" s="33" t="s">
        <v>115</v>
      </c>
      <c r="C79" s="35">
        <f>[7]С2!F29</f>
        <v>0.17804631770487722</v>
      </c>
    </row>
    <row r="80" spans="1:3" ht="30" x14ac:dyDescent="0.2">
      <c r="A80" s="59" t="s">
        <v>116</v>
      </c>
      <c r="B80" s="53" t="s">
        <v>117</v>
      </c>
      <c r="C80" s="70">
        <f>[7]С2!F30</f>
        <v>0.1652189781021898</v>
      </c>
    </row>
    <row r="81" spans="1:3" ht="17.25" x14ac:dyDescent="0.2">
      <c r="A81" s="59" t="s">
        <v>118</v>
      </c>
      <c r="B81" s="71" t="s">
        <v>119</v>
      </c>
      <c r="C81" s="35">
        <f>[7]С2!F31</f>
        <v>0.13880000000000001</v>
      </c>
    </row>
    <row r="82" spans="1:3" s="63" customFormat="1" ht="18" thickBot="1" x14ac:dyDescent="0.25">
      <c r="A82" s="72" t="s">
        <v>120</v>
      </c>
      <c r="B82" s="73" t="s">
        <v>121</v>
      </c>
      <c r="C82" s="74">
        <f>[7]С2!F32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[7]С3!F14</f>
        <v>14784.578474435859</v>
      </c>
    </row>
    <row r="86" spans="1:3" s="63" customFormat="1" ht="42.75" x14ac:dyDescent="0.2">
      <c r="A86" s="77" t="s">
        <v>126</v>
      </c>
      <c r="B86" s="53" t="s">
        <v>127</v>
      </c>
      <c r="C86" s="78">
        <f>[7]С3!F15</f>
        <v>0.25</v>
      </c>
    </row>
    <row r="87" spans="1:3" s="63" customFormat="1" ht="14.25" x14ac:dyDescent="0.2">
      <c r="A87" s="77" t="s">
        <v>128</v>
      </c>
      <c r="B87" s="79" t="s">
        <v>129</v>
      </c>
      <c r="C87" s="62">
        <f>[7]С3!F18</f>
        <v>15</v>
      </c>
    </row>
    <row r="88" spans="1:3" s="63" customFormat="1" ht="17.25" x14ac:dyDescent="0.2">
      <c r="A88" s="77" t="s">
        <v>130</v>
      </c>
      <c r="B88" s="33" t="s">
        <v>131</v>
      </c>
      <c r="C88" s="34">
        <f>[7]С3!F19</f>
        <v>4187.478806422544</v>
      </c>
    </row>
    <row r="89" spans="1:3" s="63" customFormat="1" ht="55.5" x14ac:dyDescent="0.2">
      <c r="A89" s="77" t="s">
        <v>132</v>
      </c>
      <c r="B89" s="53" t="s">
        <v>133</v>
      </c>
      <c r="C89" s="80">
        <f>[7]С3!F20</f>
        <v>2.1999999999999999E-2</v>
      </c>
    </row>
    <row r="90" spans="1:3" s="63" customFormat="1" ht="14.25" x14ac:dyDescent="0.2">
      <c r="A90" s="77" t="s">
        <v>134</v>
      </c>
      <c r="B90" s="58" t="s">
        <v>80</v>
      </c>
      <c r="C90" s="62">
        <f>[7]С3!F21</f>
        <v>10</v>
      </c>
    </row>
    <row r="91" spans="1:3" s="63" customFormat="1" ht="17.25" x14ac:dyDescent="0.2">
      <c r="A91" s="77" t="s">
        <v>135</v>
      </c>
      <c r="B91" s="33" t="s">
        <v>136</v>
      </c>
      <c r="C91" s="34">
        <f>[7]С3!F22</f>
        <v>4.0479295868555818</v>
      </c>
    </row>
    <row r="92" spans="1:3" s="63" customFormat="1" ht="55.5" x14ac:dyDescent="0.2">
      <c r="A92" s="77" t="s">
        <v>137</v>
      </c>
      <c r="B92" s="53" t="s">
        <v>138</v>
      </c>
      <c r="C92" s="80">
        <f>[7]С3!F23</f>
        <v>3.0000000000000001E-3</v>
      </c>
    </row>
    <row r="93" spans="1:3" s="63" customFormat="1" ht="27.75" thickBot="1" x14ac:dyDescent="0.25">
      <c r="A93" s="81" t="s">
        <v>139</v>
      </c>
      <c r="B93" s="82" t="s">
        <v>140</v>
      </c>
      <c r="C93" s="83">
        <f>[7]С3!F24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[7]С4!F16</f>
        <v>1652.5</v>
      </c>
    </row>
    <row r="97" spans="1:3" ht="30" x14ac:dyDescent="0.2">
      <c r="A97" s="59" t="s">
        <v>145</v>
      </c>
      <c r="B97" s="58" t="s">
        <v>146</v>
      </c>
      <c r="C97" s="34">
        <f>[7]С4!F17</f>
        <v>73547</v>
      </c>
    </row>
    <row r="98" spans="1:3" ht="17.25" x14ac:dyDescent="0.2">
      <c r="A98" s="59" t="s">
        <v>147</v>
      </c>
      <c r="B98" s="58" t="s">
        <v>148</v>
      </c>
      <c r="C98" s="40">
        <f>[7]С4!F18</f>
        <v>0.02</v>
      </c>
    </row>
    <row r="99" spans="1:3" ht="30" x14ac:dyDescent="0.2">
      <c r="A99" s="59" t="s">
        <v>149</v>
      </c>
      <c r="B99" s="58" t="s">
        <v>150</v>
      </c>
      <c r="C99" s="34">
        <f>[7]С4!F19</f>
        <v>12104</v>
      </c>
    </row>
    <row r="100" spans="1:3" ht="31.5" x14ac:dyDescent="0.2">
      <c r="A100" s="59" t="s">
        <v>151</v>
      </c>
      <c r="B100" s="58" t="s">
        <v>152</v>
      </c>
      <c r="C100" s="40">
        <f>[7]С4!F20</f>
        <v>1.4999999999999999E-2</v>
      </c>
    </row>
    <row r="101" spans="1:3" ht="30" x14ac:dyDescent="0.2">
      <c r="A101" s="59" t="s">
        <v>153</v>
      </c>
      <c r="B101" s="33" t="s">
        <v>154</v>
      </c>
      <c r="C101" s="34">
        <f>[7]С4!F21</f>
        <v>1933.1949342509995</v>
      </c>
    </row>
    <row r="102" spans="1:3" ht="24" customHeight="1" x14ac:dyDescent="0.2">
      <c r="A102" s="59" t="s">
        <v>155</v>
      </c>
      <c r="B102" s="53" t="s">
        <v>156</v>
      </c>
      <c r="C102" s="85">
        <f>IF([7]С4.2!F8="да",[7]С4.2!D21,[7]С4.2!D15)</f>
        <v>0</v>
      </c>
    </row>
    <row r="103" spans="1:3" ht="68.25" x14ac:dyDescent="0.2">
      <c r="A103" s="59" t="s">
        <v>157</v>
      </c>
      <c r="B103" s="53" t="s">
        <v>158</v>
      </c>
      <c r="C103" s="34">
        <f>[7]С4!F22</f>
        <v>3.6112641666666665</v>
      </c>
    </row>
    <row r="104" spans="1:3" ht="30" x14ac:dyDescent="0.2">
      <c r="A104" s="59" t="s">
        <v>159</v>
      </c>
      <c r="B104" s="58" t="s">
        <v>160</v>
      </c>
      <c r="C104" s="34">
        <f>[7]С4!F23</f>
        <v>180</v>
      </c>
    </row>
    <row r="105" spans="1:3" ht="14.25" x14ac:dyDescent="0.2">
      <c r="A105" s="59" t="s">
        <v>161</v>
      </c>
      <c r="B105" s="53" t="s">
        <v>162</v>
      </c>
      <c r="C105" s="34">
        <f>[7]С4!F24</f>
        <v>8497.1999999999989</v>
      </c>
    </row>
    <row r="106" spans="1:3" ht="14.25" x14ac:dyDescent="0.2">
      <c r="A106" s="59" t="s">
        <v>163</v>
      </c>
      <c r="B106" s="58" t="s">
        <v>164</v>
      </c>
      <c r="C106" s="40">
        <f>[7]С4!F25</f>
        <v>0.35</v>
      </c>
    </row>
    <row r="107" spans="1:3" ht="17.25" x14ac:dyDescent="0.2">
      <c r="A107" s="59" t="s">
        <v>165</v>
      </c>
      <c r="B107" s="33" t="s">
        <v>166</v>
      </c>
      <c r="C107" s="34">
        <f>[7]С4!F26</f>
        <v>34.103250000000003</v>
      </c>
    </row>
    <row r="108" spans="1:3" ht="25.5" x14ac:dyDescent="0.2">
      <c r="A108" s="59" t="s">
        <v>167</v>
      </c>
      <c r="B108" s="53" t="s">
        <v>94</v>
      </c>
      <c r="C108" s="85">
        <f>[7]С4.3!E16</f>
        <v>0</v>
      </c>
    </row>
    <row r="109" spans="1:3" ht="25.5" x14ac:dyDescent="0.2">
      <c r="A109" s="59" t="s">
        <v>168</v>
      </c>
      <c r="B109" s="53" t="s">
        <v>169</v>
      </c>
      <c r="C109" s="34">
        <f>[7]С4.3!E17</f>
        <v>8.75</v>
      </c>
    </row>
    <row r="110" spans="1:3" ht="38.25" x14ac:dyDescent="0.2">
      <c r="A110" s="59" t="s">
        <v>170</v>
      </c>
      <c r="B110" s="53" t="s">
        <v>106</v>
      </c>
      <c r="C110" s="85">
        <f>[7]С4.3!E18</f>
        <v>0</v>
      </c>
    </row>
    <row r="111" spans="1:3" x14ac:dyDescent="0.2">
      <c r="A111" s="59" t="s">
        <v>171</v>
      </c>
      <c r="B111" s="53" t="s">
        <v>172</v>
      </c>
      <c r="C111" s="34">
        <f>[7]С4.3!E19</f>
        <v>16.75</v>
      </c>
    </row>
    <row r="112" spans="1:3" x14ac:dyDescent="0.2">
      <c r="A112" s="59" t="s">
        <v>173</v>
      </c>
      <c r="B112" s="58" t="s">
        <v>174</v>
      </c>
      <c r="C112" s="34">
        <f>[7]С4.3!E11</f>
        <v>1871</v>
      </c>
    </row>
    <row r="113" spans="1:3" x14ac:dyDescent="0.2">
      <c r="A113" s="59" t="s">
        <v>175</v>
      </c>
      <c r="B113" s="58" t="s">
        <v>176</v>
      </c>
      <c r="C113" s="52">
        <f>[7]С4.3!E12</f>
        <v>1636</v>
      </c>
    </row>
    <row r="114" spans="1:3" x14ac:dyDescent="0.2">
      <c r="A114" s="59" t="s">
        <v>177</v>
      </c>
      <c r="B114" s="58" t="s">
        <v>178</v>
      </c>
      <c r="C114" s="52">
        <f>[7]С4.3!E13</f>
        <v>204</v>
      </c>
    </row>
    <row r="115" spans="1:3" ht="30" x14ac:dyDescent="0.2">
      <c r="A115" s="59" t="s">
        <v>179</v>
      </c>
      <c r="B115" s="33" t="s">
        <v>180</v>
      </c>
      <c r="C115" s="34">
        <f>[7]С4!F27</f>
        <v>1291.2863994686898</v>
      </c>
    </row>
    <row r="116" spans="1:3" ht="25.5" x14ac:dyDescent="0.2">
      <c r="A116" s="59" t="s">
        <v>181</v>
      </c>
      <c r="B116" s="53" t="s">
        <v>182</v>
      </c>
      <c r="C116" s="34">
        <f>[7]С4!F28</f>
        <v>991.77142816335618</v>
      </c>
    </row>
    <row r="117" spans="1:3" ht="42.75" x14ac:dyDescent="0.2">
      <c r="A117" s="59" t="s">
        <v>183</v>
      </c>
      <c r="B117" s="53" t="s">
        <v>184</v>
      </c>
      <c r="C117" s="34">
        <f>[7]С4!F29</f>
        <v>299.51497130533357</v>
      </c>
    </row>
    <row r="118" spans="1:3" ht="30" x14ac:dyDescent="0.2">
      <c r="A118" s="59" t="s">
        <v>185</v>
      </c>
      <c r="B118" s="39" t="s">
        <v>186</v>
      </c>
      <c r="C118" s="34">
        <f>[7]С4!F30</f>
        <v>2763.0752889183195</v>
      </c>
    </row>
    <row r="119" spans="1:3" ht="42.75" x14ac:dyDescent="0.2">
      <c r="A119" s="59" t="s">
        <v>187</v>
      </c>
      <c r="B119" s="86" t="s">
        <v>188</v>
      </c>
      <c r="C119" s="34">
        <f>[7]С4!F33</f>
        <v>1567.1236373517183</v>
      </c>
    </row>
    <row r="120" spans="1:3" ht="30" x14ac:dyDescent="0.2">
      <c r="A120" s="59" t="s">
        <v>189</v>
      </c>
      <c r="B120" s="87" t="s">
        <v>190</v>
      </c>
      <c r="C120" s="34">
        <f>[7]С4!F35</f>
        <v>17.040680999999999</v>
      </c>
    </row>
    <row r="121" spans="1:3" ht="14.25" x14ac:dyDescent="0.2">
      <c r="A121" s="59" t="s">
        <v>191</v>
      </c>
      <c r="B121" s="56" t="s">
        <v>192</v>
      </c>
      <c r="C121" s="34">
        <f>[7]С4!F36</f>
        <v>14319.9</v>
      </c>
    </row>
    <row r="122" spans="1:3" ht="28.5" thickBot="1" x14ac:dyDescent="0.25">
      <c r="A122" s="72" t="s">
        <v>193</v>
      </c>
      <c r="B122" s="88" t="s">
        <v>194</v>
      </c>
      <c r="C122" s="83">
        <f>[7]С4!F37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[7]С5!F17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[7]С2!F37</f>
        <v>20.818139999999996</v>
      </c>
    </row>
    <row r="136" spans="1:3" ht="14.25" x14ac:dyDescent="0.2">
      <c r="A136" s="59" t="s">
        <v>216</v>
      </c>
      <c r="B136" s="101" t="s">
        <v>217</v>
      </c>
      <c r="C136" s="34">
        <f>[7]С2!F38</f>
        <v>7</v>
      </c>
    </row>
    <row r="137" spans="1:3" ht="17.25" x14ac:dyDescent="0.2">
      <c r="A137" s="59" t="s">
        <v>218</v>
      </c>
      <c r="B137" s="101" t="s">
        <v>219</v>
      </c>
      <c r="C137" s="34">
        <f>[7]С2!F40</f>
        <v>0.97</v>
      </c>
    </row>
    <row r="138" spans="1:3" ht="15" thickBot="1" x14ac:dyDescent="0.25">
      <c r="A138" s="72" t="s">
        <v>220</v>
      </c>
      <c r="B138" s="102" t="s">
        <v>221</v>
      </c>
      <c r="C138" s="46">
        <f>[7]С2!F42</f>
        <v>0.35</v>
      </c>
    </row>
    <row r="139" spans="1:3" s="89" customFormat="1" ht="13.5" thickBot="1" x14ac:dyDescent="0.25">
      <c r="A139" s="47"/>
      <c r="B139" s="75"/>
      <c r="C139" s="15"/>
    </row>
    <row r="140" spans="1:3" ht="30" x14ac:dyDescent="0.2">
      <c r="A140" s="84" t="s">
        <v>222</v>
      </c>
      <c r="B140" s="103" t="s">
        <v>223</v>
      </c>
      <c r="C140" s="104">
        <f>[7]С2!F35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[7]С2.5!$E$11</f>
        <v>-2.9000000000000026E-2</v>
      </c>
    </row>
    <row r="144" spans="1:3" x14ac:dyDescent="0.2">
      <c r="A144" s="105"/>
      <c r="B144" s="110">
        <f>B143+1</f>
        <v>2021</v>
      </c>
      <c r="C144" s="111">
        <f>[7]С2.5!$F$11</f>
        <v>0.245</v>
      </c>
    </row>
    <row r="145" spans="1:3" x14ac:dyDescent="0.2">
      <c r="A145" s="105"/>
      <c r="B145" s="110">
        <f t="shared" ref="B145:B208" si="0">B144+1</f>
        <v>2022</v>
      </c>
      <c r="C145" s="111">
        <f>[7]С2.5!$G$11</f>
        <v>0.114</v>
      </c>
    </row>
    <row r="146" spans="1:3" ht="13.5" thickBot="1" x14ac:dyDescent="0.25">
      <c r="A146" s="105"/>
      <c r="B146" s="112">
        <f t="shared" si="0"/>
        <v>2023</v>
      </c>
      <c r="C146" s="113">
        <f>[7]С2.5!$H$11</f>
        <v>0.04</v>
      </c>
    </row>
    <row r="147" spans="1:3" x14ac:dyDescent="0.2">
      <c r="A147" s="105"/>
      <c r="B147" s="114">
        <f t="shared" si="0"/>
        <v>2024</v>
      </c>
      <c r="C147" s="115">
        <f>[7]С2.5!$I$11</f>
        <v>0.11700000000000001</v>
      </c>
    </row>
    <row r="148" spans="1:3" x14ac:dyDescent="0.2">
      <c r="A148" s="105"/>
      <c r="B148" s="110">
        <f t="shared" si="0"/>
        <v>2025</v>
      </c>
      <c r="C148" s="111">
        <f>[7]С2.5!$J$11</f>
        <v>6.0999999999999999E-2</v>
      </c>
    </row>
    <row r="149" spans="1:3" hidden="1" x14ac:dyDescent="0.2">
      <c r="A149" s="105"/>
      <c r="B149" s="110">
        <f t="shared" si="0"/>
        <v>2026</v>
      </c>
      <c r="C149" s="111">
        <f>[7]С2.5!$K$11</f>
        <v>3.5813361771260002E-2</v>
      </c>
    </row>
    <row r="150" spans="1:3" hidden="1" x14ac:dyDescent="0.2">
      <c r="A150" s="105"/>
      <c r="B150" s="110">
        <f t="shared" si="0"/>
        <v>2027</v>
      </c>
      <c r="C150" s="111">
        <f>[7]С2.5!$L$11</f>
        <v>3.2682303599220003E-2</v>
      </c>
    </row>
    <row r="151" spans="1:3" hidden="1" x14ac:dyDescent="0.2">
      <c r="A151" s="105"/>
      <c r="B151" s="110">
        <f t="shared" si="0"/>
        <v>2028</v>
      </c>
      <c r="C151" s="111">
        <f>[7]С2.5!$M$11</f>
        <v>0</v>
      </c>
    </row>
    <row r="152" spans="1:3" hidden="1" x14ac:dyDescent="0.2">
      <c r="A152" s="105"/>
      <c r="B152" s="110">
        <f t="shared" si="0"/>
        <v>2029</v>
      </c>
      <c r="C152" s="111">
        <f>[7]С2.5!$N$11</f>
        <v>0</v>
      </c>
    </row>
    <row r="153" spans="1:3" hidden="1" x14ac:dyDescent="0.2">
      <c r="A153" s="105"/>
      <c r="B153" s="110">
        <f t="shared" si="0"/>
        <v>2030</v>
      </c>
      <c r="C153" s="111">
        <f>[7]С2.5!$O$11</f>
        <v>0</v>
      </c>
    </row>
    <row r="154" spans="1:3" hidden="1" x14ac:dyDescent="0.2">
      <c r="A154" s="105"/>
      <c r="B154" s="110">
        <f t="shared" si="0"/>
        <v>2031</v>
      </c>
      <c r="C154" s="111">
        <f>[7]С2.5!$P$11</f>
        <v>0</v>
      </c>
    </row>
    <row r="155" spans="1:3" hidden="1" x14ac:dyDescent="0.2">
      <c r="A155" s="89"/>
      <c r="B155" s="110">
        <f t="shared" si="0"/>
        <v>2032</v>
      </c>
      <c r="C155" s="111">
        <f>[7]С2.5!$Q$11</f>
        <v>0</v>
      </c>
    </row>
    <row r="156" spans="1:3" hidden="1" x14ac:dyDescent="0.2">
      <c r="A156" s="89"/>
      <c r="B156" s="110">
        <f t="shared" si="0"/>
        <v>2033</v>
      </c>
      <c r="C156" s="111">
        <f>[7]С2.5!$R$11</f>
        <v>0</v>
      </c>
    </row>
    <row r="157" spans="1:3" hidden="1" x14ac:dyDescent="0.2">
      <c r="B157" s="110">
        <f t="shared" si="0"/>
        <v>2034</v>
      </c>
      <c r="C157" s="111">
        <f>[7]С2.5!$S$11</f>
        <v>0</v>
      </c>
    </row>
    <row r="158" spans="1:3" hidden="1" x14ac:dyDescent="0.2">
      <c r="B158" s="110">
        <f t="shared" si="0"/>
        <v>2035</v>
      </c>
      <c r="C158" s="111">
        <f>[7]С2.5!$T$11</f>
        <v>0</v>
      </c>
    </row>
    <row r="159" spans="1:3" hidden="1" x14ac:dyDescent="0.2">
      <c r="B159" s="110">
        <f t="shared" si="0"/>
        <v>2036</v>
      </c>
      <c r="C159" s="111">
        <f>[7]С2.5!$U$11</f>
        <v>0</v>
      </c>
    </row>
    <row r="160" spans="1:3" hidden="1" x14ac:dyDescent="0.2">
      <c r="B160" s="110">
        <f t="shared" si="0"/>
        <v>2037</v>
      </c>
      <c r="C160" s="111">
        <f>[7]С2.5!$V$11</f>
        <v>0</v>
      </c>
    </row>
    <row r="161" spans="2:3" hidden="1" x14ac:dyDescent="0.2">
      <c r="B161" s="110">
        <f t="shared" si="0"/>
        <v>2038</v>
      </c>
      <c r="C161" s="111">
        <f>[7]С2.5!$W$11</f>
        <v>0</v>
      </c>
    </row>
    <row r="162" spans="2:3" hidden="1" x14ac:dyDescent="0.2">
      <c r="B162" s="110">
        <f t="shared" si="0"/>
        <v>2039</v>
      </c>
      <c r="C162" s="111">
        <f>[7]С2.5!$X$11</f>
        <v>0</v>
      </c>
    </row>
    <row r="163" spans="2:3" hidden="1" x14ac:dyDescent="0.2">
      <c r="B163" s="110">
        <f t="shared" si="0"/>
        <v>2040</v>
      </c>
      <c r="C163" s="111">
        <f>[7]С2.5!$Y$11</f>
        <v>0</v>
      </c>
    </row>
    <row r="164" spans="2:3" hidden="1" x14ac:dyDescent="0.2">
      <c r="B164" s="110">
        <f t="shared" si="0"/>
        <v>2041</v>
      </c>
      <c r="C164" s="111">
        <f>[7]С2.5!$Z$11</f>
        <v>0</v>
      </c>
    </row>
    <row r="165" spans="2:3" hidden="1" x14ac:dyDescent="0.2">
      <c r="B165" s="110">
        <f t="shared" si="0"/>
        <v>2042</v>
      </c>
      <c r="C165" s="111">
        <f>[7]С2.5!$AA$11</f>
        <v>0</v>
      </c>
    </row>
    <row r="166" spans="2:3" hidden="1" x14ac:dyDescent="0.2">
      <c r="B166" s="110">
        <f t="shared" si="0"/>
        <v>2043</v>
      </c>
      <c r="C166" s="111">
        <f>[7]С2.5!$AB$11</f>
        <v>0</v>
      </c>
    </row>
    <row r="167" spans="2:3" hidden="1" x14ac:dyDescent="0.2">
      <c r="B167" s="110">
        <f t="shared" si="0"/>
        <v>2044</v>
      </c>
      <c r="C167" s="111">
        <f>[7]С2.5!$AC$11</f>
        <v>0</v>
      </c>
    </row>
    <row r="168" spans="2:3" hidden="1" x14ac:dyDescent="0.2">
      <c r="B168" s="110">
        <f t="shared" si="0"/>
        <v>2045</v>
      </c>
      <c r="C168" s="111">
        <f>[7]С2.5!$AD$11</f>
        <v>0</v>
      </c>
    </row>
    <row r="169" spans="2:3" hidden="1" x14ac:dyDescent="0.2">
      <c r="B169" s="110">
        <f t="shared" si="0"/>
        <v>2046</v>
      </c>
      <c r="C169" s="111">
        <f>[7]С2.5!$AE$11</f>
        <v>0</v>
      </c>
    </row>
    <row r="170" spans="2:3" hidden="1" x14ac:dyDescent="0.2">
      <c r="B170" s="110">
        <f t="shared" si="0"/>
        <v>2047</v>
      </c>
      <c r="C170" s="111">
        <f>[7]С2.5!$AF$11</f>
        <v>0</v>
      </c>
    </row>
    <row r="171" spans="2:3" hidden="1" x14ac:dyDescent="0.2">
      <c r="B171" s="110">
        <f t="shared" si="0"/>
        <v>2048</v>
      </c>
      <c r="C171" s="111">
        <f>[7]С2.5!$AG$11</f>
        <v>0</v>
      </c>
    </row>
    <row r="172" spans="2:3" hidden="1" x14ac:dyDescent="0.2">
      <c r="B172" s="110">
        <f t="shared" si="0"/>
        <v>2049</v>
      </c>
      <c r="C172" s="111">
        <f>[7]С2.5!$AH$11</f>
        <v>0</v>
      </c>
    </row>
    <row r="173" spans="2:3" hidden="1" x14ac:dyDescent="0.2">
      <c r="B173" s="110">
        <f t="shared" si="0"/>
        <v>2050</v>
      </c>
      <c r="C173" s="111">
        <f>[7]С2.5!$AI$11</f>
        <v>0</v>
      </c>
    </row>
    <row r="174" spans="2:3" hidden="1" x14ac:dyDescent="0.2">
      <c r="B174" s="110">
        <f t="shared" si="0"/>
        <v>2051</v>
      </c>
      <c r="C174" s="111">
        <f>[7]С2.5!$AJ$11</f>
        <v>0</v>
      </c>
    </row>
    <row r="175" spans="2:3" hidden="1" x14ac:dyDescent="0.2">
      <c r="B175" s="110">
        <f t="shared" si="0"/>
        <v>2052</v>
      </c>
      <c r="C175" s="111">
        <f>[7]С2.5!$AK$11</f>
        <v>0</v>
      </c>
    </row>
    <row r="176" spans="2:3" hidden="1" x14ac:dyDescent="0.2">
      <c r="B176" s="110">
        <f t="shared" si="0"/>
        <v>2053</v>
      </c>
      <c r="C176" s="111">
        <f>[7]С2.5!$AL$11</f>
        <v>0</v>
      </c>
    </row>
    <row r="177" spans="2:3" hidden="1" x14ac:dyDescent="0.2">
      <c r="B177" s="110">
        <f t="shared" si="0"/>
        <v>2054</v>
      </c>
      <c r="C177" s="111">
        <f>[7]С2.5!$AM$11</f>
        <v>0</v>
      </c>
    </row>
    <row r="178" spans="2:3" hidden="1" x14ac:dyDescent="0.2">
      <c r="B178" s="110">
        <f t="shared" si="0"/>
        <v>2055</v>
      </c>
      <c r="C178" s="111">
        <f>[7]С2.5!$AN$11</f>
        <v>0</v>
      </c>
    </row>
    <row r="179" spans="2:3" hidden="1" x14ac:dyDescent="0.2">
      <c r="B179" s="110">
        <f t="shared" si="0"/>
        <v>2056</v>
      </c>
      <c r="C179" s="111">
        <f>[7]С2.5!$AO$11</f>
        <v>0</v>
      </c>
    </row>
    <row r="180" spans="2:3" hidden="1" x14ac:dyDescent="0.2">
      <c r="B180" s="110">
        <f t="shared" si="0"/>
        <v>2057</v>
      </c>
      <c r="C180" s="111">
        <f>[7]С2.5!$AP$11</f>
        <v>0</v>
      </c>
    </row>
    <row r="181" spans="2:3" hidden="1" x14ac:dyDescent="0.2">
      <c r="B181" s="110">
        <f t="shared" si="0"/>
        <v>2058</v>
      </c>
      <c r="C181" s="111">
        <f>[7]С2.5!$AQ$11</f>
        <v>0</v>
      </c>
    </row>
    <row r="182" spans="2:3" hidden="1" x14ac:dyDescent="0.2">
      <c r="B182" s="110">
        <f t="shared" si="0"/>
        <v>2059</v>
      </c>
      <c r="C182" s="111">
        <f>[7]С2.5!$AR$11</f>
        <v>0</v>
      </c>
    </row>
    <row r="183" spans="2:3" hidden="1" x14ac:dyDescent="0.2">
      <c r="B183" s="110">
        <f t="shared" si="0"/>
        <v>2060</v>
      </c>
      <c r="C183" s="111">
        <f>[7]С2.5!$AS$11</f>
        <v>0</v>
      </c>
    </row>
    <row r="184" spans="2:3" hidden="1" x14ac:dyDescent="0.2">
      <c r="B184" s="110">
        <f t="shared" si="0"/>
        <v>2061</v>
      </c>
      <c r="C184" s="111">
        <f>[7]С2.5!$AT$11</f>
        <v>0</v>
      </c>
    </row>
    <row r="185" spans="2:3" hidden="1" x14ac:dyDescent="0.2">
      <c r="B185" s="110">
        <f t="shared" si="0"/>
        <v>2062</v>
      </c>
      <c r="C185" s="111">
        <f>[7]С2.5!$AU$11</f>
        <v>0</v>
      </c>
    </row>
    <row r="186" spans="2:3" hidden="1" x14ac:dyDescent="0.2">
      <c r="B186" s="110">
        <f t="shared" si="0"/>
        <v>2063</v>
      </c>
      <c r="C186" s="111">
        <f>[7]С2.5!$AV$11</f>
        <v>0</v>
      </c>
    </row>
    <row r="187" spans="2:3" hidden="1" x14ac:dyDescent="0.2">
      <c r="B187" s="110">
        <f t="shared" si="0"/>
        <v>2064</v>
      </c>
      <c r="C187" s="111">
        <f>[7]С2.5!$AW$11</f>
        <v>0</v>
      </c>
    </row>
    <row r="188" spans="2:3" hidden="1" x14ac:dyDescent="0.2">
      <c r="B188" s="110">
        <f t="shared" si="0"/>
        <v>2065</v>
      </c>
      <c r="C188" s="111">
        <f>[7]С2.5!$AX$11</f>
        <v>0</v>
      </c>
    </row>
    <row r="189" spans="2:3" hidden="1" x14ac:dyDescent="0.2">
      <c r="B189" s="110">
        <f t="shared" si="0"/>
        <v>2066</v>
      </c>
      <c r="C189" s="111">
        <f>[7]С2.5!$AY$11</f>
        <v>0</v>
      </c>
    </row>
    <row r="190" spans="2:3" hidden="1" x14ac:dyDescent="0.2">
      <c r="B190" s="110">
        <f t="shared" si="0"/>
        <v>2067</v>
      </c>
      <c r="C190" s="111">
        <f>[7]С2.5!$AZ$11</f>
        <v>0</v>
      </c>
    </row>
    <row r="191" spans="2:3" hidden="1" x14ac:dyDescent="0.2">
      <c r="B191" s="110">
        <f t="shared" si="0"/>
        <v>2068</v>
      </c>
      <c r="C191" s="111">
        <f>[7]С2.5!$BA$11</f>
        <v>0</v>
      </c>
    </row>
    <row r="192" spans="2:3" hidden="1" x14ac:dyDescent="0.2">
      <c r="B192" s="110">
        <f t="shared" si="0"/>
        <v>2069</v>
      </c>
      <c r="C192" s="111">
        <f>[7]С2.5!$BB$11</f>
        <v>0</v>
      </c>
    </row>
    <row r="193" spans="2:3" hidden="1" x14ac:dyDescent="0.2">
      <c r="B193" s="110">
        <f t="shared" si="0"/>
        <v>2070</v>
      </c>
      <c r="C193" s="111">
        <f>[7]С2.5!$BC$11</f>
        <v>0</v>
      </c>
    </row>
    <row r="194" spans="2:3" hidden="1" x14ac:dyDescent="0.2">
      <c r="B194" s="110">
        <f t="shared" si="0"/>
        <v>2071</v>
      </c>
      <c r="C194" s="111">
        <f>[7]С2.5!$BD$11</f>
        <v>0</v>
      </c>
    </row>
    <row r="195" spans="2:3" hidden="1" x14ac:dyDescent="0.2">
      <c r="B195" s="110">
        <f t="shared" si="0"/>
        <v>2072</v>
      </c>
      <c r="C195" s="111">
        <f>[7]С2.5!$BE$11</f>
        <v>0</v>
      </c>
    </row>
    <row r="196" spans="2:3" hidden="1" x14ac:dyDescent="0.2">
      <c r="B196" s="110">
        <f t="shared" si="0"/>
        <v>2073</v>
      </c>
      <c r="C196" s="111">
        <f>[7]С2.5!$BF$11</f>
        <v>0</v>
      </c>
    </row>
    <row r="197" spans="2:3" hidden="1" x14ac:dyDescent="0.2">
      <c r="B197" s="110">
        <f t="shared" si="0"/>
        <v>2074</v>
      </c>
      <c r="C197" s="111">
        <f>[7]С2.5!$BG$11</f>
        <v>0</v>
      </c>
    </row>
    <row r="198" spans="2:3" hidden="1" x14ac:dyDescent="0.2">
      <c r="B198" s="110">
        <f t="shared" si="0"/>
        <v>2075</v>
      </c>
      <c r="C198" s="111">
        <f>[7]С2.5!$BH$11</f>
        <v>0</v>
      </c>
    </row>
    <row r="199" spans="2:3" hidden="1" x14ac:dyDescent="0.2">
      <c r="B199" s="110">
        <f t="shared" si="0"/>
        <v>2076</v>
      </c>
      <c r="C199" s="111">
        <f>[7]С2.5!$BI$11</f>
        <v>0</v>
      </c>
    </row>
    <row r="200" spans="2:3" hidden="1" x14ac:dyDescent="0.2">
      <c r="B200" s="110">
        <f t="shared" si="0"/>
        <v>2077</v>
      </c>
      <c r="C200" s="111">
        <f>[7]С2.5!$BJ$11</f>
        <v>0</v>
      </c>
    </row>
    <row r="201" spans="2:3" hidden="1" x14ac:dyDescent="0.2">
      <c r="B201" s="110">
        <f t="shared" si="0"/>
        <v>2078</v>
      </c>
      <c r="C201" s="111">
        <f>[7]С2.5!$BK$11</f>
        <v>0</v>
      </c>
    </row>
    <row r="202" spans="2:3" hidden="1" x14ac:dyDescent="0.2">
      <c r="B202" s="110">
        <f t="shared" si="0"/>
        <v>2079</v>
      </c>
      <c r="C202" s="111">
        <f>[7]С2.5!$BL$11</f>
        <v>0</v>
      </c>
    </row>
    <row r="203" spans="2:3" hidden="1" x14ac:dyDescent="0.2">
      <c r="B203" s="110">
        <f t="shared" si="0"/>
        <v>2080</v>
      </c>
      <c r="C203" s="111">
        <f>[7]С2.5!$BM$11</f>
        <v>0</v>
      </c>
    </row>
    <row r="204" spans="2:3" hidden="1" x14ac:dyDescent="0.2">
      <c r="B204" s="110">
        <f t="shared" si="0"/>
        <v>2081</v>
      </c>
      <c r="C204" s="111">
        <f>[7]С2.5!$BN$11</f>
        <v>0</v>
      </c>
    </row>
    <row r="205" spans="2:3" hidden="1" x14ac:dyDescent="0.2">
      <c r="B205" s="110">
        <f t="shared" si="0"/>
        <v>2082</v>
      </c>
      <c r="C205" s="111">
        <f>[7]С2.5!$BO$11</f>
        <v>0</v>
      </c>
    </row>
    <row r="206" spans="2:3" hidden="1" x14ac:dyDescent="0.2">
      <c r="B206" s="110">
        <f t="shared" si="0"/>
        <v>2083</v>
      </c>
      <c r="C206" s="111">
        <f>[7]С2.5!$BP$11</f>
        <v>0</v>
      </c>
    </row>
    <row r="207" spans="2:3" hidden="1" x14ac:dyDescent="0.2">
      <c r="B207" s="110">
        <f t="shared" si="0"/>
        <v>2084</v>
      </c>
      <c r="C207" s="111">
        <f>[7]С2.5!$BQ$11</f>
        <v>0</v>
      </c>
    </row>
    <row r="208" spans="2:3" hidden="1" x14ac:dyDescent="0.2">
      <c r="B208" s="110">
        <f t="shared" si="0"/>
        <v>2085</v>
      </c>
      <c r="C208" s="111">
        <f>[7]С2.5!$BR$11</f>
        <v>0</v>
      </c>
    </row>
    <row r="209" spans="2:3" hidden="1" x14ac:dyDescent="0.2">
      <c r="B209" s="110">
        <f t="shared" ref="B209:B223" si="1">B208+1</f>
        <v>2086</v>
      </c>
      <c r="C209" s="111">
        <f>[7]С2.5!$BS$11</f>
        <v>0</v>
      </c>
    </row>
    <row r="210" spans="2:3" hidden="1" x14ac:dyDescent="0.2">
      <c r="B210" s="110">
        <f t="shared" si="1"/>
        <v>2087</v>
      </c>
      <c r="C210" s="111">
        <f>[7]С2.5!$BT$11</f>
        <v>0</v>
      </c>
    </row>
    <row r="211" spans="2:3" hidden="1" x14ac:dyDescent="0.2">
      <c r="B211" s="110">
        <f t="shared" si="1"/>
        <v>2088</v>
      </c>
      <c r="C211" s="111">
        <f>[7]С2.5!$BU$11</f>
        <v>0</v>
      </c>
    </row>
    <row r="212" spans="2:3" hidden="1" x14ac:dyDescent="0.2">
      <c r="B212" s="110">
        <f t="shared" si="1"/>
        <v>2089</v>
      </c>
      <c r="C212" s="111">
        <f>[7]С2.5!$BV$11</f>
        <v>0</v>
      </c>
    </row>
    <row r="213" spans="2:3" hidden="1" x14ac:dyDescent="0.2">
      <c r="B213" s="110">
        <f t="shared" si="1"/>
        <v>2090</v>
      </c>
      <c r="C213" s="111">
        <f>[7]С2.5!$BW$11</f>
        <v>0</v>
      </c>
    </row>
    <row r="214" spans="2:3" hidden="1" x14ac:dyDescent="0.2">
      <c r="B214" s="110">
        <f t="shared" si="1"/>
        <v>2091</v>
      </c>
      <c r="C214" s="111">
        <f>[7]С2.5!$BX$11</f>
        <v>0</v>
      </c>
    </row>
    <row r="215" spans="2:3" hidden="1" x14ac:dyDescent="0.2">
      <c r="B215" s="110">
        <f t="shared" si="1"/>
        <v>2092</v>
      </c>
      <c r="C215" s="111">
        <f>[7]С2.5!$BY$11</f>
        <v>0</v>
      </c>
    </row>
    <row r="216" spans="2:3" hidden="1" x14ac:dyDescent="0.2">
      <c r="B216" s="110">
        <f t="shared" si="1"/>
        <v>2093</v>
      </c>
      <c r="C216" s="111">
        <f>[7]С2.5!$BZ$11</f>
        <v>0</v>
      </c>
    </row>
    <row r="217" spans="2:3" hidden="1" x14ac:dyDescent="0.2">
      <c r="B217" s="110">
        <f t="shared" si="1"/>
        <v>2094</v>
      </c>
      <c r="C217" s="111">
        <f>[7]С2.5!$CA$11</f>
        <v>0</v>
      </c>
    </row>
    <row r="218" spans="2:3" hidden="1" x14ac:dyDescent="0.2">
      <c r="B218" s="110">
        <f t="shared" si="1"/>
        <v>2095</v>
      </c>
      <c r="C218" s="111">
        <f>[7]С2.5!$CB$11</f>
        <v>0</v>
      </c>
    </row>
    <row r="219" spans="2:3" hidden="1" x14ac:dyDescent="0.2">
      <c r="B219" s="110">
        <f t="shared" si="1"/>
        <v>2096</v>
      </c>
      <c r="C219" s="111">
        <f>[7]С2.5!$CC$11</f>
        <v>0</v>
      </c>
    </row>
    <row r="220" spans="2:3" hidden="1" x14ac:dyDescent="0.2">
      <c r="B220" s="110">
        <f t="shared" si="1"/>
        <v>2097</v>
      </c>
      <c r="C220" s="111">
        <f>[7]С2.5!$CD$11</f>
        <v>0</v>
      </c>
    </row>
    <row r="221" spans="2:3" hidden="1" x14ac:dyDescent="0.2">
      <c r="B221" s="110">
        <f t="shared" si="1"/>
        <v>2098</v>
      </c>
      <c r="C221" s="111">
        <f>[7]С2.5!$CE$11</f>
        <v>0</v>
      </c>
    </row>
    <row r="222" spans="2:3" hidden="1" x14ac:dyDescent="0.2">
      <c r="B222" s="110">
        <f t="shared" si="1"/>
        <v>2099</v>
      </c>
      <c r="C222" s="111">
        <f>[7]С2.5!$CF$11</f>
        <v>0</v>
      </c>
    </row>
    <row r="223" spans="2:3" ht="13.5" hidden="1" thickBot="1" x14ac:dyDescent="0.25">
      <c r="B223" s="112">
        <f t="shared" si="1"/>
        <v>2100</v>
      </c>
      <c r="C223" s="113">
        <f>[7]С2.5!$CG$11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[8]И1!D13</f>
        <v>Субъект Российской Федерации</v>
      </c>
      <c r="C4" s="10" t="str">
        <f>[8]И1!E13</f>
        <v>Новосибирская область</v>
      </c>
    </row>
    <row r="5" spans="1:3" ht="46.9" customHeight="1" x14ac:dyDescent="0.2">
      <c r="A5" s="8"/>
      <c r="B5" s="9" t="str">
        <f>[8]И1!D14</f>
        <v>Тип муниципального образования (выберите из списка)</v>
      </c>
      <c r="C5" s="10" t="str">
        <f>[8]И1!E14</f>
        <v>село Конево, Краснозерский муниципальный район</v>
      </c>
    </row>
    <row r="6" spans="1:3" x14ac:dyDescent="0.2">
      <c r="A6" s="8"/>
      <c r="B6" s="9" t="str">
        <f>IF([8]И1!E15="","",[8]И1!D15)</f>
        <v/>
      </c>
      <c r="C6" s="10" t="str">
        <f>IF([8]И1!E15="","",[8]И1!E15)</f>
        <v/>
      </c>
    </row>
    <row r="7" spans="1:3" x14ac:dyDescent="0.2">
      <c r="A7" s="8"/>
      <c r="B7" s="9" t="str">
        <f>[8]И1!D16</f>
        <v>Код ОКТМО</v>
      </c>
      <c r="C7" s="11" t="str">
        <f>[8]И1!E16</f>
        <v xml:space="preserve"> (50627413101)</v>
      </c>
    </row>
    <row r="8" spans="1:3" x14ac:dyDescent="0.2">
      <c r="A8" s="8"/>
      <c r="B8" s="12" t="str">
        <f>[8]И1!D17</f>
        <v>Система теплоснабжения</v>
      </c>
      <c r="C8" s="13">
        <f>[8]И1!E17</f>
        <v>0</v>
      </c>
    </row>
    <row r="9" spans="1:3" x14ac:dyDescent="0.2">
      <c r="A9" s="8"/>
      <c r="B9" s="9" t="str">
        <f>[8]И1!D8</f>
        <v>Период регулирования (i)-й</v>
      </c>
      <c r="C9" s="14">
        <f>[8]И1!E8</f>
        <v>2025</v>
      </c>
    </row>
    <row r="10" spans="1:3" x14ac:dyDescent="0.2">
      <c r="A10" s="8"/>
      <c r="B10" s="9" t="str">
        <f>[8]И1!D9</f>
        <v>Период регулирования (i-1)-й</v>
      </c>
      <c r="C10" s="14">
        <f>[8]И1!E9</f>
        <v>2024</v>
      </c>
    </row>
    <row r="11" spans="1:3" x14ac:dyDescent="0.2">
      <c r="A11" s="8"/>
      <c r="B11" s="9" t="str">
        <f>[8]И1!D10</f>
        <v>Период регулирования (i-2)-й</v>
      </c>
      <c r="C11" s="14">
        <f>[8]И1!E10</f>
        <v>2023</v>
      </c>
    </row>
    <row r="12" spans="1:3" x14ac:dyDescent="0.2">
      <c r="A12" s="8"/>
      <c r="B12" s="9" t="str">
        <f>[8]И1!D11</f>
        <v>Базовый год (б)</v>
      </c>
      <c r="C12" s="14">
        <f>[8]И1!E11</f>
        <v>2019</v>
      </c>
    </row>
    <row r="13" spans="1:3" ht="38.25" x14ac:dyDescent="0.2">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5655.173184165671</v>
      </c>
    </row>
    <row r="18" spans="1:3" ht="42.75" x14ac:dyDescent="0.2">
      <c r="A18" s="22" t="s">
        <v>8</v>
      </c>
      <c r="B18" s="25" t="s">
        <v>9</v>
      </c>
      <c r="C18" s="26">
        <f>[8]С1!F12</f>
        <v>1063.6897548770437</v>
      </c>
    </row>
    <row r="19" spans="1:3" ht="42.75" x14ac:dyDescent="0.2">
      <c r="A19" s="22" t="s">
        <v>10</v>
      </c>
      <c r="B19" s="25" t="s">
        <v>11</v>
      </c>
      <c r="C19" s="26">
        <f>[8]С2!F12</f>
        <v>3044.8315746726421</v>
      </c>
    </row>
    <row r="20" spans="1:3" ht="30" x14ac:dyDescent="0.2">
      <c r="A20" s="22" t="s">
        <v>12</v>
      </c>
      <c r="B20" s="25" t="s">
        <v>13</v>
      </c>
      <c r="C20" s="26">
        <f>[8]С3!F12</f>
        <v>911.5178018038722</v>
      </c>
    </row>
    <row r="21" spans="1:3" ht="42.75" x14ac:dyDescent="0.2">
      <c r="A21" s="22" t="s">
        <v>14</v>
      </c>
      <c r="B21" s="25" t="s">
        <v>15</v>
      </c>
      <c r="C21" s="26">
        <f>[8]С4!F12</f>
        <v>524.24830410298182</v>
      </c>
    </row>
    <row r="22" spans="1:3" ht="30" x14ac:dyDescent="0.2">
      <c r="A22" s="22" t="s">
        <v>16</v>
      </c>
      <c r="B22" s="25" t="s">
        <v>17</v>
      </c>
      <c r="C22" s="26">
        <f>[8]С5!F12</f>
        <v>110.88574870913081</v>
      </c>
    </row>
    <row r="23" spans="1:3" ht="43.5" thickBot="1" x14ac:dyDescent="0.25">
      <c r="A23" s="27" t="s">
        <v>18</v>
      </c>
      <c r="B23" s="117" t="s">
        <v>19</v>
      </c>
      <c r="C23" s="28" t="str">
        <f>[8]С6!F12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[8]С1.1!E16</f>
        <v>5100</v>
      </c>
    </row>
    <row r="29" spans="1:3" ht="42.75" x14ac:dyDescent="0.2">
      <c r="A29" s="22" t="s">
        <v>10</v>
      </c>
      <c r="B29" s="33" t="s">
        <v>22</v>
      </c>
      <c r="C29" s="34">
        <f>[8]С1.1!E27</f>
        <v>3837</v>
      </c>
    </row>
    <row r="30" spans="1:3" ht="17.25" x14ac:dyDescent="0.2">
      <c r="A30" s="22" t="s">
        <v>12</v>
      </c>
      <c r="B30" s="33" t="s">
        <v>23</v>
      </c>
      <c r="C30" s="35">
        <f>[8]С1.1!E19</f>
        <v>1.4E-2</v>
      </c>
    </row>
    <row r="31" spans="1:3" ht="17.25" x14ac:dyDescent="0.2">
      <c r="A31" s="22" t="s">
        <v>14</v>
      </c>
      <c r="B31" s="33" t="s">
        <v>24</v>
      </c>
      <c r="C31" s="35">
        <f>[8]С1.1!E20</f>
        <v>0.04</v>
      </c>
    </row>
    <row r="32" spans="1:3" ht="30" x14ac:dyDescent="0.2">
      <c r="A32" s="22" t="s">
        <v>16</v>
      </c>
      <c r="B32" s="36" t="s">
        <v>25</v>
      </c>
      <c r="C32" s="37">
        <f>[8]С1!F13</f>
        <v>176.4</v>
      </c>
    </row>
    <row r="33" spans="1:3" x14ac:dyDescent="0.2">
      <c r="A33" s="22" t="s">
        <v>18</v>
      </c>
      <c r="B33" s="36" t="s">
        <v>26</v>
      </c>
      <c r="C33" s="38">
        <f>[8]С1!F16</f>
        <v>7000</v>
      </c>
    </row>
    <row r="34" spans="1:3" ht="14.25" x14ac:dyDescent="0.2">
      <c r="A34" s="22" t="s">
        <v>27</v>
      </c>
      <c r="B34" s="39" t="s">
        <v>28</v>
      </c>
      <c r="C34" s="40">
        <f>[8]С1!F17</f>
        <v>0.72857142857142854</v>
      </c>
    </row>
    <row r="35" spans="1:3" ht="15.75" x14ac:dyDescent="0.2">
      <c r="A35" s="41" t="s">
        <v>29</v>
      </c>
      <c r="B35" s="42" t="s">
        <v>30</v>
      </c>
      <c r="C35" s="40">
        <f>[8]С1!F20</f>
        <v>21.588411179999994</v>
      </c>
    </row>
    <row r="36" spans="1:3" ht="15.75" x14ac:dyDescent="0.2">
      <c r="A36" s="41" t="s">
        <v>31</v>
      </c>
      <c r="B36" s="43" t="s">
        <v>32</v>
      </c>
      <c r="C36" s="40">
        <f>[8]С1!F21</f>
        <v>20.818139999999996</v>
      </c>
    </row>
    <row r="37" spans="1:3" ht="14.25" x14ac:dyDescent="0.2">
      <c r="A37" s="41" t="s">
        <v>33</v>
      </c>
      <c r="B37" s="44" t="s">
        <v>34</v>
      </c>
      <c r="C37" s="40">
        <f>[8]С1!F22</f>
        <v>1.0369999999999999</v>
      </c>
    </row>
    <row r="38" spans="1:3" ht="53.25" thickBot="1" x14ac:dyDescent="0.25">
      <c r="A38" s="27" t="s">
        <v>35</v>
      </c>
      <c r="B38" s="45" t="s">
        <v>36</v>
      </c>
      <c r="C38" s="46">
        <f>[8]С1!F23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[8]С2.1!E12</f>
        <v>V</v>
      </c>
    </row>
    <row r="42" spans="1:3" ht="25.5" x14ac:dyDescent="0.2">
      <c r="A42" s="22" t="s">
        <v>41</v>
      </c>
      <c r="B42" s="33" t="s">
        <v>42</v>
      </c>
      <c r="C42" s="51" t="str">
        <f>[8]С2.1!E13</f>
        <v>6 и менее баллов</v>
      </c>
    </row>
    <row r="43" spans="1:3" ht="25.5" x14ac:dyDescent="0.2">
      <c r="A43" s="22" t="s">
        <v>43</v>
      </c>
      <c r="B43" s="33" t="s">
        <v>44</v>
      </c>
      <c r="C43" s="51" t="str">
        <f>[8]С2.1!E14</f>
        <v>от 200 до 500</v>
      </c>
    </row>
    <row r="44" spans="1:3" ht="25.5" x14ac:dyDescent="0.2">
      <c r="A44" s="22" t="s">
        <v>45</v>
      </c>
      <c r="B44" s="33" t="s">
        <v>46</v>
      </c>
      <c r="C44" s="52" t="str">
        <f>[8]С2.1!E15</f>
        <v>нет</v>
      </c>
    </row>
    <row r="45" spans="1:3" ht="30" x14ac:dyDescent="0.2">
      <c r="A45" s="22" t="s">
        <v>47</v>
      </c>
      <c r="B45" s="33" t="s">
        <v>48</v>
      </c>
      <c r="C45" s="34">
        <f>[8]С2!F18</f>
        <v>38910.02669467502</v>
      </c>
    </row>
    <row r="46" spans="1:3" ht="30" x14ac:dyDescent="0.2">
      <c r="A46" s="22" t="s">
        <v>49</v>
      </c>
      <c r="B46" s="53" t="s">
        <v>50</v>
      </c>
      <c r="C46" s="34">
        <f>IF([8]С2!F19&gt;0,[8]С2!F19,[8]С2!F20)</f>
        <v>23441.524932855718</v>
      </c>
    </row>
    <row r="47" spans="1:3" ht="25.5" x14ac:dyDescent="0.2">
      <c r="A47" s="22" t="s">
        <v>51</v>
      </c>
      <c r="B47" s="54" t="s">
        <v>52</v>
      </c>
      <c r="C47" s="34">
        <f>[8]С2.1!E19</f>
        <v>-38</v>
      </c>
    </row>
    <row r="48" spans="1:3" ht="25.5" x14ac:dyDescent="0.2">
      <c r="A48" s="22" t="s">
        <v>53</v>
      </c>
      <c r="B48" s="54" t="s">
        <v>54</v>
      </c>
      <c r="C48" s="34" t="str">
        <f>[8]С2.1!E22</f>
        <v>нет</v>
      </c>
    </row>
    <row r="49" spans="1:3" ht="38.25" x14ac:dyDescent="0.2">
      <c r="A49" s="22" t="s">
        <v>55</v>
      </c>
      <c r="B49" s="55" t="s">
        <v>56</v>
      </c>
      <c r="C49" s="34">
        <f>[8]С2.2!E10</f>
        <v>1287</v>
      </c>
    </row>
    <row r="50" spans="1:3" ht="25.5" x14ac:dyDescent="0.2">
      <c r="A50" s="22" t="s">
        <v>57</v>
      </c>
      <c r="B50" s="56" t="s">
        <v>58</v>
      </c>
      <c r="C50" s="34">
        <f>[8]С2.2!E12</f>
        <v>5.97</v>
      </c>
    </row>
    <row r="51" spans="1:3" ht="52.5" x14ac:dyDescent="0.2">
      <c r="A51" s="22" t="s">
        <v>59</v>
      </c>
      <c r="B51" s="57" t="s">
        <v>60</v>
      </c>
      <c r="C51" s="34">
        <f>[8]С2.2!E13</f>
        <v>1</v>
      </c>
    </row>
    <row r="52" spans="1:3" ht="27.75" x14ac:dyDescent="0.2">
      <c r="A52" s="22" t="s">
        <v>61</v>
      </c>
      <c r="B52" s="56" t="s">
        <v>62</v>
      </c>
      <c r="C52" s="34">
        <f>[8]С2.2!E14</f>
        <v>12104</v>
      </c>
    </row>
    <row r="53" spans="1:3" ht="25.5" x14ac:dyDescent="0.2">
      <c r="A53" s="22" t="s">
        <v>63</v>
      </c>
      <c r="B53" s="57" t="s">
        <v>64</v>
      </c>
      <c r="C53" s="35">
        <f>[8]С2.2!E15</f>
        <v>4.8000000000000001E-2</v>
      </c>
    </row>
    <row r="54" spans="1:3" x14ac:dyDescent="0.2">
      <c r="A54" s="22" t="s">
        <v>65</v>
      </c>
      <c r="B54" s="57" t="s">
        <v>66</v>
      </c>
      <c r="C54" s="34">
        <f>[8]С2.2!E16</f>
        <v>1</v>
      </c>
    </row>
    <row r="55" spans="1:3" ht="15.75" x14ac:dyDescent="0.2">
      <c r="A55" s="22" t="s">
        <v>67</v>
      </c>
      <c r="B55" s="58" t="s">
        <v>68</v>
      </c>
      <c r="C55" s="34">
        <f>[8]С2!F21</f>
        <v>1</v>
      </c>
    </row>
    <row r="56" spans="1:3" ht="30" x14ac:dyDescent="0.2">
      <c r="A56" s="59" t="s">
        <v>69</v>
      </c>
      <c r="B56" s="33" t="s">
        <v>70</v>
      </c>
      <c r="C56" s="34">
        <f>[8]С2!F13</f>
        <v>203708.97017230222</v>
      </c>
    </row>
    <row r="57" spans="1:3" ht="30" x14ac:dyDescent="0.2">
      <c r="A57" s="59" t="s">
        <v>71</v>
      </c>
      <c r="B57" s="58" t="s">
        <v>72</v>
      </c>
      <c r="C57" s="34">
        <f>[8]С2!F14</f>
        <v>113455</v>
      </c>
    </row>
    <row r="58" spans="1:3" ht="15.75" x14ac:dyDescent="0.2">
      <c r="A58" s="59" t="s">
        <v>73</v>
      </c>
      <c r="B58" s="60" t="s">
        <v>74</v>
      </c>
      <c r="C58" s="40">
        <f>[8]С2!F15</f>
        <v>1.071</v>
      </c>
    </row>
    <row r="59" spans="1:3" ht="15.75" x14ac:dyDescent="0.2">
      <c r="A59" s="59" t="s">
        <v>75</v>
      </c>
      <c r="B59" s="60" t="s">
        <v>76</v>
      </c>
      <c r="C59" s="40">
        <f>[8]С2!F16</f>
        <v>1</v>
      </c>
    </row>
    <row r="60" spans="1:3" ht="17.25" x14ac:dyDescent="0.2">
      <c r="A60" s="59" t="s">
        <v>77</v>
      </c>
      <c r="B60" s="58" t="s">
        <v>78</v>
      </c>
      <c r="C60" s="34">
        <f>[8]С2!F17</f>
        <v>1.01</v>
      </c>
    </row>
    <row r="61" spans="1:3" s="63" customFormat="1" ht="14.25" x14ac:dyDescent="0.2">
      <c r="A61" s="59" t="s">
        <v>79</v>
      </c>
      <c r="B61" s="61" t="s">
        <v>80</v>
      </c>
      <c r="C61" s="62">
        <f>[8]С2!F33</f>
        <v>10</v>
      </c>
    </row>
    <row r="62" spans="1:3" ht="30" x14ac:dyDescent="0.2">
      <c r="A62" s="59" t="s">
        <v>81</v>
      </c>
      <c r="B62" s="64" t="s">
        <v>82</v>
      </c>
      <c r="C62" s="34">
        <f>[8]С2!F26</f>
        <v>1349.309862285194</v>
      </c>
    </row>
    <row r="63" spans="1:3" ht="17.25" x14ac:dyDescent="0.2">
      <c r="A63" s="59" t="s">
        <v>83</v>
      </c>
      <c r="B63" s="53" t="s">
        <v>84</v>
      </c>
      <c r="C63" s="34">
        <f>[8]С2!F27</f>
        <v>0.19354712999999998</v>
      </c>
    </row>
    <row r="64" spans="1:3" ht="17.25" x14ac:dyDescent="0.2">
      <c r="A64" s="59" t="s">
        <v>85</v>
      </c>
      <c r="B64" s="58" t="s">
        <v>86</v>
      </c>
      <c r="C64" s="62">
        <f>[8]С2!F28</f>
        <v>4200</v>
      </c>
    </row>
    <row r="65" spans="1:3" ht="42.75" x14ac:dyDescent="0.2">
      <c r="A65" s="59" t="s">
        <v>87</v>
      </c>
      <c r="B65" s="33" t="s">
        <v>88</v>
      </c>
      <c r="C65" s="34">
        <f>[8]С2!F22</f>
        <v>42890.921752741691</v>
      </c>
    </row>
    <row r="66" spans="1:3" ht="30" x14ac:dyDescent="0.2">
      <c r="A66" s="59" t="s">
        <v>89</v>
      </c>
      <c r="B66" s="60" t="s">
        <v>90</v>
      </c>
      <c r="C66" s="34">
        <f>[8]С2!F23</f>
        <v>1990</v>
      </c>
    </row>
    <row r="67" spans="1:3" ht="30" x14ac:dyDescent="0.2">
      <c r="A67" s="59" t="s">
        <v>91</v>
      </c>
      <c r="B67" s="53" t="s">
        <v>92</v>
      </c>
      <c r="C67" s="34">
        <f>[8]С2.1!E27</f>
        <v>14307.876789999998</v>
      </c>
    </row>
    <row r="68" spans="1:3" ht="38.25" x14ac:dyDescent="0.2">
      <c r="A68" s="59" t="s">
        <v>93</v>
      </c>
      <c r="B68" s="65" t="s">
        <v>94</v>
      </c>
      <c r="C68" s="52">
        <f>[8]С2.3!E21</f>
        <v>0</v>
      </c>
    </row>
    <row r="69" spans="1:3" ht="25.5" x14ac:dyDescent="0.2">
      <c r="A69" s="59" t="s">
        <v>95</v>
      </c>
      <c r="B69" s="66" t="s">
        <v>96</v>
      </c>
      <c r="C69" s="67">
        <f>[8]С2.3!E11</f>
        <v>9.89</v>
      </c>
    </row>
    <row r="70" spans="1:3" ht="25.5" x14ac:dyDescent="0.2">
      <c r="A70" s="59" t="s">
        <v>97</v>
      </c>
      <c r="B70" s="66" t="s">
        <v>98</v>
      </c>
      <c r="C70" s="62">
        <f>[8]С2.3!E13</f>
        <v>300</v>
      </c>
    </row>
    <row r="71" spans="1:3" ht="25.5" x14ac:dyDescent="0.2">
      <c r="A71" s="59" t="s">
        <v>99</v>
      </c>
      <c r="B71" s="65" t="s">
        <v>100</v>
      </c>
      <c r="C71" s="68">
        <f>IF([8]С2.3!E22&gt;0,[8]С2.3!E22,[8]С2.3!E14)</f>
        <v>61211</v>
      </c>
    </row>
    <row r="72" spans="1:3" ht="38.25" x14ac:dyDescent="0.2">
      <c r="A72" s="59" t="s">
        <v>101</v>
      </c>
      <c r="B72" s="65" t="s">
        <v>102</v>
      </c>
      <c r="C72" s="68">
        <f>IF([8]С2.3!E23&gt;0,[8]С2.3!E23,[8]С2.3!E15)</f>
        <v>45675</v>
      </c>
    </row>
    <row r="73" spans="1:3" ht="30" x14ac:dyDescent="0.2">
      <c r="A73" s="59" t="s">
        <v>103</v>
      </c>
      <c r="B73" s="53" t="s">
        <v>104</v>
      </c>
      <c r="C73" s="34">
        <f>[8]С2.1!E28</f>
        <v>9541.9567200000001</v>
      </c>
    </row>
    <row r="74" spans="1:3" ht="38.25" x14ac:dyDescent="0.2">
      <c r="A74" s="59" t="s">
        <v>105</v>
      </c>
      <c r="B74" s="65" t="s">
        <v>106</v>
      </c>
      <c r="C74" s="52">
        <f>[8]С2.3!E25</f>
        <v>0</v>
      </c>
    </row>
    <row r="75" spans="1:3" ht="25.5" x14ac:dyDescent="0.2">
      <c r="A75" s="59" t="s">
        <v>107</v>
      </c>
      <c r="B75" s="66" t="s">
        <v>108</v>
      </c>
      <c r="C75" s="67">
        <f>[8]С2.3!E12</f>
        <v>0.56000000000000005</v>
      </c>
    </row>
    <row r="76" spans="1:3" ht="25.5" x14ac:dyDescent="0.2">
      <c r="A76" s="59" t="s">
        <v>109</v>
      </c>
      <c r="B76" s="66" t="s">
        <v>98</v>
      </c>
      <c r="C76" s="62">
        <f>[8]С2.3!E13</f>
        <v>300</v>
      </c>
    </row>
    <row r="77" spans="1:3" ht="25.5" x14ac:dyDescent="0.2">
      <c r="A77" s="59" t="s">
        <v>110</v>
      </c>
      <c r="B77" s="69" t="s">
        <v>111</v>
      </c>
      <c r="C77" s="68">
        <f>IF([8]С2.3!E26&gt;0,[8]С2.3!E26,[8]С2.3!E16)</f>
        <v>65637</v>
      </c>
    </row>
    <row r="78" spans="1:3" ht="38.25" x14ac:dyDescent="0.2">
      <c r="A78" s="59" t="s">
        <v>112</v>
      </c>
      <c r="B78" s="69" t="s">
        <v>113</v>
      </c>
      <c r="C78" s="68">
        <f>IF([8]С2.3!E27&gt;0,[8]С2.3!E27,[8]С2.3!E17)</f>
        <v>31684</v>
      </c>
    </row>
    <row r="79" spans="1:3" ht="17.25" x14ac:dyDescent="0.2">
      <c r="A79" s="59" t="s">
        <v>114</v>
      </c>
      <c r="B79" s="33" t="s">
        <v>115</v>
      </c>
      <c r="C79" s="35">
        <f>[8]С2!F29</f>
        <v>0.17804631770487722</v>
      </c>
    </row>
    <row r="80" spans="1:3" ht="30" x14ac:dyDescent="0.2">
      <c r="A80" s="59" t="s">
        <v>116</v>
      </c>
      <c r="B80" s="53" t="s">
        <v>117</v>
      </c>
      <c r="C80" s="70">
        <f>[8]С2!F30</f>
        <v>0.1652189781021898</v>
      </c>
    </row>
    <row r="81" spans="1:3" ht="17.25" x14ac:dyDescent="0.2">
      <c r="A81" s="59" t="s">
        <v>118</v>
      </c>
      <c r="B81" s="71" t="s">
        <v>119</v>
      </c>
      <c r="C81" s="35">
        <f>[8]С2!F31</f>
        <v>0.13880000000000001</v>
      </c>
    </row>
    <row r="82" spans="1:3" s="63" customFormat="1" ht="18" thickBot="1" x14ac:dyDescent="0.25">
      <c r="A82" s="72" t="s">
        <v>120</v>
      </c>
      <c r="B82" s="73" t="s">
        <v>121</v>
      </c>
      <c r="C82" s="74">
        <f>[8]С2!F32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[8]С3!F14</f>
        <v>14784.578474435859</v>
      </c>
    </row>
    <row r="86" spans="1:3" s="63" customFormat="1" ht="42.75" x14ac:dyDescent="0.2">
      <c r="A86" s="77" t="s">
        <v>126</v>
      </c>
      <c r="B86" s="53" t="s">
        <v>127</v>
      </c>
      <c r="C86" s="78">
        <f>[8]С3!F15</f>
        <v>0.25</v>
      </c>
    </row>
    <row r="87" spans="1:3" s="63" customFormat="1" ht="14.25" x14ac:dyDescent="0.2">
      <c r="A87" s="77" t="s">
        <v>128</v>
      </c>
      <c r="B87" s="79" t="s">
        <v>129</v>
      </c>
      <c r="C87" s="62">
        <f>[8]С3!F18</f>
        <v>15</v>
      </c>
    </row>
    <row r="88" spans="1:3" s="63" customFormat="1" ht="17.25" x14ac:dyDescent="0.2">
      <c r="A88" s="77" t="s">
        <v>130</v>
      </c>
      <c r="B88" s="33" t="s">
        <v>131</v>
      </c>
      <c r="C88" s="34">
        <f>[8]С3!F19</f>
        <v>4187.478806422544</v>
      </c>
    </row>
    <row r="89" spans="1:3" s="63" customFormat="1" ht="55.5" x14ac:dyDescent="0.2">
      <c r="A89" s="77" t="s">
        <v>132</v>
      </c>
      <c r="B89" s="53" t="s">
        <v>133</v>
      </c>
      <c r="C89" s="80">
        <f>[8]С3!F20</f>
        <v>2.1999999999999999E-2</v>
      </c>
    </row>
    <row r="90" spans="1:3" s="63" customFormat="1" ht="14.25" x14ac:dyDescent="0.2">
      <c r="A90" s="77" t="s">
        <v>134</v>
      </c>
      <c r="B90" s="58" t="s">
        <v>80</v>
      </c>
      <c r="C90" s="62">
        <f>[8]С3!F21</f>
        <v>10</v>
      </c>
    </row>
    <row r="91" spans="1:3" s="63" customFormat="1" ht="17.25" x14ac:dyDescent="0.2">
      <c r="A91" s="77" t="s">
        <v>135</v>
      </c>
      <c r="B91" s="33" t="s">
        <v>136</v>
      </c>
      <c r="C91" s="34">
        <f>[8]С3!F22</f>
        <v>4.0479295868555818</v>
      </c>
    </row>
    <row r="92" spans="1:3" s="63" customFormat="1" ht="55.5" x14ac:dyDescent="0.2">
      <c r="A92" s="77" t="s">
        <v>137</v>
      </c>
      <c r="B92" s="53" t="s">
        <v>138</v>
      </c>
      <c r="C92" s="80">
        <f>[8]С3!F23</f>
        <v>3.0000000000000001E-3</v>
      </c>
    </row>
    <row r="93" spans="1:3" s="63" customFormat="1" ht="27.75" thickBot="1" x14ac:dyDescent="0.25">
      <c r="A93" s="81" t="s">
        <v>139</v>
      </c>
      <c r="B93" s="82" t="s">
        <v>140</v>
      </c>
      <c r="C93" s="83">
        <f>[8]С3!F24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[8]С4!F16</f>
        <v>1652.5</v>
      </c>
    </row>
    <row r="97" spans="1:3" ht="30" x14ac:dyDescent="0.2">
      <c r="A97" s="59" t="s">
        <v>145</v>
      </c>
      <c r="B97" s="58" t="s">
        <v>146</v>
      </c>
      <c r="C97" s="34">
        <f>[8]С4!F17</f>
        <v>73547</v>
      </c>
    </row>
    <row r="98" spans="1:3" ht="17.25" x14ac:dyDescent="0.2">
      <c r="A98" s="59" t="s">
        <v>147</v>
      </c>
      <c r="B98" s="58" t="s">
        <v>148</v>
      </c>
      <c r="C98" s="40">
        <f>[8]С4!F18</f>
        <v>0.02</v>
      </c>
    </row>
    <row r="99" spans="1:3" ht="30" x14ac:dyDescent="0.2">
      <c r="A99" s="59" t="s">
        <v>149</v>
      </c>
      <c r="B99" s="58" t="s">
        <v>150</v>
      </c>
      <c r="C99" s="34">
        <f>[8]С4!F19</f>
        <v>12104</v>
      </c>
    </row>
    <row r="100" spans="1:3" ht="31.5" x14ac:dyDescent="0.2">
      <c r="A100" s="59" t="s">
        <v>151</v>
      </c>
      <c r="B100" s="58" t="s">
        <v>152</v>
      </c>
      <c r="C100" s="40">
        <f>[8]С4!F20</f>
        <v>1.4999999999999999E-2</v>
      </c>
    </row>
    <row r="101" spans="1:3" ht="30" x14ac:dyDescent="0.2">
      <c r="A101" s="59" t="s">
        <v>153</v>
      </c>
      <c r="B101" s="33" t="s">
        <v>154</v>
      </c>
      <c r="C101" s="34">
        <f>[8]С4!F21</f>
        <v>1933.1949342509995</v>
      </c>
    </row>
    <row r="102" spans="1:3" ht="24" customHeight="1" x14ac:dyDescent="0.2">
      <c r="A102" s="59" t="s">
        <v>155</v>
      </c>
      <c r="B102" s="53" t="s">
        <v>156</v>
      </c>
      <c r="C102" s="85">
        <f>IF([8]С4.2!F8="да",[8]С4.2!D21,[8]С4.2!D15)</f>
        <v>0</v>
      </c>
    </row>
    <row r="103" spans="1:3" ht="68.25" x14ac:dyDescent="0.2">
      <c r="A103" s="59" t="s">
        <v>157</v>
      </c>
      <c r="B103" s="53" t="s">
        <v>158</v>
      </c>
      <c r="C103" s="34">
        <f>[8]С4!F22</f>
        <v>3.6112641666666665</v>
      </c>
    </row>
    <row r="104" spans="1:3" ht="30" x14ac:dyDescent="0.2">
      <c r="A104" s="59" t="s">
        <v>159</v>
      </c>
      <c r="B104" s="58" t="s">
        <v>160</v>
      </c>
      <c r="C104" s="34">
        <f>[8]С4!F23</f>
        <v>180</v>
      </c>
    </row>
    <row r="105" spans="1:3" ht="14.25" x14ac:dyDescent="0.2">
      <c r="A105" s="59" t="s">
        <v>161</v>
      </c>
      <c r="B105" s="53" t="s">
        <v>162</v>
      </c>
      <c r="C105" s="34">
        <f>[8]С4!F24</f>
        <v>8497.1999999999989</v>
      </c>
    </row>
    <row r="106" spans="1:3" ht="14.25" x14ac:dyDescent="0.2">
      <c r="A106" s="59" t="s">
        <v>163</v>
      </c>
      <c r="B106" s="58" t="s">
        <v>164</v>
      </c>
      <c r="C106" s="40">
        <f>[8]С4!F25</f>
        <v>0.35</v>
      </c>
    </row>
    <row r="107" spans="1:3" ht="17.25" x14ac:dyDescent="0.2">
      <c r="A107" s="59" t="s">
        <v>165</v>
      </c>
      <c r="B107" s="33" t="s">
        <v>166</v>
      </c>
      <c r="C107" s="34">
        <f>[8]С4!F26</f>
        <v>33.533749999999998</v>
      </c>
    </row>
    <row r="108" spans="1:3" ht="25.5" x14ac:dyDescent="0.2">
      <c r="A108" s="59" t="s">
        <v>167</v>
      </c>
      <c r="B108" s="53" t="s">
        <v>94</v>
      </c>
      <c r="C108" s="85">
        <f>[8]С4.3!E16</f>
        <v>0</v>
      </c>
    </row>
    <row r="109" spans="1:3" ht="25.5" x14ac:dyDescent="0.2">
      <c r="A109" s="59" t="s">
        <v>168</v>
      </c>
      <c r="B109" s="53" t="s">
        <v>169</v>
      </c>
      <c r="C109" s="34">
        <f>[8]С4.3!E17</f>
        <v>8.75</v>
      </c>
    </row>
    <row r="110" spans="1:3" ht="38.25" x14ac:dyDescent="0.2">
      <c r="A110" s="59" t="s">
        <v>170</v>
      </c>
      <c r="B110" s="53" t="s">
        <v>106</v>
      </c>
      <c r="C110" s="85">
        <f>[8]С4.3!E18</f>
        <v>0</v>
      </c>
    </row>
    <row r="111" spans="1:3" x14ac:dyDescent="0.2">
      <c r="A111" s="59" t="s">
        <v>171</v>
      </c>
      <c r="B111" s="53" t="s">
        <v>172</v>
      </c>
      <c r="C111" s="34">
        <f>[8]С4.3!E19</f>
        <v>13.958333333333334</v>
      </c>
    </row>
    <row r="112" spans="1:3" x14ac:dyDescent="0.2">
      <c r="A112" s="59" t="s">
        <v>173</v>
      </c>
      <c r="B112" s="58" t="s">
        <v>174</v>
      </c>
      <c r="C112" s="34">
        <f>[8]С4.3!E11</f>
        <v>1871</v>
      </c>
    </row>
    <row r="113" spans="1:3" x14ac:dyDescent="0.2">
      <c r="A113" s="59" t="s">
        <v>175</v>
      </c>
      <c r="B113" s="58" t="s">
        <v>176</v>
      </c>
      <c r="C113" s="52">
        <f>[8]С4.3!E12</f>
        <v>1636</v>
      </c>
    </row>
    <row r="114" spans="1:3" x14ac:dyDescent="0.2">
      <c r="A114" s="59" t="s">
        <v>177</v>
      </c>
      <c r="B114" s="58" t="s">
        <v>178</v>
      </c>
      <c r="C114" s="52">
        <f>[8]С4.3!E13</f>
        <v>204</v>
      </c>
    </row>
    <row r="115" spans="1:3" ht="30" x14ac:dyDescent="0.2">
      <c r="A115" s="59" t="s">
        <v>179</v>
      </c>
      <c r="B115" s="33" t="s">
        <v>180</v>
      </c>
      <c r="C115" s="34">
        <f>[8]С4!F27</f>
        <v>1291.2863994686898</v>
      </c>
    </row>
    <row r="116" spans="1:3" ht="25.5" x14ac:dyDescent="0.2">
      <c r="A116" s="59" t="s">
        <v>181</v>
      </c>
      <c r="B116" s="53" t="s">
        <v>182</v>
      </c>
      <c r="C116" s="34">
        <f>[8]С4!F28</f>
        <v>991.77142816335618</v>
      </c>
    </row>
    <row r="117" spans="1:3" ht="42.75" x14ac:dyDescent="0.2">
      <c r="A117" s="59" t="s">
        <v>183</v>
      </c>
      <c r="B117" s="53" t="s">
        <v>184</v>
      </c>
      <c r="C117" s="34">
        <f>[8]С4!F29</f>
        <v>299.51497130533357</v>
      </c>
    </row>
    <row r="118" spans="1:3" ht="30" x14ac:dyDescent="0.2">
      <c r="A118" s="59" t="s">
        <v>185</v>
      </c>
      <c r="B118" s="39" t="s">
        <v>186</v>
      </c>
      <c r="C118" s="34">
        <f>[8]С4!F30</f>
        <v>2763.0280239467229</v>
      </c>
    </row>
    <row r="119" spans="1:3" ht="42.75" x14ac:dyDescent="0.2">
      <c r="A119" s="59" t="s">
        <v>187</v>
      </c>
      <c r="B119" s="86" t="s">
        <v>188</v>
      </c>
      <c r="C119" s="34">
        <f>[8]С4!F33</f>
        <v>1567.1236373517183</v>
      </c>
    </row>
    <row r="120" spans="1:3" ht="30" x14ac:dyDescent="0.2">
      <c r="A120" s="59" t="s">
        <v>189</v>
      </c>
      <c r="B120" s="87" t="s">
        <v>190</v>
      </c>
      <c r="C120" s="34">
        <f>[8]С4!F35</f>
        <v>17.040680999999999</v>
      </c>
    </row>
    <row r="121" spans="1:3" ht="14.25" x14ac:dyDescent="0.2">
      <c r="A121" s="59" t="s">
        <v>191</v>
      </c>
      <c r="B121" s="56" t="s">
        <v>192</v>
      </c>
      <c r="C121" s="34">
        <f>[8]С4!F36</f>
        <v>14319.9</v>
      </c>
    </row>
    <row r="122" spans="1:3" ht="28.5" thickBot="1" x14ac:dyDescent="0.25">
      <c r="A122" s="72" t="s">
        <v>193</v>
      </c>
      <c r="B122" s="88" t="s">
        <v>194</v>
      </c>
      <c r="C122" s="83">
        <f>[8]С4!F37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[8]С5!F17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[8]С2!F37</f>
        <v>20.818139999999996</v>
      </c>
    </row>
    <row r="136" spans="1:3" ht="14.25" x14ac:dyDescent="0.2">
      <c r="A136" s="59" t="s">
        <v>216</v>
      </c>
      <c r="B136" s="101" t="s">
        <v>217</v>
      </c>
      <c r="C136" s="34">
        <f>[8]С2!F38</f>
        <v>7</v>
      </c>
    </row>
    <row r="137" spans="1:3" ht="17.25" x14ac:dyDescent="0.2">
      <c r="A137" s="59" t="s">
        <v>218</v>
      </c>
      <c r="B137" s="101" t="s">
        <v>219</v>
      </c>
      <c r="C137" s="34">
        <f>[8]С2!F40</f>
        <v>0.97</v>
      </c>
    </row>
    <row r="138" spans="1:3" ht="15" thickBot="1" x14ac:dyDescent="0.25">
      <c r="A138" s="72" t="s">
        <v>220</v>
      </c>
      <c r="B138" s="102" t="s">
        <v>221</v>
      </c>
      <c r="C138" s="46">
        <f>[8]С2!F42</f>
        <v>0.35</v>
      </c>
    </row>
    <row r="139" spans="1:3" s="89" customFormat="1" ht="13.5" thickBot="1" x14ac:dyDescent="0.25">
      <c r="A139" s="47"/>
      <c r="B139" s="75"/>
      <c r="C139" s="15"/>
    </row>
    <row r="140" spans="1:3" ht="30" x14ac:dyDescent="0.2">
      <c r="A140" s="84" t="s">
        <v>222</v>
      </c>
      <c r="B140" s="103" t="s">
        <v>223</v>
      </c>
      <c r="C140" s="104">
        <f>[8]С2!F35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[8]С2.5!$E$11</f>
        <v>-2.9000000000000026E-2</v>
      </c>
    </row>
    <row r="144" spans="1:3" x14ac:dyDescent="0.2">
      <c r="A144" s="105"/>
      <c r="B144" s="110">
        <f>B143+1</f>
        <v>2021</v>
      </c>
      <c r="C144" s="111">
        <f>[8]С2.5!$F$11</f>
        <v>0.245</v>
      </c>
    </row>
    <row r="145" spans="1:3" x14ac:dyDescent="0.2">
      <c r="A145" s="105"/>
      <c r="B145" s="110">
        <f t="shared" ref="B145:B208" si="0">B144+1</f>
        <v>2022</v>
      </c>
      <c r="C145" s="111">
        <f>[8]С2.5!$G$11</f>
        <v>0.114</v>
      </c>
    </row>
    <row r="146" spans="1:3" ht="13.5" thickBot="1" x14ac:dyDescent="0.25">
      <c r="A146" s="105"/>
      <c r="B146" s="112">
        <f t="shared" si="0"/>
        <v>2023</v>
      </c>
      <c r="C146" s="113">
        <f>[8]С2.5!$H$11</f>
        <v>0.04</v>
      </c>
    </row>
    <row r="147" spans="1:3" x14ac:dyDescent="0.2">
      <c r="A147" s="105"/>
      <c r="B147" s="114">
        <f t="shared" si="0"/>
        <v>2024</v>
      </c>
      <c r="C147" s="115">
        <f>[8]С2.5!$I$11</f>
        <v>0.11700000000000001</v>
      </c>
    </row>
    <row r="148" spans="1:3" x14ac:dyDescent="0.2">
      <c r="A148" s="105"/>
      <c r="B148" s="110">
        <f t="shared" si="0"/>
        <v>2025</v>
      </c>
      <c r="C148" s="111">
        <f>[8]С2.5!$J$11</f>
        <v>6.0999999999999999E-2</v>
      </c>
    </row>
    <row r="149" spans="1:3" hidden="1" x14ac:dyDescent="0.2">
      <c r="A149" s="105"/>
      <c r="B149" s="110">
        <f t="shared" si="0"/>
        <v>2026</v>
      </c>
      <c r="C149" s="111">
        <f>[8]С2.5!$K$11</f>
        <v>3.5813361771260002E-2</v>
      </c>
    </row>
    <row r="150" spans="1:3" hidden="1" x14ac:dyDescent="0.2">
      <c r="A150" s="105"/>
      <c r="B150" s="110">
        <f t="shared" si="0"/>
        <v>2027</v>
      </c>
      <c r="C150" s="111">
        <f>[8]С2.5!$L$11</f>
        <v>3.2682303599220003E-2</v>
      </c>
    </row>
    <row r="151" spans="1:3" hidden="1" x14ac:dyDescent="0.2">
      <c r="A151" s="105"/>
      <c r="B151" s="110">
        <f t="shared" si="0"/>
        <v>2028</v>
      </c>
      <c r="C151" s="111">
        <f>[8]С2.5!$M$11</f>
        <v>0</v>
      </c>
    </row>
    <row r="152" spans="1:3" hidden="1" x14ac:dyDescent="0.2">
      <c r="A152" s="105"/>
      <c r="B152" s="110">
        <f t="shared" si="0"/>
        <v>2029</v>
      </c>
      <c r="C152" s="111">
        <f>[8]С2.5!$N$11</f>
        <v>0</v>
      </c>
    </row>
    <row r="153" spans="1:3" hidden="1" x14ac:dyDescent="0.2">
      <c r="A153" s="105"/>
      <c r="B153" s="110">
        <f t="shared" si="0"/>
        <v>2030</v>
      </c>
      <c r="C153" s="111">
        <f>[8]С2.5!$O$11</f>
        <v>0</v>
      </c>
    </row>
    <row r="154" spans="1:3" hidden="1" x14ac:dyDescent="0.2">
      <c r="A154" s="105"/>
      <c r="B154" s="110">
        <f t="shared" si="0"/>
        <v>2031</v>
      </c>
      <c r="C154" s="111">
        <f>[8]С2.5!$P$11</f>
        <v>0</v>
      </c>
    </row>
    <row r="155" spans="1:3" hidden="1" x14ac:dyDescent="0.2">
      <c r="A155" s="89"/>
      <c r="B155" s="110">
        <f t="shared" si="0"/>
        <v>2032</v>
      </c>
      <c r="C155" s="111">
        <f>[8]С2.5!$Q$11</f>
        <v>0</v>
      </c>
    </row>
    <row r="156" spans="1:3" hidden="1" x14ac:dyDescent="0.2">
      <c r="A156" s="89"/>
      <c r="B156" s="110">
        <f t="shared" si="0"/>
        <v>2033</v>
      </c>
      <c r="C156" s="111">
        <f>[8]С2.5!$R$11</f>
        <v>0</v>
      </c>
    </row>
    <row r="157" spans="1:3" hidden="1" x14ac:dyDescent="0.2">
      <c r="B157" s="110">
        <f t="shared" si="0"/>
        <v>2034</v>
      </c>
      <c r="C157" s="111">
        <f>[8]С2.5!$S$11</f>
        <v>0</v>
      </c>
    </row>
    <row r="158" spans="1:3" hidden="1" x14ac:dyDescent="0.2">
      <c r="B158" s="110">
        <f t="shared" si="0"/>
        <v>2035</v>
      </c>
      <c r="C158" s="111">
        <f>[8]С2.5!$T$11</f>
        <v>0</v>
      </c>
    </row>
    <row r="159" spans="1:3" hidden="1" x14ac:dyDescent="0.2">
      <c r="B159" s="110">
        <f t="shared" si="0"/>
        <v>2036</v>
      </c>
      <c r="C159" s="111">
        <f>[8]С2.5!$U$11</f>
        <v>0</v>
      </c>
    </row>
    <row r="160" spans="1:3" hidden="1" x14ac:dyDescent="0.2">
      <c r="B160" s="110">
        <f t="shared" si="0"/>
        <v>2037</v>
      </c>
      <c r="C160" s="111">
        <f>[8]С2.5!$V$11</f>
        <v>0</v>
      </c>
    </row>
    <row r="161" spans="2:3" hidden="1" x14ac:dyDescent="0.2">
      <c r="B161" s="110">
        <f t="shared" si="0"/>
        <v>2038</v>
      </c>
      <c r="C161" s="111">
        <f>[8]С2.5!$W$11</f>
        <v>0</v>
      </c>
    </row>
    <row r="162" spans="2:3" hidden="1" x14ac:dyDescent="0.2">
      <c r="B162" s="110">
        <f t="shared" si="0"/>
        <v>2039</v>
      </c>
      <c r="C162" s="111">
        <f>[8]С2.5!$X$11</f>
        <v>0</v>
      </c>
    </row>
    <row r="163" spans="2:3" hidden="1" x14ac:dyDescent="0.2">
      <c r="B163" s="110">
        <f t="shared" si="0"/>
        <v>2040</v>
      </c>
      <c r="C163" s="111">
        <f>[8]С2.5!$Y$11</f>
        <v>0</v>
      </c>
    </row>
    <row r="164" spans="2:3" hidden="1" x14ac:dyDescent="0.2">
      <c r="B164" s="110">
        <f t="shared" si="0"/>
        <v>2041</v>
      </c>
      <c r="C164" s="111">
        <f>[8]С2.5!$Z$11</f>
        <v>0</v>
      </c>
    </row>
    <row r="165" spans="2:3" hidden="1" x14ac:dyDescent="0.2">
      <c r="B165" s="110">
        <f t="shared" si="0"/>
        <v>2042</v>
      </c>
      <c r="C165" s="111">
        <f>[8]С2.5!$AA$11</f>
        <v>0</v>
      </c>
    </row>
    <row r="166" spans="2:3" hidden="1" x14ac:dyDescent="0.2">
      <c r="B166" s="110">
        <f t="shared" si="0"/>
        <v>2043</v>
      </c>
      <c r="C166" s="111">
        <f>[8]С2.5!$AB$11</f>
        <v>0</v>
      </c>
    </row>
    <row r="167" spans="2:3" hidden="1" x14ac:dyDescent="0.2">
      <c r="B167" s="110">
        <f t="shared" si="0"/>
        <v>2044</v>
      </c>
      <c r="C167" s="111">
        <f>[8]С2.5!$AC$11</f>
        <v>0</v>
      </c>
    </row>
    <row r="168" spans="2:3" hidden="1" x14ac:dyDescent="0.2">
      <c r="B168" s="110">
        <f t="shared" si="0"/>
        <v>2045</v>
      </c>
      <c r="C168" s="111">
        <f>[8]С2.5!$AD$11</f>
        <v>0</v>
      </c>
    </row>
    <row r="169" spans="2:3" hidden="1" x14ac:dyDescent="0.2">
      <c r="B169" s="110">
        <f t="shared" si="0"/>
        <v>2046</v>
      </c>
      <c r="C169" s="111">
        <f>[8]С2.5!$AE$11</f>
        <v>0</v>
      </c>
    </row>
    <row r="170" spans="2:3" hidden="1" x14ac:dyDescent="0.2">
      <c r="B170" s="110">
        <f t="shared" si="0"/>
        <v>2047</v>
      </c>
      <c r="C170" s="111">
        <f>[8]С2.5!$AF$11</f>
        <v>0</v>
      </c>
    </row>
    <row r="171" spans="2:3" hidden="1" x14ac:dyDescent="0.2">
      <c r="B171" s="110">
        <f t="shared" si="0"/>
        <v>2048</v>
      </c>
      <c r="C171" s="111">
        <f>[8]С2.5!$AG$11</f>
        <v>0</v>
      </c>
    </row>
    <row r="172" spans="2:3" hidden="1" x14ac:dyDescent="0.2">
      <c r="B172" s="110">
        <f t="shared" si="0"/>
        <v>2049</v>
      </c>
      <c r="C172" s="111">
        <f>[8]С2.5!$AH$11</f>
        <v>0</v>
      </c>
    </row>
    <row r="173" spans="2:3" hidden="1" x14ac:dyDescent="0.2">
      <c r="B173" s="110">
        <f t="shared" si="0"/>
        <v>2050</v>
      </c>
      <c r="C173" s="111">
        <f>[8]С2.5!$AI$11</f>
        <v>0</v>
      </c>
    </row>
    <row r="174" spans="2:3" hidden="1" x14ac:dyDescent="0.2">
      <c r="B174" s="110">
        <f t="shared" si="0"/>
        <v>2051</v>
      </c>
      <c r="C174" s="111">
        <f>[8]С2.5!$AJ$11</f>
        <v>0</v>
      </c>
    </row>
    <row r="175" spans="2:3" hidden="1" x14ac:dyDescent="0.2">
      <c r="B175" s="110">
        <f t="shared" si="0"/>
        <v>2052</v>
      </c>
      <c r="C175" s="111">
        <f>[8]С2.5!$AK$11</f>
        <v>0</v>
      </c>
    </row>
    <row r="176" spans="2:3" hidden="1" x14ac:dyDescent="0.2">
      <c r="B176" s="110">
        <f t="shared" si="0"/>
        <v>2053</v>
      </c>
      <c r="C176" s="111">
        <f>[8]С2.5!$AL$11</f>
        <v>0</v>
      </c>
    </row>
    <row r="177" spans="2:3" hidden="1" x14ac:dyDescent="0.2">
      <c r="B177" s="110">
        <f t="shared" si="0"/>
        <v>2054</v>
      </c>
      <c r="C177" s="111">
        <f>[8]С2.5!$AM$11</f>
        <v>0</v>
      </c>
    </row>
    <row r="178" spans="2:3" hidden="1" x14ac:dyDescent="0.2">
      <c r="B178" s="110">
        <f t="shared" si="0"/>
        <v>2055</v>
      </c>
      <c r="C178" s="111">
        <f>[8]С2.5!$AN$11</f>
        <v>0</v>
      </c>
    </row>
    <row r="179" spans="2:3" hidden="1" x14ac:dyDescent="0.2">
      <c r="B179" s="110">
        <f t="shared" si="0"/>
        <v>2056</v>
      </c>
      <c r="C179" s="111">
        <f>[8]С2.5!$AO$11</f>
        <v>0</v>
      </c>
    </row>
    <row r="180" spans="2:3" hidden="1" x14ac:dyDescent="0.2">
      <c r="B180" s="110">
        <f t="shared" si="0"/>
        <v>2057</v>
      </c>
      <c r="C180" s="111">
        <f>[8]С2.5!$AP$11</f>
        <v>0</v>
      </c>
    </row>
    <row r="181" spans="2:3" hidden="1" x14ac:dyDescent="0.2">
      <c r="B181" s="110">
        <f t="shared" si="0"/>
        <v>2058</v>
      </c>
      <c r="C181" s="111">
        <f>[8]С2.5!$AQ$11</f>
        <v>0</v>
      </c>
    </row>
    <row r="182" spans="2:3" hidden="1" x14ac:dyDescent="0.2">
      <c r="B182" s="110">
        <f t="shared" si="0"/>
        <v>2059</v>
      </c>
      <c r="C182" s="111">
        <f>[8]С2.5!$AR$11</f>
        <v>0</v>
      </c>
    </row>
    <row r="183" spans="2:3" hidden="1" x14ac:dyDescent="0.2">
      <c r="B183" s="110">
        <f t="shared" si="0"/>
        <v>2060</v>
      </c>
      <c r="C183" s="111">
        <f>[8]С2.5!$AS$11</f>
        <v>0</v>
      </c>
    </row>
    <row r="184" spans="2:3" hidden="1" x14ac:dyDescent="0.2">
      <c r="B184" s="110">
        <f t="shared" si="0"/>
        <v>2061</v>
      </c>
      <c r="C184" s="111">
        <f>[8]С2.5!$AT$11</f>
        <v>0</v>
      </c>
    </row>
    <row r="185" spans="2:3" hidden="1" x14ac:dyDescent="0.2">
      <c r="B185" s="110">
        <f t="shared" si="0"/>
        <v>2062</v>
      </c>
      <c r="C185" s="111">
        <f>[8]С2.5!$AU$11</f>
        <v>0</v>
      </c>
    </row>
    <row r="186" spans="2:3" hidden="1" x14ac:dyDescent="0.2">
      <c r="B186" s="110">
        <f t="shared" si="0"/>
        <v>2063</v>
      </c>
      <c r="C186" s="111">
        <f>[8]С2.5!$AV$11</f>
        <v>0</v>
      </c>
    </row>
    <row r="187" spans="2:3" hidden="1" x14ac:dyDescent="0.2">
      <c r="B187" s="110">
        <f t="shared" si="0"/>
        <v>2064</v>
      </c>
      <c r="C187" s="111">
        <f>[8]С2.5!$AW$11</f>
        <v>0</v>
      </c>
    </row>
    <row r="188" spans="2:3" hidden="1" x14ac:dyDescent="0.2">
      <c r="B188" s="110">
        <f t="shared" si="0"/>
        <v>2065</v>
      </c>
      <c r="C188" s="111">
        <f>[8]С2.5!$AX$11</f>
        <v>0</v>
      </c>
    </row>
    <row r="189" spans="2:3" hidden="1" x14ac:dyDescent="0.2">
      <c r="B189" s="110">
        <f t="shared" si="0"/>
        <v>2066</v>
      </c>
      <c r="C189" s="111">
        <f>[8]С2.5!$AY$11</f>
        <v>0</v>
      </c>
    </row>
    <row r="190" spans="2:3" hidden="1" x14ac:dyDescent="0.2">
      <c r="B190" s="110">
        <f t="shared" si="0"/>
        <v>2067</v>
      </c>
      <c r="C190" s="111">
        <f>[8]С2.5!$AZ$11</f>
        <v>0</v>
      </c>
    </row>
    <row r="191" spans="2:3" hidden="1" x14ac:dyDescent="0.2">
      <c r="B191" s="110">
        <f t="shared" si="0"/>
        <v>2068</v>
      </c>
      <c r="C191" s="111">
        <f>[8]С2.5!$BA$11</f>
        <v>0</v>
      </c>
    </row>
    <row r="192" spans="2:3" hidden="1" x14ac:dyDescent="0.2">
      <c r="B192" s="110">
        <f t="shared" si="0"/>
        <v>2069</v>
      </c>
      <c r="C192" s="111">
        <f>[8]С2.5!$BB$11</f>
        <v>0</v>
      </c>
    </row>
    <row r="193" spans="2:3" hidden="1" x14ac:dyDescent="0.2">
      <c r="B193" s="110">
        <f t="shared" si="0"/>
        <v>2070</v>
      </c>
      <c r="C193" s="111">
        <f>[8]С2.5!$BC$11</f>
        <v>0</v>
      </c>
    </row>
    <row r="194" spans="2:3" hidden="1" x14ac:dyDescent="0.2">
      <c r="B194" s="110">
        <f t="shared" si="0"/>
        <v>2071</v>
      </c>
      <c r="C194" s="111">
        <f>[8]С2.5!$BD$11</f>
        <v>0</v>
      </c>
    </row>
    <row r="195" spans="2:3" hidden="1" x14ac:dyDescent="0.2">
      <c r="B195" s="110">
        <f t="shared" si="0"/>
        <v>2072</v>
      </c>
      <c r="C195" s="111">
        <f>[8]С2.5!$BE$11</f>
        <v>0</v>
      </c>
    </row>
    <row r="196" spans="2:3" hidden="1" x14ac:dyDescent="0.2">
      <c r="B196" s="110">
        <f t="shared" si="0"/>
        <v>2073</v>
      </c>
      <c r="C196" s="111">
        <f>[8]С2.5!$BF$11</f>
        <v>0</v>
      </c>
    </row>
    <row r="197" spans="2:3" hidden="1" x14ac:dyDescent="0.2">
      <c r="B197" s="110">
        <f t="shared" si="0"/>
        <v>2074</v>
      </c>
      <c r="C197" s="111">
        <f>[8]С2.5!$BG$11</f>
        <v>0</v>
      </c>
    </row>
    <row r="198" spans="2:3" hidden="1" x14ac:dyDescent="0.2">
      <c r="B198" s="110">
        <f t="shared" si="0"/>
        <v>2075</v>
      </c>
      <c r="C198" s="111">
        <f>[8]С2.5!$BH$11</f>
        <v>0</v>
      </c>
    </row>
    <row r="199" spans="2:3" hidden="1" x14ac:dyDescent="0.2">
      <c r="B199" s="110">
        <f t="shared" si="0"/>
        <v>2076</v>
      </c>
      <c r="C199" s="111">
        <f>[8]С2.5!$BI$11</f>
        <v>0</v>
      </c>
    </row>
    <row r="200" spans="2:3" hidden="1" x14ac:dyDescent="0.2">
      <c r="B200" s="110">
        <f t="shared" si="0"/>
        <v>2077</v>
      </c>
      <c r="C200" s="111">
        <f>[8]С2.5!$BJ$11</f>
        <v>0</v>
      </c>
    </row>
    <row r="201" spans="2:3" hidden="1" x14ac:dyDescent="0.2">
      <c r="B201" s="110">
        <f t="shared" si="0"/>
        <v>2078</v>
      </c>
      <c r="C201" s="111">
        <f>[8]С2.5!$BK$11</f>
        <v>0</v>
      </c>
    </row>
    <row r="202" spans="2:3" hidden="1" x14ac:dyDescent="0.2">
      <c r="B202" s="110">
        <f t="shared" si="0"/>
        <v>2079</v>
      </c>
      <c r="C202" s="111">
        <f>[8]С2.5!$BL$11</f>
        <v>0</v>
      </c>
    </row>
    <row r="203" spans="2:3" hidden="1" x14ac:dyDescent="0.2">
      <c r="B203" s="110">
        <f t="shared" si="0"/>
        <v>2080</v>
      </c>
      <c r="C203" s="111">
        <f>[8]С2.5!$BM$11</f>
        <v>0</v>
      </c>
    </row>
    <row r="204" spans="2:3" hidden="1" x14ac:dyDescent="0.2">
      <c r="B204" s="110">
        <f t="shared" si="0"/>
        <v>2081</v>
      </c>
      <c r="C204" s="111">
        <f>[8]С2.5!$BN$11</f>
        <v>0</v>
      </c>
    </row>
    <row r="205" spans="2:3" hidden="1" x14ac:dyDescent="0.2">
      <c r="B205" s="110">
        <f t="shared" si="0"/>
        <v>2082</v>
      </c>
      <c r="C205" s="111">
        <f>[8]С2.5!$BO$11</f>
        <v>0</v>
      </c>
    </row>
    <row r="206" spans="2:3" hidden="1" x14ac:dyDescent="0.2">
      <c r="B206" s="110">
        <f t="shared" si="0"/>
        <v>2083</v>
      </c>
      <c r="C206" s="111">
        <f>[8]С2.5!$BP$11</f>
        <v>0</v>
      </c>
    </row>
    <row r="207" spans="2:3" hidden="1" x14ac:dyDescent="0.2">
      <c r="B207" s="110">
        <f t="shared" si="0"/>
        <v>2084</v>
      </c>
      <c r="C207" s="111">
        <f>[8]С2.5!$BQ$11</f>
        <v>0</v>
      </c>
    </row>
    <row r="208" spans="2:3" hidden="1" x14ac:dyDescent="0.2">
      <c r="B208" s="110">
        <f t="shared" si="0"/>
        <v>2085</v>
      </c>
      <c r="C208" s="111">
        <f>[8]С2.5!$BR$11</f>
        <v>0</v>
      </c>
    </row>
    <row r="209" spans="2:3" hidden="1" x14ac:dyDescent="0.2">
      <c r="B209" s="110">
        <f t="shared" ref="B209:B223" si="1">B208+1</f>
        <v>2086</v>
      </c>
      <c r="C209" s="111">
        <f>[8]С2.5!$BS$11</f>
        <v>0</v>
      </c>
    </row>
    <row r="210" spans="2:3" hidden="1" x14ac:dyDescent="0.2">
      <c r="B210" s="110">
        <f t="shared" si="1"/>
        <v>2087</v>
      </c>
      <c r="C210" s="111">
        <f>[8]С2.5!$BT$11</f>
        <v>0</v>
      </c>
    </row>
    <row r="211" spans="2:3" hidden="1" x14ac:dyDescent="0.2">
      <c r="B211" s="110">
        <f t="shared" si="1"/>
        <v>2088</v>
      </c>
      <c r="C211" s="111">
        <f>[8]С2.5!$BU$11</f>
        <v>0</v>
      </c>
    </row>
    <row r="212" spans="2:3" hidden="1" x14ac:dyDescent="0.2">
      <c r="B212" s="110">
        <f t="shared" si="1"/>
        <v>2089</v>
      </c>
      <c r="C212" s="111">
        <f>[8]С2.5!$BV$11</f>
        <v>0</v>
      </c>
    </row>
    <row r="213" spans="2:3" hidden="1" x14ac:dyDescent="0.2">
      <c r="B213" s="110">
        <f t="shared" si="1"/>
        <v>2090</v>
      </c>
      <c r="C213" s="111">
        <f>[8]С2.5!$BW$11</f>
        <v>0</v>
      </c>
    </row>
    <row r="214" spans="2:3" hidden="1" x14ac:dyDescent="0.2">
      <c r="B214" s="110">
        <f t="shared" si="1"/>
        <v>2091</v>
      </c>
      <c r="C214" s="111">
        <f>[8]С2.5!$BX$11</f>
        <v>0</v>
      </c>
    </row>
    <row r="215" spans="2:3" hidden="1" x14ac:dyDescent="0.2">
      <c r="B215" s="110">
        <f t="shared" si="1"/>
        <v>2092</v>
      </c>
      <c r="C215" s="111">
        <f>[8]С2.5!$BY$11</f>
        <v>0</v>
      </c>
    </row>
    <row r="216" spans="2:3" hidden="1" x14ac:dyDescent="0.2">
      <c r="B216" s="110">
        <f t="shared" si="1"/>
        <v>2093</v>
      </c>
      <c r="C216" s="111">
        <f>[8]С2.5!$BZ$11</f>
        <v>0</v>
      </c>
    </row>
    <row r="217" spans="2:3" hidden="1" x14ac:dyDescent="0.2">
      <c r="B217" s="110">
        <f t="shared" si="1"/>
        <v>2094</v>
      </c>
      <c r="C217" s="111">
        <f>[8]С2.5!$CA$11</f>
        <v>0</v>
      </c>
    </row>
    <row r="218" spans="2:3" hidden="1" x14ac:dyDescent="0.2">
      <c r="B218" s="110">
        <f t="shared" si="1"/>
        <v>2095</v>
      </c>
      <c r="C218" s="111">
        <f>[8]С2.5!$CB$11</f>
        <v>0</v>
      </c>
    </row>
    <row r="219" spans="2:3" hidden="1" x14ac:dyDescent="0.2">
      <c r="B219" s="110">
        <f t="shared" si="1"/>
        <v>2096</v>
      </c>
      <c r="C219" s="111">
        <f>[8]С2.5!$CC$11</f>
        <v>0</v>
      </c>
    </row>
    <row r="220" spans="2:3" hidden="1" x14ac:dyDescent="0.2">
      <c r="B220" s="110">
        <f t="shared" si="1"/>
        <v>2097</v>
      </c>
      <c r="C220" s="111">
        <f>[8]С2.5!$CD$11</f>
        <v>0</v>
      </c>
    </row>
    <row r="221" spans="2:3" hidden="1" x14ac:dyDescent="0.2">
      <c r="B221" s="110">
        <f t="shared" si="1"/>
        <v>2098</v>
      </c>
      <c r="C221" s="111">
        <f>[8]С2.5!$CE$11</f>
        <v>0</v>
      </c>
    </row>
    <row r="222" spans="2:3" hidden="1" x14ac:dyDescent="0.2">
      <c r="B222" s="110">
        <f t="shared" si="1"/>
        <v>2099</v>
      </c>
      <c r="C222" s="111">
        <f>[8]С2.5!$CF$11</f>
        <v>0</v>
      </c>
    </row>
    <row r="223" spans="2:3" ht="13.5" hidden="1" thickBot="1" x14ac:dyDescent="0.25">
      <c r="B223" s="112">
        <f t="shared" si="1"/>
        <v>2100</v>
      </c>
      <c r="C223" s="113">
        <f>[8]С2.5!$CG$11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28.5703125" style="118" customWidth="1"/>
    <col min="5" max="5" width="5.140625" style="2" customWidth="1"/>
    <col min="6" max="6" width="17.5703125" style="2" customWidth="1"/>
    <col min="7" max="250" width="9.140625" style="2"/>
    <col min="251" max="251" width="3.5703125" style="2" customWidth="1"/>
    <col min="252" max="252" width="96.85546875" style="2" customWidth="1"/>
    <col min="253" max="253" width="30.85546875" style="2" customWidth="1"/>
    <col min="254" max="254" width="12.5703125" style="2" customWidth="1"/>
    <col min="255" max="255" width="5.140625" style="2" customWidth="1"/>
    <col min="256" max="256" width="9.140625" style="2"/>
    <col min="257" max="257" width="4.85546875" style="2" customWidth="1"/>
    <col min="258" max="258" width="30.5703125" style="2" customWidth="1"/>
    <col min="259" max="259" width="33.85546875" style="2" customWidth="1"/>
    <col min="260" max="260" width="5.140625" style="2" customWidth="1"/>
    <col min="261" max="262" width="17.5703125" style="2" customWidth="1"/>
    <col min="263" max="506" width="9.140625" style="2"/>
    <col min="507" max="507" width="3.5703125" style="2" customWidth="1"/>
    <col min="508" max="508" width="96.85546875" style="2" customWidth="1"/>
    <col min="509" max="509" width="30.85546875" style="2" customWidth="1"/>
    <col min="510" max="510" width="12.5703125" style="2" customWidth="1"/>
    <col min="511" max="511" width="5.140625" style="2" customWidth="1"/>
    <col min="512" max="512" width="9.140625" style="2"/>
    <col min="513" max="513" width="4.85546875" style="2" customWidth="1"/>
    <col min="514" max="514" width="30.5703125" style="2" customWidth="1"/>
    <col min="515" max="515" width="33.85546875" style="2" customWidth="1"/>
    <col min="516" max="516" width="5.140625" style="2" customWidth="1"/>
    <col min="517" max="518" width="17.5703125" style="2" customWidth="1"/>
    <col min="519" max="762" width="9.140625" style="2"/>
    <col min="763" max="763" width="3.5703125" style="2" customWidth="1"/>
    <col min="764" max="764" width="96.85546875" style="2" customWidth="1"/>
    <col min="765" max="765" width="30.85546875" style="2" customWidth="1"/>
    <col min="766" max="766" width="12.5703125" style="2" customWidth="1"/>
    <col min="767" max="767" width="5.140625" style="2" customWidth="1"/>
    <col min="768" max="768" width="9.140625" style="2"/>
    <col min="769" max="769" width="4.85546875" style="2" customWidth="1"/>
    <col min="770" max="770" width="30.5703125" style="2" customWidth="1"/>
    <col min="771" max="771" width="33.85546875" style="2" customWidth="1"/>
    <col min="772" max="772" width="5.140625" style="2" customWidth="1"/>
    <col min="773" max="774" width="17.5703125" style="2" customWidth="1"/>
    <col min="775" max="1018" width="9.140625" style="2"/>
    <col min="1019" max="1019" width="3.5703125" style="2" customWidth="1"/>
    <col min="1020" max="1020" width="96.85546875" style="2" customWidth="1"/>
    <col min="1021" max="1021" width="30.85546875" style="2" customWidth="1"/>
    <col min="1022" max="1022" width="12.5703125" style="2" customWidth="1"/>
    <col min="1023" max="1023" width="5.140625" style="2" customWidth="1"/>
    <col min="1024" max="1024" width="9.140625" style="2"/>
    <col min="1025" max="1025" width="4.85546875" style="2" customWidth="1"/>
    <col min="1026" max="1026" width="30.5703125" style="2" customWidth="1"/>
    <col min="1027" max="1027" width="33.85546875" style="2" customWidth="1"/>
    <col min="1028" max="1028" width="5.140625" style="2" customWidth="1"/>
    <col min="1029" max="1030" width="17.5703125" style="2" customWidth="1"/>
    <col min="1031" max="1274" width="9.140625" style="2"/>
    <col min="1275" max="1275" width="3.5703125" style="2" customWidth="1"/>
    <col min="1276" max="1276" width="96.85546875" style="2" customWidth="1"/>
    <col min="1277" max="1277" width="30.85546875" style="2" customWidth="1"/>
    <col min="1278" max="1278" width="12.5703125" style="2" customWidth="1"/>
    <col min="1279" max="1279" width="5.140625" style="2" customWidth="1"/>
    <col min="1280" max="1280" width="9.140625" style="2"/>
    <col min="1281" max="1281" width="4.85546875" style="2" customWidth="1"/>
    <col min="1282" max="1282" width="30.5703125" style="2" customWidth="1"/>
    <col min="1283" max="1283" width="33.85546875" style="2" customWidth="1"/>
    <col min="1284" max="1284" width="5.140625" style="2" customWidth="1"/>
    <col min="1285" max="1286" width="17.5703125" style="2" customWidth="1"/>
    <col min="1287" max="1530" width="9.140625" style="2"/>
    <col min="1531" max="1531" width="3.5703125" style="2" customWidth="1"/>
    <col min="1532" max="1532" width="96.85546875" style="2" customWidth="1"/>
    <col min="1533" max="1533" width="30.85546875" style="2" customWidth="1"/>
    <col min="1534" max="1534" width="12.5703125" style="2" customWidth="1"/>
    <col min="1535" max="1535" width="5.140625" style="2" customWidth="1"/>
    <col min="1536" max="1536" width="9.140625" style="2"/>
    <col min="1537" max="1537" width="4.85546875" style="2" customWidth="1"/>
    <col min="1538" max="1538" width="30.5703125" style="2" customWidth="1"/>
    <col min="1539" max="1539" width="33.85546875" style="2" customWidth="1"/>
    <col min="1540" max="1540" width="5.140625" style="2" customWidth="1"/>
    <col min="1541" max="1542" width="17.5703125" style="2" customWidth="1"/>
    <col min="1543" max="1786" width="9.140625" style="2"/>
    <col min="1787" max="1787" width="3.5703125" style="2" customWidth="1"/>
    <col min="1788" max="1788" width="96.85546875" style="2" customWidth="1"/>
    <col min="1789" max="1789" width="30.85546875" style="2" customWidth="1"/>
    <col min="1790" max="1790" width="12.5703125" style="2" customWidth="1"/>
    <col min="1791" max="1791" width="5.140625" style="2" customWidth="1"/>
    <col min="1792" max="1792" width="9.140625" style="2"/>
    <col min="1793" max="1793" width="4.85546875" style="2" customWidth="1"/>
    <col min="1794" max="1794" width="30.5703125" style="2" customWidth="1"/>
    <col min="1795" max="1795" width="33.85546875" style="2" customWidth="1"/>
    <col min="1796" max="1796" width="5.140625" style="2" customWidth="1"/>
    <col min="1797" max="1798" width="17.5703125" style="2" customWidth="1"/>
    <col min="1799" max="2042" width="9.140625" style="2"/>
    <col min="2043" max="2043" width="3.5703125" style="2" customWidth="1"/>
    <col min="2044" max="2044" width="96.85546875" style="2" customWidth="1"/>
    <col min="2045" max="2045" width="30.85546875" style="2" customWidth="1"/>
    <col min="2046" max="2046" width="12.5703125" style="2" customWidth="1"/>
    <col min="2047" max="2047" width="5.140625" style="2" customWidth="1"/>
    <col min="2048" max="2048" width="9.140625" style="2"/>
    <col min="2049" max="2049" width="4.85546875" style="2" customWidth="1"/>
    <col min="2050" max="2050" width="30.5703125" style="2" customWidth="1"/>
    <col min="2051" max="2051" width="33.85546875" style="2" customWidth="1"/>
    <col min="2052" max="2052" width="5.140625" style="2" customWidth="1"/>
    <col min="2053" max="2054" width="17.5703125" style="2" customWidth="1"/>
    <col min="2055" max="2298" width="9.140625" style="2"/>
    <col min="2299" max="2299" width="3.5703125" style="2" customWidth="1"/>
    <col min="2300" max="2300" width="96.85546875" style="2" customWidth="1"/>
    <col min="2301" max="2301" width="30.85546875" style="2" customWidth="1"/>
    <col min="2302" max="2302" width="12.5703125" style="2" customWidth="1"/>
    <col min="2303" max="2303" width="5.140625" style="2" customWidth="1"/>
    <col min="2304" max="2304" width="9.140625" style="2"/>
    <col min="2305" max="2305" width="4.85546875" style="2" customWidth="1"/>
    <col min="2306" max="2306" width="30.5703125" style="2" customWidth="1"/>
    <col min="2307" max="2307" width="33.85546875" style="2" customWidth="1"/>
    <col min="2308" max="2308" width="5.140625" style="2" customWidth="1"/>
    <col min="2309" max="2310" width="17.5703125" style="2" customWidth="1"/>
    <col min="2311" max="2554" width="9.140625" style="2"/>
    <col min="2555" max="2555" width="3.5703125" style="2" customWidth="1"/>
    <col min="2556" max="2556" width="96.85546875" style="2" customWidth="1"/>
    <col min="2557" max="2557" width="30.85546875" style="2" customWidth="1"/>
    <col min="2558" max="2558" width="12.5703125" style="2" customWidth="1"/>
    <col min="2559" max="2559" width="5.140625" style="2" customWidth="1"/>
    <col min="2560" max="2560" width="9.140625" style="2"/>
    <col min="2561" max="2561" width="4.85546875" style="2" customWidth="1"/>
    <col min="2562" max="2562" width="30.5703125" style="2" customWidth="1"/>
    <col min="2563" max="2563" width="33.85546875" style="2" customWidth="1"/>
    <col min="2564" max="2564" width="5.140625" style="2" customWidth="1"/>
    <col min="2565" max="2566" width="17.5703125" style="2" customWidth="1"/>
    <col min="2567" max="2810" width="9.140625" style="2"/>
    <col min="2811" max="2811" width="3.5703125" style="2" customWidth="1"/>
    <col min="2812" max="2812" width="96.85546875" style="2" customWidth="1"/>
    <col min="2813" max="2813" width="30.85546875" style="2" customWidth="1"/>
    <col min="2814" max="2814" width="12.5703125" style="2" customWidth="1"/>
    <col min="2815" max="2815" width="5.140625" style="2" customWidth="1"/>
    <col min="2816" max="2816" width="9.140625" style="2"/>
    <col min="2817" max="2817" width="4.85546875" style="2" customWidth="1"/>
    <col min="2818" max="2818" width="30.5703125" style="2" customWidth="1"/>
    <col min="2819" max="2819" width="33.85546875" style="2" customWidth="1"/>
    <col min="2820" max="2820" width="5.140625" style="2" customWidth="1"/>
    <col min="2821" max="2822" width="17.5703125" style="2" customWidth="1"/>
    <col min="2823" max="3066" width="9.140625" style="2"/>
    <col min="3067" max="3067" width="3.5703125" style="2" customWidth="1"/>
    <col min="3068" max="3068" width="96.85546875" style="2" customWidth="1"/>
    <col min="3069" max="3069" width="30.85546875" style="2" customWidth="1"/>
    <col min="3070" max="3070" width="12.5703125" style="2" customWidth="1"/>
    <col min="3071" max="3071" width="5.140625" style="2" customWidth="1"/>
    <col min="3072" max="3072" width="9.140625" style="2"/>
    <col min="3073" max="3073" width="4.85546875" style="2" customWidth="1"/>
    <col min="3074" max="3074" width="30.5703125" style="2" customWidth="1"/>
    <col min="3075" max="3075" width="33.85546875" style="2" customWidth="1"/>
    <col min="3076" max="3076" width="5.140625" style="2" customWidth="1"/>
    <col min="3077" max="3078" width="17.5703125" style="2" customWidth="1"/>
    <col min="3079" max="3322" width="9.140625" style="2"/>
    <col min="3323" max="3323" width="3.5703125" style="2" customWidth="1"/>
    <col min="3324" max="3324" width="96.85546875" style="2" customWidth="1"/>
    <col min="3325" max="3325" width="30.85546875" style="2" customWidth="1"/>
    <col min="3326" max="3326" width="12.5703125" style="2" customWidth="1"/>
    <col min="3327" max="3327" width="5.140625" style="2" customWidth="1"/>
    <col min="3328" max="3328" width="9.140625" style="2"/>
    <col min="3329" max="3329" width="4.85546875" style="2" customWidth="1"/>
    <col min="3330" max="3330" width="30.5703125" style="2" customWidth="1"/>
    <col min="3331" max="3331" width="33.85546875" style="2" customWidth="1"/>
    <col min="3332" max="3332" width="5.140625" style="2" customWidth="1"/>
    <col min="3333" max="3334" width="17.5703125" style="2" customWidth="1"/>
    <col min="3335" max="3578" width="9.140625" style="2"/>
    <col min="3579" max="3579" width="3.5703125" style="2" customWidth="1"/>
    <col min="3580" max="3580" width="96.85546875" style="2" customWidth="1"/>
    <col min="3581" max="3581" width="30.85546875" style="2" customWidth="1"/>
    <col min="3582" max="3582" width="12.5703125" style="2" customWidth="1"/>
    <col min="3583" max="3583" width="5.140625" style="2" customWidth="1"/>
    <col min="3584" max="3584" width="9.140625" style="2"/>
    <col min="3585" max="3585" width="4.85546875" style="2" customWidth="1"/>
    <col min="3586" max="3586" width="30.5703125" style="2" customWidth="1"/>
    <col min="3587" max="3587" width="33.85546875" style="2" customWidth="1"/>
    <col min="3588" max="3588" width="5.140625" style="2" customWidth="1"/>
    <col min="3589" max="3590" width="17.5703125" style="2" customWidth="1"/>
    <col min="3591" max="3834" width="9.140625" style="2"/>
    <col min="3835" max="3835" width="3.5703125" style="2" customWidth="1"/>
    <col min="3836" max="3836" width="96.85546875" style="2" customWidth="1"/>
    <col min="3837" max="3837" width="30.85546875" style="2" customWidth="1"/>
    <col min="3838" max="3838" width="12.5703125" style="2" customWidth="1"/>
    <col min="3839" max="3839" width="5.140625" style="2" customWidth="1"/>
    <col min="3840" max="3840" width="9.140625" style="2"/>
    <col min="3841" max="3841" width="4.85546875" style="2" customWidth="1"/>
    <col min="3842" max="3842" width="30.5703125" style="2" customWidth="1"/>
    <col min="3843" max="3843" width="33.85546875" style="2" customWidth="1"/>
    <col min="3844" max="3844" width="5.140625" style="2" customWidth="1"/>
    <col min="3845" max="3846" width="17.5703125" style="2" customWidth="1"/>
    <col min="3847" max="4090" width="9.140625" style="2"/>
    <col min="4091" max="4091" width="3.5703125" style="2" customWidth="1"/>
    <col min="4092" max="4092" width="96.85546875" style="2" customWidth="1"/>
    <col min="4093" max="4093" width="30.85546875" style="2" customWidth="1"/>
    <col min="4094" max="4094" width="12.5703125" style="2" customWidth="1"/>
    <col min="4095" max="4095" width="5.140625" style="2" customWidth="1"/>
    <col min="4096" max="4096" width="9.140625" style="2"/>
    <col min="4097" max="4097" width="4.85546875" style="2" customWidth="1"/>
    <col min="4098" max="4098" width="30.5703125" style="2" customWidth="1"/>
    <col min="4099" max="4099" width="33.85546875" style="2" customWidth="1"/>
    <col min="4100" max="4100" width="5.140625" style="2" customWidth="1"/>
    <col min="4101" max="4102" width="17.5703125" style="2" customWidth="1"/>
    <col min="4103" max="4346" width="9.140625" style="2"/>
    <col min="4347" max="4347" width="3.5703125" style="2" customWidth="1"/>
    <col min="4348" max="4348" width="96.85546875" style="2" customWidth="1"/>
    <col min="4349" max="4349" width="30.85546875" style="2" customWidth="1"/>
    <col min="4350" max="4350" width="12.5703125" style="2" customWidth="1"/>
    <col min="4351" max="4351" width="5.140625" style="2" customWidth="1"/>
    <col min="4352" max="4352" width="9.140625" style="2"/>
    <col min="4353" max="4353" width="4.85546875" style="2" customWidth="1"/>
    <col min="4354" max="4354" width="30.5703125" style="2" customWidth="1"/>
    <col min="4355" max="4355" width="33.85546875" style="2" customWidth="1"/>
    <col min="4356" max="4356" width="5.140625" style="2" customWidth="1"/>
    <col min="4357" max="4358" width="17.5703125" style="2" customWidth="1"/>
    <col min="4359" max="4602" width="9.140625" style="2"/>
    <col min="4603" max="4603" width="3.5703125" style="2" customWidth="1"/>
    <col min="4604" max="4604" width="96.85546875" style="2" customWidth="1"/>
    <col min="4605" max="4605" width="30.85546875" style="2" customWidth="1"/>
    <col min="4606" max="4606" width="12.5703125" style="2" customWidth="1"/>
    <col min="4607" max="4607" width="5.140625" style="2" customWidth="1"/>
    <col min="4608" max="4608" width="9.140625" style="2"/>
    <col min="4609" max="4609" width="4.85546875" style="2" customWidth="1"/>
    <col min="4610" max="4610" width="30.5703125" style="2" customWidth="1"/>
    <col min="4611" max="4611" width="33.85546875" style="2" customWidth="1"/>
    <col min="4612" max="4612" width="5.140625" style="2" customWidth="1"/>
    <col min="4613" max="4614" width="17.5703125" style="2" customWidth="1"/>
    <col min="4615" max="4858" width="9.140625" style="2"/>
    <col min="4859" max="4859" width="3.5703125" style="2" customWidth="1"/>
    <col min="4860" max="4860" width="96.85546875" style="2" customWidth="1"/>
    <col min="4861" max="4861" width="30.85546875" style="2" customWidth="1"/>
    <col min="4862" max="4862" width="12.5703125" style="2" customWidth="1"/>
    <col min="4863" max="4863" width="5.140625" style="2" customWidth="1"/>
    <col min="4864" max="4864" width="9.140625" style="2"/>
    <col min="4865" max="4865" width="4.85546875" style="2" customWidth="1"/>
    <col min="4866" max="4866" width="30.5703125" style="2" customWidth="1"/>
    <col min="4867" max="4867" width="33.85546875" style="2" customWidth="1"/>
    <col min="4868" max="4868" width="5.140625" style="2" customWidth="1"/>
    <col min="4869" max="4870" width="17.5703125" style="2" customWidth="1"/>
    <col min="4871" max="5114" width="9.140625" style="2"/>
    <col min="5115" max="5115" width="3.5703125" style="2" customWidth="1"/>
    <col min="5116" max="5116" width="96.85546875" style="2" customWidth="1"/>
    <col min="5117" max="5117" width="30.85546875" style="2" customWidth="1"/>
    <col min="5118" max="5118" width="12.5703125" style="2" customWidth="1"/>
    <col min="5119" max="5119" width="5.140625" style="2" customWidth="1"/>
    <col min="5120" max="5120" width="9.140625" style="2"/>
    <col min="5121" max="5121" width="4.85546875" style="2" customWidth="1"/>
    <col min="5122" max="5122" width="30.5703125" style="2" customWidth="1"/>
    <col min="5123" max="5123" width="33.85546875" style="2" customWidth="1"/>
    <col min="5124" max="5124" width="5.140625" style="2" customWidth="1"/>
    <col min="5125" max="5126" width="17.5703125" style="2" customWidth="1"/>
    <col min="5127" max="5370" width="9.140625" style="2"/>
    <col min="5371" max="5371" width="3.5703125" style="2" customWidth="1"/>
    <col min="5372" max="5372" width="96.85546875" style="2" customWidth="1"/>
    <col min="5373" max="5373" width="30.85546875" style="2" customWidth="1"/>
    <col min="5374" max="5374" width="12.5703125" style="2" customWidth="1"/>
    <col min="5375" max="5375" width="5.140625" style="2" customWidth="1"/>
    <col min="5376" max="5376" width="9.140625" style="2"/>
    <col min="5377" max="5377" width="4.85546875" style="2" customWidth="1"/>
    <col min="5378" max="5378" width="30.5703125" style="2" customWidth="1"/>
    <col min="5379" max="5379" width="33.85546875" style="2" customWidth="1"/>
    <col min="5380" max="5380" width="5.140625" style="2" customWidth="1"/>
    <col min="5381" max="5382" width="17.5703125" style="2" customWidth="1"/>
    <col min="5383" max="5626" width="9.140625" style="2"/>
    <col min="5627" max="5627" width="3.5703125" style="2" customWidth="1"/>
    <col min="5628" max="5628" width="96.85546875" style="2" customWidth="1"/>
    <col min="5629" max="5629" width="30.85546875" style="2" customWidth="1"/>
    <col min="5630" max="5630" width="12.5703125" style="2" customWidth="1"/>
    <col min="5631" max="5631" width="5.140625" style="2" customWidth="1"/>
    <col min="5632" max="5632" width="9.140625" style="2"/>
    <col min="5633" max="5633" width="4.85546875" style="2" customWidth="1"/>
    <col min="5634" max="5634" width="30.5703125" style="2" customWidth="1"/>
    <col min="5635" max="5635" width="33.85546875" style="2" customWidth="1"/>
    <col min="5636" max="5636" width="5.140625" style="2" customWidth="1"/>
    <col min="5637" max="5638" width="17.5703125" style="2" customWidth="1"/>
    <col min="5639" max="5882" width="9.140625" style="2"/>
    <col min="5883" max="5883" width="3.5703125" style="2" customWidth="1"/>
    <col min="5884" max="5884" width="96.85546875" style="2" customWidth="1"/>
    <col min="5885" max="5885" width="30.85546875" style="2" customWidth="1"/>
    <col min="5886" max="5886" width="12.5703125" style="2" customWidth="1"/>
    <col min="5887" max="5887" width="5.140625" style="2" customWidth="1"/>
    <col min="5888" max="5888" width="9.140625" style="2"/>
    <col min="5889" max="5889" width="4.85546875" style="2" customWidth="1"/>
    <col min="5890" max="5890" width="30.5703125" style="2" customWidth="1"/>
    <col min="5891" max="5891" width="33.85546875" style="2" customWidth="1"/>
    <col min="5892" max="5892" width="5.140625" style="2" customWidth="1"/>
    <col min="5893" max="5894" width="17.5703125" style="2" customWidth="1"/>
    <col min="5895" max="6138" width="9.140625" style="2"/>
    <col min="6139" max="6139" width="3.5703125" style="2" customWidth="1"/>
    <col min="6140" max="6140" width="96.85546875" style="2" customWidth="1"/>
    <col min="6141" max="6141" width="30.85546875" style="2" customWidth="1"/>
    <col min="6142" max="6142" width="12.5703125" style="2" customWidth="1"/>
    <col min="6143" max="6143" width="5.140625" style="2" customWidth="1"/>
    <col min="6144" max="6144" width="9.140625" style="2"/>
    <col min="6145" max="6145" width="4.85546875" style="2" customWidth="1"/>
    <col min="6146" max="6146" width="30.5703125" style="2" customWidth="1"/>
    <col min="6147" max="6147" width="33.85546875" style="2" customWidth="1"/>
    <col min="6148" max="6148" width="5.140625" style="2" customWidth="1"/>
    <col min="6149" max="6150" width="17.5703125" style="2" customWidth="1"/>
    <col min="6151" max="6394" width="9.140625" style="2"/>
    <col min="6395" max="6395" width="3.5703125" style="2" customWidth="1"/>
    <col min="6396" max="6396" width="96.85546875" style="2" customWidth="1"/>
    <col min="6397" max="6397" width="30.85546875" style="2" customWidth="1"/>
    <col min="6398" max="6398" width="12.5703125" style="2" customWidth="1"/>
    <col min="6399" max="6399" width="5.140625" style="2" customWidth="1"/>
    <col min="6400" max="6400" width="9.140625" style="2"/>
    <col min="6401" max="6401" width="4.85546875" style="2" customWidth="1"/>
    <col min="6402" max="6402" width="30.5703125" style="2" customWidth="1"/>
    <col min="6403" max="6403" width="33.85546875" style="2" customWidth="1"/>
    <col min="6404" max="6404" width="5.140625" style="2" customWidth="1"/>
    <col min="6405" max="6406" width="17.5703125" style="2" customWidth="1"/>
    <col min="6407" max="6650" width="9.140625" style="2"/>
    <col min="6651" max="6651" width="3.5703125" style="2" customWidth="1"/>
    <col min="6652" max="6652" width="96.85546875" style="2" customWidth="1"/>
    <col min="6653" max="6653" width="30.85546875" style="2" customWidth="1"/>
    <col min="6654" max="6654" width="12.5703125" style="2" customWidth="1"/>
    <col min="6655" max="6655" width="5.140625" style="2" customWidth="1"/>
    <col min="6656" max="6656" width="9.140625" style="2"/>
    <col min="6657" max="6657" width="4.85546875" style="2" customWidth="1"/>
    <col min="6658" max="6658" width="30.5703125" style="2" customWidth="1"/>
    <col min="6659" max="6659" width="33.85546875" style="2" customWidth="1"/>
    <col min="6660" max="6660" width="5.140625" style="2" customWidth="1"/>
    <col min="6661" max="6662" width="17.5703125" style="2" customWidth="1"/>
    <col min="6663" max="6906" width="9.140625" style="2"/>
    <col min="6907" max="6907" width="3.5703125" style="2" customWidth="1"/>
    <col min="6908" max="6908" width="96.85546875" style="2" customWidth="1"/>
    <col min="6909" max="6909" width="30.85546875" style="2" customWidth="1"/>
    <col min="6910" max="6910" width="12.5703125" style="2" customWidth="1"/>
    <col min="6911" max="6911" width="5.140625" style="2" customWidth="1"/>
    <col min="6912" max="6912" width="9.140625" style="2"/>
    <col min="6913" max="6913" width="4.85546875" style="2" customWidth="1"/>
    <col min="6914" max="6914" width="30.5703125" style="2" customWidth="1"/>
    <col min="6915" max="6915" width="33.85546875" style="2" customWidth="1"/>
    <col min="6916" max="6916" width="5.140625" style="2" customWidth="1"/>
    <col min="6917" max="6918" width="17.5703125" style="2" customWidth="1"/>
    <col min="6919" max="7162" width="9.140625" style="2"/>
    <col min="7163" max="7163" width="3.5703125" style="2" customWidth="1"/>
    <col min="7164" max="7164" width="96.85546875" style="2" customWidth="1"/>
    <col min="7165" max="7165" width="30.85546875" style="2" customWidth="1"/>
    <col min="7166" max="7166" width="12.5703125" style="2" customWidth="1"/>
    <col min="7167" max="7167" width="5.140625" style="2" customWidth="1"/>
    <col min="7168" max="7168" width="9.140625" style="2"/>
    <col min="7169" max="7169" width="4.85546875" style="2" customWidth="1"/>
    <col min="7170" max="7170" width="30.5703125" style="2" customWidth="1"/>
    <col min="7171" max="7171" width="33.85546875" style="2" customWidth="1"/>
    <col min="7172" max="7172" width="5.140625" style="2" customWidth="1"/>
    <col min="7173" max="7174" width="17.5703125" style="2" customWidth="1"/>
    <col min="7175" max="7418" width="9.140625" style="2"/>
    <col min="7419" max="7419" width="3.5703125" style="2" customWidth="1"/>
    <col min="7420" max="7420" width="96.85546875" style="2" customWidth="1"/>
    <col min="7421" max="7421" width="30.85546875" style="2" customWidth="1"/>
    <col min="7422" max="7422" width="12.5703125" style="2" customWidth="1"/>
    <col min="7423" max="7423" width="5.140625" style="2" customWidth="1"/>
    <col min="7424" max="7424" width="9.140625" style="2"/>
    <col min="7425" max="7425" width="4.85546875" style="2" customWidth="1"/>
    <col min="7426" max="7426" width="30.5703125" style="2" customWidth="1"/>
    <col min="7427" max="7427" width="33.85546875" style="2" customWidth="1"/>
    <col min="7428" max="7428" width="5.140625" style="2" customWidth="1"/>
    <col min="7429" max="7430" width="17.5703125" style="2" customWidth="1"/>
    <col min="7431" max="7674" width="9.140625" style="2"/>
    <col min="7675" max="7675" width="3.5703125" style="2" customWidth="1"/>
    <col min="7676" max="7676" width="96.85546875" style="2" customWidth="1"/>
    <col min="7677" max="7677" width="30.85546875" style="2" customWidth="1"/>
    <col min="7678" max="7678" width="12.5703125" style="2" customWidth="1"/>
    <col min="7679" max="7679" width="5.140625" style="2" customWidth="1"/>
    <col min="7680" max="7680" width="9.140625" style="2"/>
    <col min="7681" max="7681" width="4.85546875" style="2" customWidth="1"/>
    <col min="7682" max="7682" width="30.5703125" style="2" customWidth="1"/>
    <col min="7683" max="7683" width="33.85546875" style="2" customWidth="1"/>
    <col min="7684" max="7684" width="5.140625" style="2" customWidth="1"/>
    <col min="7685" max="7686" width="17.5703125" style="2" customWidth="1"/>
    <col min="7687" max="7930" width="9.140625" style="2"/>
    <col min="7931" max="7931" width="3.5703125" style="2" customWidth="1"/>
    <col min="7932" max="7932" width="96.85546875" style="2" customWidth="1"/>
    <col min="7933" max="7933" width="30.85546875" style="2" customWidth="1"/>
    <col min="7934" max="7934" width="12.5703125" style="2" customWidth="1"/>
    <col min="7935" max="7935" width="5.140625" style="2" customWidth="1"/>
    <col min="7936" max="7936" width="9.140625" style="2"/>
    <col min="7937" max="7937" width="4.85546875" style="2" customWidth="1"/>
    <col min="7938" max="7938" width="30.5703125" style="2" customWidth="1"/>
    <col min="7939" max="7939" width="33.85546875" style="2" customWidth="1"/>
    <col min="7940" max="7940" width="5.140625" style="2" customWidth="1"/>
    <col min="7941" max="7942" width="17.5703125" style="2" customWidth="1"/>
    <col min="7943" max="8186" width="9.140625" style="2"/>
    <col min="8187" max="8187" width="3.5703125" style="2" customWidth="1"/>
    <col min="8188" max="8188" width="96.85546875" style="2" customWidth="1"/>
    <col min="8189" max="8189" width="30.85546875" style="2" customWidth="1"/>
    <col min="8190" max="8190" width="12.5703125" style="2" customWidth="1"/>
    <col min="8191" max="8191" width="5.140625" style="2" customWidth="1"/>
    <col min="8192" max="8192" width="9.140625" style="2"/>
    <col min="8193" max="8193" width="4.85546875" style="2" customWidth="1"/>
    <col min="8194" max="8194" width="30.5703125" style="2" customWidth="1"/>
    <col min="8195" max="8195" width="33.85546875" style="2" customWidth="1"/>
    <col min="8196" max="8196" width="5.140625" style="2" customWidth="1"/>
    <col min="8197" max="8198" width="17.5703125" style="2" customWidth="1"/>
    <col min="8199" max="8442" width="9.140625" style="2"/>
    <col min="8443" max="8443" width="3.5703125" style="2" customWidth="1"/>
    <col min="8444" max="8444" width="96.85546875" style="2" customWidth="1"/>
    <col min="8445" max="8445" width="30.85546875" style="2" customWidth="1"/>
    <col min="8446" max="8446" width="12.5703125" style="2" customWidth="1"/>
    <col min="8447" max="8447" width="5.140625" style="2" customWidth="1"/>
    <col min="8448" max="8448" width="9.140625" style="2"/>
    <col min="8449" max="8449" width="4.85546875" style="2" customWidth="1"/>
    <col min="8450" max="8450" width="30.5703125" style="2" customWidth="1"/>
    <col min="8451" max="8451" width="33.85546875" style="2" customWidth="1"/>
    <col min="8452" max="8452" width="5.140625" style="2" customWidth="1"/>
    <col min="8453" max="8454" width="17.5703125" style="2" customWidth="1"/>
    <col min="8455" max="8698" width="9.140625" style="2"/>
    <col min="8699" max="8699" width="3.5703125" style="2" customWidth="1"/>
    <col min="8700" max="8700" width="96.85546875" style="2" customWidth="1"/>
    <col min="8701" max="8701" width="30.85546875" style="2" customWidth="1"/>
    <col min="8702" max="8702" width="12.5703125" style="2" customWidth="1"/>
    <col min="8703" max="8703" width="5.140625" style="2" customWidth="1"/>
    <col min="8704" max="8704" width="9.140625" style="2"/>
    <col min="8705" max="8705" width="4.85546875" style="2" customWidth="1"/>
    <col min="8706" max="8706" width="30.5703125" style="2" customWidth="1"/>
    <col min="8707" max="8707" width="33.85546875" style="2" customWidth="1"/>
    <col min="8708" max="8708" width="5.140625" style="2" customWidth="1"/>
    <col min="8709" max="8710" width="17.5703125" style="2" customWidth="1"/>
    <col min="8711" max="8954" width="9.140625" style="2"/>
    <col min="8955" max="8955" width="3.5703125" style="2" customWidth="1"/>
    <col min="8956" max="8956" width="96.85546875" style="2" customWidth="1"/>
    <col min="8957" max="8957" width="30.85546875" style="2" customWidth="1"/>
    <col min="8958" max="8958" width="12.5703125" style="2" customWidth="1"/>
    <col min="8959" max="8959" width="5.140625" style="2" customWidth="1"/>
    <col min="8960" max="8960" width="9.140625" style="2"/>
    <col min="8961" max="8961" width="4.85546875" style="2" customWidth="1"/>
    <col min="8962" max="8962" width="30.5703125" style="2" customWidth="1"/>
    <col min="8963" max="8963" width="33.85546875" style="2" customWidth="1"/>
    <col min="8964" max="8964" width="5.140625" style="2" customWidth="1"/>
    <col min="8965" max="8966" width="17.5703125" style="2" customWidth="1"/>
    <col min="8967" max="9210" width="9.140625" style="2"/>
    <col min="9211" max="9211" width="3.5703125" style="2" customWidth="1"/>
    <col min="9212" max="9212" width="96.85546875" style="2" customWidth="1"/>
    <col min="9213" max="9213" width="30.85546875" style="2" customWidth="1"/>
    <col min="9214" max="9214" width="12.5703125" style="2" customWidth="1"/>
    <col min="9215" max="9215" width="5.140625" style="2" customWidth="1"/>
    <col min="9216" max="9216" width="9.140625" style="2"/>
    <col min="9217" max="9217" width="4.85546875" style="2" customWidth="1"/>
    <col min="9218" max="9218" width="30.5703125" style="2" customWidth="1"/>
    <col min="9219" max="9219" width="33.85546875" style="2" customWidth="1"/>
    <col min="9220" max="9220" width="5.140625" style="2" customWidth="1"/>
    <col min="9221" max="9222" width="17.5703125" style="2" customWidth="1"/>
    <col min="9223" max="9466" width="9.140625" style="2"/>
    <col min="9467" max="9467" width="3.5703125" style="2" customWidth="1"/>
    <col min="9468" max="9468" width="96.85546875" style="2" customWidth="1"/>
    <col min="9469" max="9469" width="30.85546875" style="2" customWidth="1"/>
    <col min="9470" max="9470" width="12.5703125" style="2" customWidth="1"/>
    <col min="9471" max="9471" width="5.140625" style="2" customWidth="1"/>
    <col min="9472" max="9472" width="9.140625" style="2"/>
    <col min="9473" max="9473" width="4.85546875" style="2" customWidth="1"/>
    <col min="9474" max="9474" width="30.5703125" style="2" customWidth="1"/>
    <col min="9475" max="9475" width="33.85546875" style="2" customWidth="1"/>
    <col min="9476" max="9476" width="5.140625" style="2" customWidth="1"/>
    <col min="9477" max="9478" width="17.5703125" style="2" customWidth="1"/>
    <col min="9479" max="9722" width="9.140625" style="2"/>
    <col min="9723" max="9723" width="3.5703125" style="2" customWidth="1"/>
    <col min="9724" max="9724" width="96.85546875" style="2" customWidth="1"/>
    <col min="9725" max="9725" width="30.85546875" style="2" customWidth="1"/>
    <col min="9726" max="9726" width="12.5703125" style="2" customWidth="1"/>
    <col min="9727" max="9727" width="5.140625" style="2" customWidth="1"/>
    <col min="9728" max="9728" width="9.140625" style="2"/>
    <col min="9729" max="9729" width="4.85546875" style="2" customWidth="1"/>
    <col min="9730" max="9730" width="30.5703125" style="2" customWidth="1"/>
    <col min="9731" max="9731" width="33.85546875" style="2" customWidth="1"/>
    <col min="9732" max="9732" width="5.140625" style="2" customWidth="1"/>
    <col min="9733" max="9734" width="17.5703125" style="2" customWidth="1"/>
    <col min="9735" max="9978" width="9.140625" style="2"/>
    <col min="9979" max="9979" width="3.5703125" style="2" customWidth="1"/>
    <col min="9980" max="9980" width="96.85546875" style="2" customWidth="1"/>
    <col min="9981" max="9981" width="30.85546875" style="2" customWidth="1"/>
    <col min="9982" max="9982" width="12.5703125" style="2" customWidth="1"/>
    <col min="9983" max="9983" width="5.140625" style="2" customWidth="1"/>
    <col min="9984" max="9984" width="9.140625" style="2"/>
    <col min="9985" max="9985" width="4.85546875" style="2" customWidth="1"/>
    <col min="9986" max="9986" width="30.5703125" style="2" customWidth="1"/>
    <col min="9987" max="9987" width="33.85546875" style="2" customWidth="1"/>
    <col min="9988" max="9988" width="5.140625" style="2" customWidth="1"/>
    <col min="9989" max="9990" width="17.5703125" style="2" customWidth="1"/>
    <col min="9991" max="10234" width="9.140625" style="2"/>
    <col min="10235" max="10235" width="3.5703125" style="2" customWidth="1"/>
    <col min="10236" max="10236" width="96.85546875" style="2" customWidth="1"/>
    <col min="10237" max="10237" width="30.85546875" style="2" customWidth="1"/>
    <col min="10238" max="10238" width="12.5703125" style="2" customWidth="1"/>
    <col min="10239" max="10239" width="5.140625" style="2" customWidth="1"/>
    <col min="10240" max="10240" width="9.140625" style="2"/>
    <col min="10241" max="10241" width="4.85546875" style="2" customWidth="1"/>
    <col min="10242" max="10242" width="30.5703125" style="2" customWidth="1"/>
    <col min="10243" max="10243" width="33.85546875" style="2" customWidth="1"/>
    <col min="10244" max="10244" width="5.140625" style="2" customWidth="1"/>
    <col min="10245" max="10246" width="17.5703125" style="2" customWidth="1"/>
    <col min="10247" max="10490" width="9.140625" style="2"/>
    <col min="10491" max="10491" width="3.5703125" style="2" customWidth="1"/>
    <col min="10492" max="10492" width="96.85546875" style="2" customWidth="1"/>
    <col min="10493" max="10493" width="30.85546875" style="2" customWidth="1"/>
    <col min="10494" max="10494" width="12.5703125" style="2" customWidth="1"/>
    <col min="10495" max="10495" width="5.140625" style="2" customWidth="1"/>
    <col min="10496" max="10496" width="9.140625" style="2"/>
    <col min="10497" max="10497" width="4.85546875" style="2" customWidth="1"/>
    <col min="10498" max="10498" width="30.5703125" style="2" customWidth="1"/>
    <col min="10499" max="10499" width="33.85546875" style="2" customWidth="1"/>
    <col min="10500" max="10500" width="5.140625" style="2" customWidth="1"/>
    <col min="10501" max="10502" width="17.5703125" style="2" customWidth="1"/>
    <col min="10503" max="10746" width="9.140625" style="2"/>
    <col min="10747" max="10747" width="3.5703125" style="2" customWidth="1"/>
    <col min="10748" max="10748" width="96.85546875" style="2" customWidth="1"/>
    <col min="10749" max="10749" width="30.85546875" style="2" customWidth="1"/>
    <col min="10750" max="10750" width="12.5703125" style="2" customWidth="1"/>
    <col min="10751" max="10751" width="5.140625" style="2" customWidth="1"/>
    <col min="10752" max="10752" width="9.140625" style="2"/>
    <col min="10753" max="10753" width="4.85546875" style="2" customWidth="1"/>
    <col min="10754" max="10754" width="30.5703125" style="2" customWidth="1"/>
    <col min="10755" max="10755" width="33.85546875" style="2" customWidth="1"/>
    <col min="10756" max="10756" width="5.140625" style="2" customWidth="1"/>
    <col min="10757" max="10758" width="17.5703125" style="2" customWidth="1"/>
    <col min="10759" max="11002" width="9.140625" style="2"/>
    <col min="11003" max="11003" width="3.5703125" style="2" customWidth="1"/>
    <col min="11004" max="11004" width="96.85546875" style="2" customWidth="1"/>
    <col min="11005" max="11005" width="30.85546875" style="2" customWidth="1"/>
    <col min="11006" max="11006" width="12.5703125" style="2" customWidth="1"/>
    <col min="11007" max="11007" width="5.140625" style="2" customWidth="1"/>
    <col min="11008" max="11008" width="9.140625" style="2"/>
    <col min="11009" max="11009" width="4.85546875" style="2" customWidth="1"/>
    <col min="11010" max="11010" width="30.5703125" style="2" customWidth="1"/>
    <col min="11011" max="11011" width="33.85546875" style="2" customWidth="1"/>
    <col min="11012" max="11012" width="5.140625" style="2" customWidth="1"/>
    <col min="11013" max="11014" width="17.5703125" style="2" customWidth="1"/>
    <col min="11015" max="11258" width="9.140625" style="2"/>
    <col min="11259" max="11259" width="3.5703125" style="2" customWidth="1"/>
    <col min="11260" max="11260" width="96.85546875" style="2" customWidth="1"/>
    <col min="11261" max="11261" width="30.85546875" style="2" customWidth="1"/>
    <col min="11262" max="11262" width="12.5703125" style="2" customWidth="1"/>
    <col min="11263" max="11263" width="5.140625" style="2" customWidth="1"/>
    <col min="11264" max="11264" width="9.140625" style="2"/>
    <col min="11265" max="11265" width="4.85546875" style="2" customWidth="1"/>
    <col min="11266" max="11266" width="30.5703125" style="2" customWidth="1"/>
    <col min="11267" max="11267" width="33.85546875" style="2" customWidth="1"/>
    <col min="11268" max="11268" width="5.140625" style="2" customWidth="1"/>
    <col min="11269" max="11270" width="17.5703125" style="2" customWidth="1"/>
    <col min="11271" max="11514" width="9.140625" style="2"/>
    <col min="11515" max="11515" width="3.5703125" style="2" customWidth="1"/>
    <col min="11516" max="11516" width="96.85546875" style="2" customWidth="1"/>
    <col min="11517" max="11517" width="30.85546875" style="2" customWidth="1"/>
    <col min="11518" max="11518" width="12.5703125" style="2" customWidth="1"/>
    <col min="11519" max="11519" width="5.140625" style="2" customWidth="1"/>
    <col min="11520" max="11520" width="9.140625" style="2"/>
    <col min="11521" max="11521" width="4.85546875" style="2" customWidth="1"/>
    <col min="11522" max="11522" width="30.5703125" style="2" customWidth="1"/>
    <col min="11523" max="11523" width="33.85546875" style="2" customWidth="1"/>
    <col min="11524" max="11524" width="5.140625" style="2" customWidth="1"/>
    <col min="11525" max="11526" width="17.5703125" style="2" customWidth="1"/>
    <col min="11527" max="11770" width="9.140625" style="2"/>
    <col min="11771" max="11771" width="3.5703125" style="2" customWidth="1"/>
    <col min="11772" max="11772" width="96.85546875" style="2" customWidth="1"/>
    <col min="11773" max="11773" width="30.85546875" style="2" customWidth="1"/>
    <col min="11774" max="11774" width="12.5703125" style="2" customWidth="1"/>
    <col min="11775" max="11775" width="5.140625" style="2" customWidth="1"/>
    <col min="11776" max="11776" width="9.140625" style="2"/>
    <col min="11777" max="11777" width="4.85546875" style="2" customWidth="1"/>
    <col min="11778" max="11778" width="30.5703125" style="2" customWidth="1"/>
    <col min="11779" max="11779" width="33.85546875" style="2" customWidth="1"/>
    <col min="11780" max="11780" width="5.140625" style="2" customWidth="1"/>
    <col min="11781" max="11782" width="17.5703125" style="2" customWidth="1"/>
    <col min="11783" max="12026" width="9.140625" style="2"/>
    <col min="12027" max="12027" width="3.5703125" style="2" customWidth="1"/>
    <col min="12028" max="12028" width="96.85546875" style="2" customWidth="1"/>
    <col min="12029" max="12029" width="30.85546875" style="2" customWidth="1"/>
    <col min="12030" max="12030" width="12.5703125" style="2" customWidth="1"/>
    <col min="12031" max="12031" width="5.140625" style="2" customWidth="1"/>
    <col min="12032" max="12032" width="9.140625" style="2"/>
    <col min="12033" max="12033" width="4.85546875" style="2" customWidth="1"/>
    <col min="12034" max="12034" width="30.5703125" style="2" customWidth="1"/>
    <col min="12035" max="12035" width="33.85546875" style="2" customWidth="1"/>
    <col min="12036" max="12036" width="5.140625" style="2" customWidth="1"/>
    <col min="12037" max="12038" width="17.5703125" style="2" customWidth="1"/>
    <col min="12039" max="12282" width="9.140625" style="2"/>
    <col min="12283" max="12283" width="3.5703125" style="2" customWidth="1"/>
    <col min="12284" max="12284" width="96.85546875" style="2" customWidth="1"/>
    <col min="12285" max="12285" width="30.85546875" style="2" customWidth="1"/>
    <col min="12286" max="12286" width="12.5703125" style="2" customWidth="1"/>
    <col min="12287" max="12287" width="5.140625" style="2" customWidth="1"/>
    <col min="12288" max="12288" width="9.140625" style="2"/>
    <col min="12289" max="12289" width="4.85546875" style="2" customWidth="1"/>
    <col min="12290" max="12290" width="30.5703125" style="2" customWidth="1"/>
    <col min="12291" max="12291" width="33.85546875" style="2" customWidth="1"/>
    <col min="12292" max="12292" width="5.140625" style="2" customWidth="1"/>
    <col min="12293" max="12294" width="17.5703125" style="2" customWidth="1"/>
    <col min="12295" max="12538" width="9.140625" style="2"/>
    <col min="12539" max="12539" width="3.5703125" style="2" customWidth="1"/>
    <col min="12540" max="12540" width="96.85546875" style="2" customWidth="1"/>
    <col min="12541" max="12541" width="30.85546875" style="2" customWidth="1"/>
    <col min="12542" max="12542" width="12.5703125" style="2" customWidth="1"/>
    <col min="12543" max="12543" width="5.140625" style="2" customWidth="1"/>
    <col min="12544" max="12544" width="9.140625" style="2"/>
    <col min="12545" max="12545" width="4.85546875" style="2" customWidth="1"/>
    <col min="12546" max="12546" width="30.5703125" style="2" customWidth="1"/>
    <col min="12547" max="12547" width="33.85546875" style="2" customWidth="1"/>
    <col min="12548" max="12548" width="5.140625" style="2" customWidth="1"/>
    <col min="12549" max="12550" width="17.5703125" style="2" customWidth="1"/>
    <col min="12551" max="12794" width="9.140625" style="2"/>
    <col min="12795" max="12795" width="3.5703125" style="2" customWidth="1"/>
    <col min="12796" max="12796" width="96.85546875" style="2" customWidth="1"/>
    <col min="12797" max="12797" width="30.85546875" style="2" customWidth="1"/>
    <col min="12798" max="12798" width="12.5703125" style="2" customWidth="1"/>
    <col min="12799" max="12799" width="5.140625" style="2" customWidth="1"/>
    <col min="12800" max="12800" width="9.140625" style="2"/>
    <col min="12801" max="12801" width="4.85546875" style="2" customWidth="1"/>
    <col min="12802" max="12802" width="30.5703125" style="2" customWidth="1"/>
    <col min="12803" max="12803" width="33.85546875" style="2" customWidth="1"/>
    <col min="12804" max="12804" width="5.140625" style="2" customWidth="1"/>
    <col min="12805" max="12806" width="17.5703125" style="2" customWidth="1"/>
    <col min="12807" max="13050" width="9.140625" style="2"/>
    <col min="13051" max="13051" width="3.5703125" style="2" customWidth="1"/>
    <col min="13052" max="13052" width="96.85546875" style="2" customWidth="1"/>
    <col min="13053" max="13053" width="30.85546875" style="2" customWidth="1"/>
    <col min="13054" max="13054" width="12.5703125" style="2" customWidth="1"/>
    <col min="13055" max="13055" width="5.140625" style="2" customWidth="1"/>
    <col min="13056" max="13056" width="9.140625" style="2"/>
    <col min="13057" max="13057" width="4.85546875" style="2" customWidth="1"/>
    <col min="13058" max="13058" width="30.5703125" style="2" customWidth="1"/>
    <col min="13059" max="13059" width="33.85546875" style="2" customWidth="1"/>
    <col min="13060" max="13060" width="5.140625" style="2" customWidth="1"/>
    <col min="13061" max="13062" width="17.5703125" style="2" customWidth="1"/>
    <col min="13063" max="13306" width="9.140625" style="2"/>
    <col min="13307" max="13307" width="3.5703125" style="2" customWidth="1"/>
    <col min="13308" max="13308" width="96.85546875" style="2" customWidth="1"/>
    <col min="13309" max="13309" width="30.85546875" style="2" customWidth="1"/>
    <col min="13310" max="13310" width="12.5703125" style="2" customWidth="1"/>
    <col min="13311" max="13311" width="5.140625" style="2" customWidth="1"/>
    <col min="13312" max="13312" width="9.140625" style="2"/>
    <col min="13313" max="13313" width="4.85546875" style="2" customWidth="1"/>
    <col min="13314" max="13314" width="30.5703125" style="2" customWidth="1"/>
    <col min="13315" max="13315" width="33.85546875" style="2" customWidth="1"/>
    <col min="13316" max="13316" width="5.140625" style="2" customWidth="1"/>
    <col min="13317" max="13318" width="17.5703125" style="2" customWidth="1"/>
    <col min="13319" max="13562" width="9.140625" style="2"/>
    <col min="13563" max="13563" width="3.5703125" style="2" customWidth="1"/>
    <col min="13564" max="13564" width="96.85546875" style="2" customWidth="1"/>
    <col min="13565" max="13565" width="30.85546875" style="2" customWidth="1"/>
    <col min="13566" max="13566" width="12.5703125" style="2" customWidth="1"/>
    <col min="13567" max="13567" width="5.140625" style="2" customWidth="1"/>
    <col min="13568" max="13568" width="9.140625" style="2"/>
    <col min="13569" max="13569" width="4.85546875" style="2" customWidth="1"/>
    <col min="13570" max="13570" width="30.5703125" style="2" customWidth="1"/>
    <col min="13571" max="13571" width="33.85546875" style="2" customWidth="1"/>
    <col min="13572" max="13572" width="5.140625" style="2" customWidth="1"/>
    <col min="13573" max="13574" width="17.5703125" style="2" customWidth="1"/>
    <col min="13575" max="13818" width="9.140625" style="2"/>
    <col min="13819" max="13819" width="3.5703125" style="2" customWidth="1"/>
    <col min="13820" max="13820" width="96.85546875" style="2" customWidth="1"/>
    <col min="13821" max="13821" width="30.85546875" style="2" customWidth="1"/>
    <col min="13822" max="13822" width="12.5703125" style="2" customWidth="1"/>
    <col min="13823" max="13823" width="5.140625" style="2" customWidth="1"/>
    <col min="13824" max="13824" width="9.140625" style="2"/>
    <col min="13825" max="13825" width="4.85546875" style="2" customWidth="1"/>
    <col min="13826" max="13826" width="30.5703125" style="2" customWidth="1"/>
    <col min="13827" max="13827" width="33.85546875" style="2" customWidth="1"/>
    <col min="13828" max="13828" width="5.140625" style="2" customWidth="1"/>
    <col min="13829" max="13830" width="17.5703125" style="2" customWidth="1"/>
    <col min="13831" max="14074" width="9.140625" style="2"/>
    <col min="14075" max="14075" width="3.5703125" style="2" customWidth="1"/>
    <col min="14076" max="14076" width="96.85546875" style="2" customWidth="1"/>
    <col min="14077" max="14077" width="30.85546875" style="2" customWidth="1"/>
    <col min="14078" max="14078" width="12.5703125" style="2" customWidth="1"/>
    <col min="14079" max="14079" width="5.140625" style="2" customWidth="1"/>
    <col min="14080" max="14080" width="9.140625" style="2"/>
    <col min="14081" max="14081" width="4.85546875" style="2" customWidth="1"/>
    <col min="14082" max="14082" width="30.5703125" style="2" customWidth="1"/>
    <col min="14083" max="14083" width="33.85546875" style="2" customWidth="1"/>
    <col min="14084" max="14084" width="5.140625" style="2" customWidth="1"/>
    <col min="14085" max="14086" width="17.5703125" style="2" customWidth="1"/>
    <col min="14087" max="14330" width="9.140625" style="2"/>
    <col min="14331" max="14331" width="3.5703125" style="2" customWidth="1"/>
    <col min="14332" max="14332" width="96.85546875" style="2" customWidth="1"/>
    <col min="14333" max="14333" width="30.85546875" style="2" customWidth="1"/>
    <col min="14334" max="14334" width="12.5703125" style="2" customWidth="1"/>
    <col min="14335" max="14335" width="5.140625" style="2" customWidth="1"/>
    <col min="14336" max="14336" width="9.140625" style="2"/>
    <col min="14337" max="14337" width="4.85546875" style="2" customWidth="1"/>
    <col min="14338" max="14338" width="30.5703125" style="2" customWidth="1"/>
    <col min="14339" max="14339" width="33.85546875" style="2" customWidth="1"/>
    <col min="14340" max="14340" width="5.140625" style="2" customWidth="1"/>
    <col min="14341" max="14342" width="17.5703125" style="2" customWidth="1"/>
    <col min="14343" max="14586" width="9.140625" style="2"/>
    <col min="14587" max="14587" width="3.5703125" style="2" customWidth="1"/>
    <col min="14588" max="14588" width="96.85546875" style="2" customWidth="1"/>
    <col min="14589" max="14589" width="30.85546875" style="2" customWidth="1"/>
    <col min="14590" max="14590" width="12.5703125" style="2" customWidth="1"/>
    <col min="14591" max="14591" width="5.140625" style="2" customWidth="1"/>
    <col min="14592" max="14592" width="9.140625" style="2"/>
    <col min="14593" max="14593" width="4.85546875" style="2" customWidth="1"/>
    <col min="14594" max="14594" width="30.5703125" style="2" customWidth="1"/>
    <col min="14595" max="14595" width="33.85546875" style="2" customWidth="1"/>
    <col min="14596" max="14596" width="5.140625" style="2" customWidth="1"/>
    <col min="14597" max="14598" width="17.5703125" style="2" customWidth="1"/>
    <col min="14599" max="14842" width="9.140625" style="2"/>
    <col min="14843" max="14843" width="3.5703125" style="2" customWidth="1"/>
    <col min="14844" max="14844" width="96.85546875" style="2" customWidth="1"/>
    <col min="14845" max="14845" width="30.85546875" style="2" customWidth="1"/>
    <col min="14846" max="14846" width="12.5703125" style="2" customWidth="1"/>
    <col min="14847" max="14847" width="5.140625" style="2" customWidth="1"/>
    <col min="14848" max="14848" width="9.140625" style="2"/>
    <col min="14849" max="14849" width="4.85546875" style="2" customWidth="1"/>
    <col min="14850" max="14850" width="30.5703125" style="2" customWidth="1"/>
    <col min="14851" max="14851" width="33.85546875" style="2" customWidth="1"/>
    <col min="14852" max="14852" width="5.140625" style="2" customWidth="1"/>
    <col min="14853" max="14854" width="17.5703125" style="2" customWidth="1"/>
    <col min="14855" max="15098" width="9.140625" style="2"/>
    <col min="15099" max="15099" width="3.5703125" style="2" customWidth="1"/>
    <col min="15100" max="15100" width="96.85546875" style="2" customWidth="1"/>
    <col min="15101" max="15101" width="30.85546875" style="2" customWidth="1"/>
    <col min="15102" max="15102" width="12.5703125" style="2" customWidth="1"/>
    <col min="15103" max="15103" width="5.140625" style="2" customWidth="1"/>
    <col min="15104" max="15104" width="9.140625" style="2"/>
    <col min="15105" max="15105" width="4.85546875" style="2" customWidth="1"/>
    <col min="15106" max="15106" width="30.5703125" style="2" customWidth="1"/>
    <col min="15107" max="15107" width="33.85546875" style="2" customWidth="1"/>
    <col min="15108" max="15108" width="5.140625" style="2" customWidth="1"/>
    <col min="15109" max="15110" width="17.5703125" style="2" customWidth="1"/>
    <col min="15111" max="15354" width="9.140625" style="2"/>
    <col min="15355" max="15355" width="3.5703125" style="2" customWidth="1"/>
    <col min="15356" max="15356" width="96.85546875" style="2" customWidth="1"/>
    <col min="15357" max="15357" width="30.85546875" style="2" customWidth="1"/>
    <col min="15358" max="15358" width="12.5703125" style="2" customWidth="1"/>
    <col min="15359" max="15359" width="5.140625" style="2" customWidth="1"/>
    <col min="15360" max="15360" width="9.140625" style="2"/>
    <col min="15361" max="15361" width="4.85546875" style="2" customWidth="1"/>
    <col min="15362" max="15362" width="30.5703125" style="2" customWidth="1"/>
    <col min="15363" max="15363" width="33.85546875" style="2" customWidth="1"/>
    <col min="15364" max="15364" width="5.140625" style="2" customWidth="1"/>
    <col min="15365" max="15366" width="17.5703125" style="2" customWidth="1"/>
    <col min="15367" max="15610" width="9.140625" style="2"/>
    <col min="15611" max="15611" width="3.5703125" style="2" customWidth="1"/>
    <col min="15612" max="15612" width="96.85546875" style="2" customWidth="1"/>
    <col min="15613" max="15613" width="30.85546875" style="2" customWidth="1"/>
    <col min="15614" max="15614" width="12.5703125" style="2" customWidth="1"/>
    <col min="15615" max="15615" width="5.140625" style="2" customWidth="1"/>
    <col min="15616" max="15616" width="9.140625" style="2"/>
    <col min="15617" max="15617" width="4.85546875" style="2" customWidth="1"/>
    <col min="15618" max="15618" width="30.5703125" style="2" customWidth="1"/>
    <col min="15619" max="15619" width="33.85546875" style="2" customWidth="1"/>
    <col min="15620" max="15620" width="5.140625" style="2" customWidth="1"/>
    <col min="15621" max="15622" width="17.5703125" style="2" customWidth="1"/>
    <col min="15623" max="15866" width="9.140625" style="2"/>
    <col min="15867" max="15867" width="3.5703125" style="2" customWidth="1"/>
    <col min="15868" max="15868" width="96.85546875" style="2" customWidth="1"/>
    <col min="15869" max="15869" width="30.85546875" style="2" customWidth="1"/>
    <col min="15870" max="15870" width="12.5703125" style="2" customWidth="1"/>
    <col min="15871" max="15871" width="5.140625" style="2" customWidth="1"/>
    <col min="15872" max="15872" width="9.140625" style="2"/>
    <col min="15873" max="15873" width="4.85546875" style="2" customWidth="1"/>
    <col min="15874" max="15874" width="30.5703125" style="2" customWidth="1"/>
    <col min="15875" max="15875" width="33.85546875" style="2" customWidth="1"/>
    <col min="15876" max="15876" width="5.140625" style="2" customWidth="1"/>
    <col min="15877" max="15878" width="17.5703125" style="2" customWidth="1"/>
    <col min="15879" max="16122" width="9.140625" style="2"/>
    <col min="16123" max="16123" width="3.5703125" style="2" customWidth="1"/>
    <col min="16124" max="16124" width="96.85546875" style="2" customWidth="1"/>
    <col min="16125" max="16125" width="30.85546875" style="2" customWidth="1"/>
    <col min="16126" max="16126" width="12.5703125" style="2" customWidth="1"/>
    <col min="16127" max="16127" width="5.140625" style="2" customWidth="1"/>
    <col min="16128" max="16128" width="9.140625" style="2"/>
    <col min="16129" max="16129" width="4.85546875" style="2" customWidth="1"/>
    <col min="16130" max="16130" width="30.5703125" style="2" customWidth="1"/>
    <col min="16131" max="16131" width="33.85546875" style="2" customWidth="1"/>
    <col min="16132" max="16132" width="5.140625" style="2" customWidth="1"/>
    <col min="16133" max="16134" width="17.5703125" style="2" customWidth="1"/>
    <col min="16135" max="16384" width="9.140625" style="2"/>
  </cols>
  <sheetData>
    <row r="1" spans="1:4" ht="48" customHeight="1" x14ac:dyDescent="0.2">
      <c r="A1" s="1"/>
      <c r="B1" s="139" t="s">
        <v>0</v>
      </c>
      <c r="C1" s="139"/>
      <c r="D1" s="139"/>
    </row>
    <row r="2" spans="1:4" x14ac:dyDescent="0.2">
      <c r="A2" s="3"/>
      <c r="B2" s="4" t="s">
        <v>1</v>
      </c>
      <c r="C2" s="5">
        <v>45687</v>
      </c>
    </row>
    <row r="3" spans="1:4" x14ac:dyDescent="0.2">
      <c r="A3" s="3"/>
      <c r="B3" s="6" t="s">
        <v>2</v>
      </c>
    </row>
    <row r="4" spans="1:4" ht="25.5" x14ac:dyDescent="0.2">
      <c r="A4" s="8"/>
      <c r="B4" s="9" t="str">
        <f>[9]И1!D13</f>
        <v>Субъект Российской Федерации</v>
      </c>
      <c r="C4" s="10" t="str">
        <f>[9]И1!E13</f>
        <v>Новосибирская область</v>
      </c>
      <c r="D4" s="119"/>
    </row>
    <row r="5" spans="1:4" ht="46.9" customHeight="1" x14ac:dyDescent="0.2">
      <c r="A5" s="8"/>
      <c r="B5" s="9" t="str">
        <f>[9]И1!D14</f>
        <v>Тип муниципального образования (выберите из списка)</v>
      </c>
      <c r="C5" s="10" t="str">
        <f>[9]И1!E14</f>
        <v>село Лобино, Краснозерский муниципальный район</v>
      </c>
      <c r="D5" s="119"/>
    </row>
    <row r="6" spans="1:4" x14ac:dyDescent="0.2">
      <c r="A6" s="8"/>
      <c r="B6" s="9" t="str">
        <f>IF([9]И1!E15="","",[9]И1!D15)</f>
        <v/>
      </c>
      <c r="C6" s="10" t="str">
        <f>IF([9]И1!E15="","",[9]И1!E15)</f>
        <v/>
      </c>
      <c r="D6" s="119"/>
    </row>
    <row r="7" spans="1:4" x14ac:dyDescent="0.2">
      <c r="A7" s="8"/>
      <c r="B7" s="9" t="str">
        <f>[9]И1!D16</f>
        <v>Код ОКТМО</v>
      </c>
      <c r="C7" s="11" t="str">
        <f>[9]И1!E16</f>
        <v xml:space="preserve"> (50627419101)</v>
      </c>
      <c r="D7" s="119"/>
    </row>
    <row r="8" spans="1:4" x14ac:dyDescent="0.2">
      <c r="A8" s="8"/>
      <c r="B8" s="12" t="str">
        <f>[9]И1!D17</f>
        <v>Система теплоснабжения</v>
      </c>
      <c r="C8" s="13">
        <f>[9]И1!E17</f>
        <v>0</v>
      </c>
      <c r="D8" s="119"/>
    </row>
    <row r="9" spans="1:4" x14ac:dyDescent="0.2">
      <c r="A9" s="8"/>
      <c r="B9" s="9" t="str">
        <f>[9]И1!D8</f>
        <v>Период регулирования (i)-й</v>
      </c>
      <c r="C9" s="14">
        <f>[9]И1!E8</f>
        <v>2025</v>
      </c>
      <c r="D9" s="119"/>
    </row>
    <row r="10" spans="1:4" x14ac:dyDescent="0.2">
      <c r="A10" s="8"/>
      <c r="B10" s="9" t="str">
        <f>[9]И1!D9</f>
        <v>Период регулирования (i-1)-й</v>
      </c>
      <c r="C10" s="14">
        <f>[9]И1!E9</f>
        <v>2024</v>
      </c>
      <c r="D10" s="119"/>
    </row>
    <row r="11" spans="1:4" x14ac:dyDescent="0.2">
      <c r="A11" s="8"/>
      <c r="B11" s="9" t="str">
        <f>[9]И1!D10</f>
        <v>Период регулирования (i-2)-й</v>
      </c>
      <c r="C11" s="14">
        <f>[9]И1!E10</f>
        <v>2023</v>
      </c>
      <c r="D11" s="119"/>
    </row>
    <row r="12" spans="1:4" x14ac:dyDescent="0.2">
      <c r="A12" s="8"/>
      <c r="B12" s="9" t="str">
        <f>[9]И1!D11</f>
        <v>Базовый год (б)</v>
      </c>
      <c r="C12" s="14">
        <f>[9]И1!E11</f>
        <v>2019</v>
      </c>
      <c r="D12" s="119"/>
    </row>
    <row r="13" spans="1:4" ht="38.25" x14ac:dyDescent="0.2">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c r="D13" s="119"/>
    </row>
    <row r="14" spans="1:4" ht="31.7" customHeight="1" thickBot="1" x14ac:dyDescent="0.25">
      <c r="A14" s="140" t="s">
        <v>3</v>
      </c>
      <c r="B14" s="140"/>
      <c r="C14" s="140"/>
    </row>
    <row r="15" spans="1:4" x14ac:dyDescent="0.2">
      <c r="A15" s="16" t="s">
        <v>4</v>
      </c>
      <c r="B15" s="17" t="s">
        <v>5</v>
      </c>
      <c r="C15" s="18" t="s">
        <v>6</v>
      </c>
    </row>
    <row r="16" spans="1:4" x14ac:dyDescent="0.2">
      <c r="A16" s="19">
        <v>1</v>
      </c>
      <c r="B16" s="20">
        <v>2</v>
      </c>
      <c r="C16" s="21">
        <v>3</v>
      </c>
    </row>
    <row r="17" spans="1:4" x14ac:dyDescent="0.2">
      <c r="A17" s="22">
        <v>1</v>
      </c>
      <c r="B17" s="23" t="s">
        <v>7</v>
      </c>
      <c r="C17" s="24">
        <f>SUM(C18:C22)</f>
        <v>5624.9237839547177</v>
      </c>
    </row>
    <row r="18" spans="1:4" ht="42.75" x14ac:dyDescent="0.2">
      <c r="A18" s="22" t="s">
        <v>8</v>
      </c>
      <c r="B18" s="25" t="s">
        <v>9</v>
      </c>
      <c r="C18" s="26">
        <f>[9]С1!F12</f>
        <v>1034.1959509058092</v>
      </c>
    </row>
    <row r="19" spans="1:4" ht="42.75" x14ac:dyDescent="0.2">
      <c r="A19" s="22" t="s">
        <v>10</v>
      </c>
      <c r="B19" s="25" t="s">
        <v>11</v>
      </c>
      <c r="C19" s="26">
        <f>[9]С2!F12</f>
        <v>3044.8315746726421</v>
      </c>
    </row>
    <row r="20" spans="1:4" ht="30" x14ac:dyDescent="0.2">
      <c r="A20" s="22" t="s">
        <v>12</v>
      </c>
      <c r="B20" s="25" t="s">
        <v>13</v>
      </c>
      <c r="C20" s="26">
        <f>[9]С3!F12</f>
        <v>911.5178018038722</v>
      </c>
    </row>
    <row r="21" spans="1:4" ht="42.75" x14ac:dyDescent="0.2">
      <c r="A21" s="22" t="s">
        <v>14</v>
      </c>
      <c r="B21" s="25" t="s">
        <v>15</v>
      </c>
      <c r="C21" s="26">
        <f>[9]С4!F12</f>
        <v>524.08583335759624</v>
      </c>
    </row>
    <row r="22" spans="1:4" ht="30" x14ac:dyDescent="0.2">
      <c r="A22" s="22" t="s">
        <v>16</v>
      </c>
      <c r="B22" s="25" t="s">
        <v>17</v>
      </c>
      <c r="C22" s="26">
        <f>[9]С5!F12</f>
        <v>110.29262321479838</v>
      </c>
    </row>
    <row r="23" spans="1:4" ht="43.5" thickBot="1" x14ac:dyDescent="0.25">
      <c r="A23" s="27" t="s">
        <v>18</v>
      </c>
      <c r="B23" s="117" t="s">
        <v>19</v>
      </c>
      <c r="C23" s="28" t="str">
        <f>[9]С6!F12</f>
        <v>-</v>
      </c>
    </row>
    <row r="24" spans="1:4" ht="13.5" thickBot="1" x14ac:dyDescent="0.25">
      <c r="A24" s="3"/>
    </row>
    <row r="25" spans="1:4" x14ac:dyDescent="0.2">
      <c r="A25" s="16" t="s">
        <v>4</v>
      </c>
      <c r="B25" s="29" t="s">
        <v>5</v>
      </c>
      <c r="C25" s="30" t="s">
        <v>6</v>
      </c>
      <c r="D25" s="120" t="s">
        <v>227</v>
      </c>
    </row>
    <row r="26" spans="1:4" x14ac:dyDescent="0.2">
      <c r="A26" s="19">
        <v>1</v>
      </c>
      <c r="B26" s="31">
        <v>2</v>
      </c>
      <c r="C26" s="32">
        <v>3</v>
      </c>
      <c r="D26" s="121">
        <v>4</v>
      </c>
    </row>
    <row r="27" spans="1:4" ht="30" customHeight="1" x14ac:dyDescent="0.2">
      <c r="A27" s="22">
        <v>1</v>
      </c>
      <c r="B27" s="141" t="s">
        <v>20</v>
      </c>
      <c r="C27" s="141"/>
      <c r="D27" s="145"/>
    </row>
    <row r="28" spans="1:4" x14ac:dyDescent="0.2">
      <c r="A28" s="22" t="s">
        <v>8</v>
      </c>
      <c r="B28" s="33" t="s">
        <v>21</v>
      </c>
      <c r="C28" s="34">
        <f>[9]С1.1!E16</f>
        <v>5100</v>
      </c>
      <c r="D28" s="122">
        <f>[9]С1.1!F16</f>
        <v>0</v>
      </c>
    </row>
    <row r="29" spans="1:4" ht="42.75" x14ac:dyDescent="0.2">
      <c r="A29" s="22" t="s">
        <v>10</v>
      </c>
      <c r="B29" s="33" t="s">
        <v>22</v>
      </c>
      <c r="C29" s="34">
        <f>[9]С1.1!E27</f>
        <v>3730.6083333333331</v>
      </c>
      <c r="D29" s="122">
        <f>IF([9]С1.1!E23=[9]С1.1!I9,[9]С1.1!F24,IF([9]С1.1!E23=[9]С1.1!I10,[9]С1.1!I10,IF([9]С1.1!E23=[9]С1.1!I11,[9]С1.3!G9,IF([9]С1.1!E23=[9]С1.1!I12,[9]С1.1!F25,IF([9]С1.1!E23=[9]С1.1!I13,[9]С1.1!F26,"")))))</f>
        <v>0</v>
      </c>
    </row>
    <row r="30" spans="1:4" ht="267.75" x14ac:dyDescent="0.2">
      <c r="A30" s="22" t="s">
        <v>12</v>
      </c>
      <c r="B30" s="33" t="s">
        <v>23</v>
      </c>
      <c r="C30" s="35">
        <f>[9]С1.1!E19</f>
        <v>1.4E-2</v>
      </c>
      <c r="D30" s="122" t="str">
        <f>[9]С1.1!F19</f>
        <v xml:space="preserve">Прогноз социально-экономического развития Российской Федерации на 2023 год и на плановый период 2024 и 2025 годов (размещен на официальном сайте Министерства экономического развития Российской Федерации (далее -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
    </row>
    <row r="31" spans="1:4" ht="229.5" x14ac:dyDescent="0.2">
      <c r="A31" s="22" t="s">
        <v>14</v>
      </c>
      <c r="B31" s="33" t="s">
        <v>24</v>
      </c>
      <c r="C31" s="35">
        <f>[9]С1.1!E20</f>
        <v>0.04</v>
      </c>
      <c r="D31" s="122" t="str">
        <f>[9]С1.1!F20</f>
        <v xml:space="preserve">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
    </row>
    <row r="32" spans="1:4" ht="30" x14ac:dyDescent="0.2">
      <c r="A32" s="22" t="s">
        <v>16</v>
      </c>
      <c r="B32" s="36" t="s">
        <v>25</v>
      </c>
      <c r="C32" s="37">
        <f>[9]С1!F13</f>
        <v>176.4</v>
      </c>
      <c r="D32" s="123" t="s">
        <v>228</v>
      </c>
    </row>
    <row r="33" spans="1:4" x14ac:dyDescent="0.2">
      <c r="A33" s="22" t="s">
        <v>18</v>
      </c>
      <c r="B33" s="36" t="s">
        <v>26</v>
      </c>
      <c r="C33" s="38">
        <f>[9]С1!F16</f>
        <v>7000</v>
      </c>
      <c r="D33" s="124" t="s">
        <v>229</v>
      </c>
    </row>
    <row r="34" spans="1:4" ht="14.25" x14ac:dyDescent="0.2">
      <c r="A34" s="22" t="s">
        <v>27</v>
      </c>
      <c r="B34" s="39" t="s">
        <v>28</v>
      </c>
      <c r="C34" s="40">
        <f>[9]С1!F17</f>
        <v>0.72857142857142854</v>
      </c>
      <c r="D34" s="122"/>
    </row>
    <row r="35" spans="1:4" ht="15.75" x14ac:dyDescent="0.2">
      <c r="A35" s="41" t="s">
        <v>29</v>
      </c>
      <c r="B35" s="42" t="s">
        <v>30</v>
      </c>
      <c r="C35" s="40">
        <f>[9]С1!F20</f>
        <v>21.588411179999994</v>
      </c>
      <c r="D35" s="122"/>
    </row>
    <row r="36" spans="1:4" ht="15.75" x14ac:dyDescent="0.2">
      <c r="A36" s="41" t="s">
        <v>31</v>
      </c>
      <c r="B36" s="43" t="s">
        <v>32</v>
      </c>
      <c r="C36" s="40">
        <f>[9]С1!F21</f>
        <v>20.818139999999996</v>
      </c>
      <c r="D36" s="122"/>
    </row>
    <row r="37" spans="1:4" ht="14.25" x14ac:dyDescent="0.2">
      <c r="A37" s="41" t="s">
        <v>33</v>
      </c>
      <c r="B37" s="44" t="s">
        <v>34</v>
      </c>
      <c r="C37" s="40">
        <f>[9]С1!F22</f>
        <v>1.0369999999999999</v>
      </c>
      <c r="D37" s="122" t="s">
        <v>230</v>
      </c>
    </row>
    <row r="38" spans="1:4" ht="53.25" thickBot="1" x14ac:dyDescent="0.25">
      <c r="A38" s="27" t="s">
        <v>35</v>
      </c>
      <c r="B38" s="45" t="s">
        <v>36</v>
      </c>
      <c r="C38" s="46">
        <f>[9]С1!F23</f>
        <v>1.0469999999999999</v>
      </c>
      <c r="D38" s="125" t="s">
        <v>231</v>
      </c>
    </row>
    <row r="39" spans="1:4" ht="13.5" thickBot="1" x14ac:dyDescent="0.25">
      <c r="A39" s="47"/>
      <c r="B39" s="48"/>
      <c r="C39" s="49"/>
      <c r="D39" s="126"/>
    </row>
    <row r="40" spans="1:4" ht="30" customHeight="1" x14ac:dyDescent="0.2">
      <c r="A40" s="50" t="s">
        <v>37</v>
      </c>
      <c r="B40" s="136" t="s">
        <v>38</v>
      </c>
      <c r="C40" s="136"/>
      <c r="D40" s="142"/>
    </row>
    <row r="41" spans="1:4" ht="25.5" x14ac:dyDescent="0.2">
      <c r="A41" s="22" t="s">
        <v>39</v>
      </c>
      <c r="B41" s="36" t="s">
        <v>40</v>
      </c>
      <c r="C41" s="51" t="str">
        <f>[9]С2.1!E12</f>
        <v>V</v>
      </c>
      <c r="D41" s="122" t="s">
        <v>232</v>
      </c>
    </row>
    <row r="42" spans="1:4" ht="242.25" x14ac:dyDescent="0.2">
      <c r="A42" s="22" t="s">
        <v>41</v>
      </c>
      <c r="B42" s="33" t="s">
        <v>42</v>
      </c>
      <c r="C42" s="51" t="str">
        <f>[9]С2.1!E13</f>
        <v>6 и менее баллов</v>
      </c>
      <c r="D42" s="122" t="str">
        <f>[9]С2.1!F13</f>
        <v xml:space="preserve"> Приложение А (обязательное) "Общее сейсмическое районирование территории Российской Федерации ОСР-2015. Список населенных пунктов Российской Федерации, расположенных в сейсмических районах, с указанием расчетной сейсмической интенсивности в баллах шкалы MSK-64 для средних грунтовых условий и трех степеней сейсмической опасности - A (10%), B (5%), C (1%) в течение 50 лет" к своду правил "СП 14.13330.2018 Строительство в сейсмических районах. Актуализир. редакция СНиП II-7-81".</v>
      </c>
    </row>
    <row r="43" spans="1:4" ht="165.75" x14ac:dyDescent="0.2">
      <c r="A43" s="22" t="s">
        <v>43</v>
      </c>
      <c r="B43" s="33" t="s">
        <v>44</v>
      </c>
      <c r="C43" s="51" t="str">
        <f>[9]С2.1!E14</f>
        <v>от 200 до 500</v>
      </c>
      <c r="D43" s="122" t="str">
        <f>[9]С2.1!F14</f>
        <v>Карта Российской Федерации в масштабе, позволяющем определить расстояние на транспортировку основных средств котельной, определяется как расстояние от границы системы теплоснабжения до границы ближайшего административного центра субъекта РФ с железнодорожным сообщением</v>
      </c>
    </row>
    <row r="44" spans="1:4" ht="25.5" x14ac:dyDescent="0.2">
      <c r="A44" s="22" t="s">
        <v>45</v>
      </c>
      <c r="B44" s="33" t="s">
        <v>46</v>
      </c>
      <c r="C44" s="52" t="str">
        <f>[9]С2.1!E15</f>
        <v>нет</v>
      </c>
      <c r="D44" s="122">
        <f>[9]С2.1!F15</f>
        <v>0</v>
      </c>
    </row>
    <row r="45" spans="1:4" ht="30" x14ac:dyDescent="0.2">
      <c r="A45" s="22" t="s">
        <v>47</v>
      </c>
      <c r="B45" s="33" t="s">
        <v>48</v>
      </c>
      <c r="C45" s="34">
        <f>[9]С2!F18</f>
        <v>38910.02669467502</v>
      </c>
      <c r="D45" s="123"/>
    </row>
    <row r="46" spans="1:4" ht="30" x14ac:dyDescent="0.2">
      <c r="A46" s="22" t="s">
        <v>49</v>
      </c>
      <c r="B46" s="53" t="s">
        <v>50</v>
      </c>
      <c r="C46" s="34">
        <f>IF([9]С2!F19&gt;0,[9]С2!F19,[9]С2!F20)</f>
        <v>23441.524932855718</v>
      </c>
      <c r="D46" s="122"/>
    </row>
    <row r="47" spans="1:4" ht="38.25" x14ac:dyDescent="0.2">
      <c r="A47" s="22" t="s">
        <v>51</v>
      </c>
      <c r="B47" s="54" t="s">
        <v>52</v>
      </c>
      <c r="C47" s="34">
        <f>[9]С2.1!E19</f>
        <v>-38</v>
      </c>
      <c r="D47" s="122" t="str">
        <f>CONCATENATE([9]С2.1!F19,"  ",[9]С2.1!F20)</f>
        <v xml:space="preserve">Схема теплоснабжения (расчетная температура наружного воздуха)  </v>
      </c>
    </row>
    <row r="48" spans="1:4" ht="25.5" x14ac:dyDescent="0.2">
      <c r="A48" s="22" t="s">
        <v>53</v>
      </c>
      <c r="B48" s="54" t="s">
        <v>54</v>
      </c>
      <c r="C48" s="34" t="str">
        <f>[9]С2.1!E22</f>
        <v>нет</v>
      </c>
      <c r="D48" s="127">
        <f>[9]С2.1!F22</f>
        <v>0</v>
      </c>
    </row>
    <row r="49" spans="1:4" ht="38.25" x14ac:dyDescent="0.2">
      <c r="A49" s="22" t="s">
        <v>55</v>
      </c>
      <c r="B49" s="55" t="s">
        <v>56</v>
      </c>
      <c r="C49" s="34">
        <f>[9]С2.2!E10</f>
        <v>1287</v>
      </c>
      <c r="D49" s="122" t="s">
        <v>233</v>
      </c>
    </row>
    <row r="50" spans="1:4" ht="25.5" x14ac:dyDescent="0.2">
      <c r="A50" s="22" t="s">
        <v>57</v>
      </c>
      <c r="B50" s="56" t="s">
        <v>58</v>
      </c>
      <c r="C50" s="34">
        <f>[9]С2.2!E12</f>
        <v>5.97</v>
      </c>
      <c r="D50" s="122" t="s">
        <v>234</v>
      </c>
    </row>
    <row r="51" spans="1:4" ht="52.5" x14ac:dyDescent="0.2">
      <c r="A51" s="22" t="s">
        <v>59</v>
      </c>
      <c r="B51" s="57" t="s">
        <v>60</v>
      </c>
      <c r="C51" s="34">
        <f>[9]С2.2!E13</f>
        <v>1</v>
      </c>
      <c r="D51" s="124" t="s">
        <v>229</v>
      </c>
    </row>
    <row r="52" spans="1:4" ht="27.75" x14ac:dyDescent="0.2">
      <c r="A52" s="22" t="s">
        <v>61</v>
      </c>
      <c r="B52" s="56" t="s">
        <v>62</v>
      </c>
      <c r="C52" s="34">
        <f>[9]С2.2!E14</f>
        <v>12104</v>
      </c>
      <c r="D52" s="122" t="s">
        <v>233</v>
      </c>
    </row>
    <row r="53" spans="1:4" ht="63.75" x14ac:dyDescent="0.2">
      <c r="A53" s="22" t="s">
        <v>63</v>
      </c>
      <c r="B53" s="57" t="s">
        <v>64</v>
      </c>
      <c r="C53" s="35">
        <f>[9]С2.2!E15</f>
        <v>4.8000000000000001E-2</v>
      </c>
      <c r="D53" s="122" t="s">
        <v>235</v>
      </c>
    </row>
    <row r="54" spans="1:4" ht="76.5" x14ac:dyDescent="0.2">
      <c r="A54" s="22" t="s">
        <v>65</v>
      </c>
      <c r="B54" s="57" t="s">
        <v>66</v>
      </c>
      <c r="C54" s="34">
        <f>[9]С2.2!E16</f>
        <v>1</v>
      </c>
      <c r="D54" s="122" t="s">
        <v>236</v>
      </c>
    </row>
    <row r="55" spans="1:4" ht="15.75" x14ac:dyDescent="0.2">
      <c r="A55" s="22" t="s">
        <v>67</v>
      </c>
      <c r="B55" s="58" t="s">
        <v>68</v>
      </c>
      <c r="C55" s="34">
        <f>[9]С2!F21</f>
        <v>1</v>
      </c>
      <c r="D55" s="123" t="s">
        <v>237</v>
      </c>
    </row>
    <row r="56" spans="1:4" ht="30" x14ac:dyDescent="0.2">
      <c r="A56" s="59" t="s">
        <v>69</v>
      </c>
      <c r="B56" s="33" t="s">
        <v>70</v>
      </c>
      <c r="C56" s="34">
        <f>[9]С2!F13</f>
        <v>203708.97017230222</v>
      </c>
      <c r="D56" s="123"/>
    </row>
    <row r="57" spans="1:4" ht="30" x14ac:dyDescent="0.2">
      <c r="A57" s="59" t="s">
        <v>71</v>
      </c>
      <c r="B57" s="58" t="s">
        <v>72</v>
      </c>
      <c r="C57" s="34">
        <f>[9]С2!F14</f>
        <v>113455</v>
      </c>
      <c r="D57" s="123" t="s">
        <v>228</v>
      </c>
    </row>
    <row r="58" spans="1:4" ht="15.75" x14ac:dyDescent="0.2">
      <c r="A58" s="59" t="s">
        <v>73</v>
      </c>
      <c r="B58" s="60" t="s">
        <v>74</v>
      </c>
      <c r="C58" s="40">
        <f>[9]С2!F15</f>
        <v>1.071</v>
      </c>
      <c r="D58" s="123" t="s">
        <v>238</v>
      </c>
    </row>
    <row r="59" spans="1:4" ht="15.75" x14ac:dyDescent="0.2">
      <c r="A59" s="59" t="s">
        <v>75</v>
      </c>
      <c r="B59" s="60" t="s">
        <v>76</v>
      </c>
      <c r="C59" s="40">
        <f>[9]С2!F16</f>
        <v>1</v>
      </c>
      <c r="D59" s="123" t="s">
        <v>237</v>
      </c>
    </row>
    <row r="60" spans="1:4" ht="17.25" x14ac:dyDescent="0.2">
      <c r="A60" s="59" t="s">
        <v>77</v>
      </c>
      <c r="B60" s="58" t="s">
        <v>78</v>
      </c>
      <c r="C60" s="34">
        <f>[9]С2!F17</f>
        <v>1.01</v>
      </c>
      <c r="D60" s="123" t="s">
        <v>239</v>
      </c>
    </row>
    <row r="61" spans="1:4" s="63" customFormat="1" ht="14.25" x14ac:dyDescent="0.2">
      <c r="A61" s="59" t="s">
        <v>79</v>
      </c>
      <c r="B61" s="61" t="s">
        <v>80</v>
      </c>
      <c r="C61" s="62">
        <f>[9]С2!F33</f>
        <v>10</v>
      </c>
      <c r="D61" s="123" t="s">
        <v>240</v>
      </c>
    </row>
    <row r="62" spans="1:4" ht="30" x14ac:dyDescent="0.2">
      <c r="A62" s="59" t="s">
        <v>81</v>
      </c>
      <c r="B62" s="64" t="s">
        <v>82</v>
      </c>
      <c r="C62" s="34">
        <f>[9]С2!F26</f>
        <v>1349.309862285194</v>
      </c>
      <c r="D62" s="123"/>
    </row>
    <row r="63" spans="1:4" ht="165.75" x14ac:dyDescent="0.2">
      <c r="A63" s="59" t="s">
        <v>83</v>
      </c>
      <c r="B63" s="53" t="s">
        <v>84</v>
      </c>
      <c r="C63" s="34">
        <f>[9]С2!F27</f>
        <v>0.19354712999999998</v>
      </c>
      <c r="D63" s="122" t="str">
        <f>[9]С2.4!F12</f>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
    </row>
    <row r="64" spans="1:4" ht="17.25" x14ac:dyDescent="0.2">
      <c r="A64" s="59" t="s">
        <v>85</v>
      </c>
      <c r="B64" s="58" t="s">
        <v>86</v>
      </c>
      <c r="C64" s="62">
        <f>[9]С2!F28</f>
        <v>4200</v>
      </c>
      <c r="D64" s="123" t="s">
        <v>228</v>
      </c>
    </row>
    <row r="65" spans="1:4" ht="42.75" x14ac:dyDescent="0.2">
      <c r="A65" s="59" t="s">
        <v>87</v>
      </c>
      <c r="B65" s="33" t="s">
        <v>88</v>
      </c>
      <c r="C65" s="34">
        <f>[9]С2!F22</f>
        <v>42890.921752741691</v>
      </c>
      <c r="D65" s="123"/>
    </row>
    <row r="66" spans="1:4" ht="30" x14ac:dyDescent="0.2">
      <c r="A66" s="59" t="s">
        <v>89</v>
      </c>
      <c r="B66" s="60" t="s">
        <v>90</v>
      </c>
      <c r="C66" s="34">
        <f>[9]С2!F23</f>
        <v>1990</v>
      </c>
      <c r="D66" s="122" t="s">
        <v>241</v>
      </c>
    </row>
    <row r="67" spans="1:4" ht="30" x14ac:dyDescent="0.2">
      <c r="A67" s="59" t="s">
        <v>91</v>
      </c>
      <c r="B67" s="53" t="s">
        <v>92</v>
      </c>
      <c r="C67" s="34">
        <f>[9]С2.1!E27</f>
        <v>14307.876789999998</v>
      </c>
      <c r="D67" s="123"/>
    </row>
    <row r="68" spans="1:4" ht="38.25" x14ac:dyDescent="0.2">
      <c r="A68" s="59" t="s">
        <v>93</v>
      </c>
      <c r="B68" s="65" t="s">
        <v>94</v>
      </c>
      <c r="C68" s="52">
        <f>[9]С2.3!E21</f>
        <v>0</v>
      </c>
      <c r="D68" s="122">
        <f>[9]С2.3!F21</f>
        <v>0</v>
      </c>
    </row>
    <row r="69" spans="1:4" ht="25.5" x14ac:dyDescent="0.2">
      <c r="A69" s="59" t="s">
        <v>95</v>
      </c>
      <c r="B69" s="66" t="s">
        <v>96</v>
      </c>
      <c r="C69" s="67">
        <f>[9]С2.3!E11</f>
        <v>9.89</v>
      </c>
      <c r="D69" s="123" t="s">
        <v>242</v>
      </c>
    </row>
    <row r="70" spans="1:4" ht="25.5" x14ac:dyDescent="0.2">
      <c r="A70" s="59" t="s">
        <v>97</v>
      </c>
      <c r="B70" s="66" t="s">
        <v>98</v>
      </c>
      <c r="C70" s="62">
        <f>[9]С2.3!E13</f>
        <v>300</v>
      </c>
      <c r="D70" s="123" t="s">
        <v>242</v>
      </c>
    </row>
    <row r="71" spans="1:4" ht="25.5" x14ac:dyDescent="0.2">
      <c r="A71" s="59" t="s">
        <v>99</v>
      </c>
      <c r="B71" s="65" t="s">
        <v>100</v>
      </c>
      <c r="C71" s="68">
        <f>IF([9]С2.3!E22&gt;0,[9]С2.3!E22,[9]С2.3!E14)</f>
        <v>61211</v>
      </c>
      <c r="D71" s="122" t="str">
        <f>IF(C71=[9]С2.3!E14,"Таблица ТЭП (IV)",[9]С2.3!F22)</f>
        <v>Таблица ТЭП (IV)</v>
      </c>
    </row>
    <row r="72" spans="1:4" ht="38.25" x14ac:dyDescent="0.2">
      <c r="A72" s="59" t="s">
        <v>101</v>
      </c>
      <c r="B72" s="65" t="s">
        <v>102</v>
      </c>
      <c r="C72" s="68">
        <f>IF([9]С2.3!E23&gt;0,[9]С2.3!E23,[9]С2.3!E15)</f>
        <v>45675</v>
      </c>
      <c r="D72" s="122" t="str">
        <f>IF(C72=[9]С2.3!E15,"Таблица ТЭП (IV)",[9]С2.3!F23)</f>
        <v>Таблица ТЭП (IV)</v>
      </c>
    </row>
    <row r="73" spans="1:4" ht="30" x14ac:dyDescent="0.2">
      <c r="A73" s="59" t="s">
        <v>103</v>
      </c>
      <c r="B73" s="53" t="s">
        <v>104</v>
      </c>
      <c r="C73" s="34">
        <f>[9]С2.1!E28</f>
        <v>9541.9567200000001</v>
      </c>
      <c r="D73" s="123"/>
    </row>
    <row r="74" spans="1:4" ht="38.25" x14ac:dyDescent="0.2">
      <c r="A74" s="59" t="s">
        <v>105</v>
      </c>
      <c r="B74" s="65" t="s">
        <v>106</v>
      </c>
      <c r="C74" s="52">
        <f>[9]С2.3!E25</f>
        <v>0</v>
      </c>
      <c r="D74" s="122">
        <f>[9]С2.3!F25</f>
        <v>0</v>
      </c>
    </row>
    <row r="75" spans="1:4" ht="25.5" x14ac:dyDescent="0.2">
      <c r="A75" s="59" t="s">
        <v>107</v>
      </c>
      <c r="B75" s="66" t="s">
        <v>108</v>
      </c>
      <c r="C75" s="67">
        <f>[9]С2.3!E12</f>
        <v>0.56000000000000005</v>
      </c>
      <c r="D75" s="123" t="s">
        <v>242</v>
      </c>
    </row>
    <row r="76" spans="1:4" ht="25.5" x14ac:dyDescent="0.2">
      <c r="A76" s="59" t="s">
        <v>109</v>
      </c>
      <c r="B76" s="66" t="s">
        <v>98</v>
      </c>
      <c r="C76" s="62">
        <f>[9]С2.3!E13</f>
        <v>300</v>
      </c>
      <c r="D76" s="123" t="s">
        <v>242</v>
      </c>
    </row>
    <row r="77" spans="1:4" ht="25.5" x14ac:dyDescent="0.2">
      <c r="A77" s="59" t="s">
        <v>110</v>
      </c>
      <c r="B77" s="69" t="s">
        <v>111</v>
      </c>
      <c r="C77" s="68">
        <f>IF([9]С2.3!E26&gt;0,[9]С2.3!E26,[9]С2.3!E16)</f>
        <v>65637</v>
      </c>
      <c r="D77" s="122" t="str">
        <f>IF(C77=[9]С2.3!E16,"Таблица ТЭП (IV)",[9]С2.3!F26)</f>
        <v>Таблица ТЭП (IV)</v>
      </c>
    </row>
    <row r="78" spans="1:4" ht="38.25" x14ac:dyDescent="0.2">
      <c r="A78" s="59" t="s">
        <v>112</v>
      </c>
      <c r="B78" s="69" t="s">
        <v>113</v>
      </c>
      <c r="C78" s="68">
        <f>IF([9]С2.3!E27&gt;0,[9]С2.3!E27,[9]С2.3!E17)</f>
        <v>31684</v>
      </c>
      <c r="D78" s="122" t="str">
        <f>IF(C78=[9]С2.3!E17,"Таблица ТЭП (IV)",[9]С2.3!F27)</f>
        <v>Таблица ТЭП (IV)</v>
      </c>
    </row>
    <row r="79" spans="1:4" ht="17.25" x14ac:dyDescent="0.2">
      <c r="A79" s="59" t="s">
        <v>114</v>
      </c>
      <c r="B79" s="33" t="s">
        <v>115</v>
      </c>
      <c r="C79" s="35">
        <f>[9]С2!F29</f>
        <v>0.17804631770487722</v>
      </c>
      <c r="D79" s="128"/>
    </row>
    <row r="80" spans="1:4" ht="30" x14ac:dyDescent="0.2">
      <c r="A80" s="59" t="s">
        <v>116</v>
      </c>
      <c r="B80" s="53" t="s">
        <v>117</v>
      </c>
      <c r="C80" s="70">
        <f>[9]С2!F30</f>
        <v>0.1652189781021898</v>
      </c>
      <c r="D80" s="129" t="str">
        <f>[9]С2.6!G11</f>
        <v>Информация с официального сайта Банка России</v>
      </c>
    </row>
    <row r="81" spans="1:4" ht="17.25" x14ac:dyDescent="0.2">
      <c r="A81" s="59" t="s">
        <v>118</v>
      </c>
      <c r="B81" s="71" t="s">
        <v>119</v>
      </c>
      <c r="C81" s="35">
        <f>[9]С2!F31</f>
        <v>0.13880000000000001</v>
      </c>
      <c r="D81" s="123" t="s">
        <v>240</v>
      </c>
    </row>
    <row r="82" spans="1:4" s="63" customFormat="1" ht="18" thickBot="1" x14ac:dyDescent="0.25">
      <c r="A82" s="72" t="s">
        <v>120</v>
      </c>
      <c r="B82" s="73" t="s">
        <v>121</v>
      </c>
      <c r="C82" s="74">
        <f>[9]С2!F32</f>
        <v>0.12640000000000001</v>
      </c>
      <c r="D82" s="130" t="s">
        <v>240</v>
      </c>
    </row>
    <row r="83" spans="1:4" ht="13.5" thickBot="1" x14ac:dyDescent="0.25">
      <c r="A83" s="47"/>
      <c r="B83" s="75"/>
      <c r="C83" s="15"/>
      <c r="D83" s="131"/>
    </row>
    <row r="84" spans="1:4" s="63" customFormat="1" ht="30" customHeight="1" x14ac:dyDescent="0.2">
      <c r="A84" s="76" t="s">
        <v>122</v>
      </c>
      <c r="B84" s="136" t="s">
        <v>123</v>
      </c>
      <c r="C84" s="136"/>
      <c r="D84" s="142"/>
    </row>
    <row r="85" spans="1:4" s="63" customFormat="1" ht="30" x14ac:dyDescent="0.2">
      <c r="A85" s="77" t="s">
        <v>124</v>
      </c>
      <c r="B85" s="33" t="s">
        <v>125</v>
      </c>
      <c r="C85" s="34">
        <f>[9]С3!F14</f>
        <v>14784.578474435859</v>
      </c>
      <c r="D85" s="122"/>
    </row>
    <row r="86" spans="1:4" s="63" customFormat="1" ht="42.75" x14ac:dyDescent="0.2">
      <c r="A86" s="77" t="s">
        <v>126</v>
      </c>
      <c r="B86" s="53" t="s">
        <v>127</v>
      </c>
      <c r="C86" s="78">
        <f>[9]С3!F15</f>
        <v>0.25</v>
      </c>
      <c r="D86" s="122">
        <f>[9]С3.1!F12</f>
        <v>0</v>
      </c>
    </row>
    <row r="87" spans="1:4" s="63" customFormat="1" ht="14.25" x14ac:dyDescent="0.2">
      <c r="A87" s="77" t="s">
        <v>128</v>
      </c>
      <c r="B87" s="79" t="s">
        <v>129</v>
      </c>
      <c r="C87" s="62">
        <f>[9]С3!F18</f>
        <v>15</v>
      </c>
      <c r="D87" s="122" t="s">
        <v>240</v>
      </c>
    </row>
    <row r="88" spans="1:4" s="63" customFormat="1" ht="17.25" x14ac:dyDescent="0.2">
      <c r="A88" s="77" t="s">
        <v>130</v>
      </c>
      <c r="B88" s="33" t="s">
        <v>131</v>
      </c>
      <c r="C88" s="34">
        <f>[9]С3!F19</f>
        <v>4187.478806422544</v>
      </c>
      <c r="D88" s="122"/>
    </row>
    <row r="89" spans="1:4" s="63" customFormat="1" ht="55.5" x14ac:dyDescent="0.2">
      <c r="A89" s="77" t="s">
        <v>132</v>
      </c>
      <c r="B89" s="53" t="s">
        <v>133</v>
      </c>
      <c r="C89" s="80">
        <f>[9]С3!F20</f>
        <v>2.1999999999999999E-2</v>
      </c>
      <c r="D89" s="122">
        <f>[9]С3.1!F13</f>
        <v>0</v>
      </c>
    </row>
    <row r="90" spans="1:4" s="63" customFormat="1" ht="14.25" x14ac:dyDescent="0.2">
      <c r="A90" s="77" t="s">
        <v>134</v>
      </c>
      <c r="B90" s="58" t="s">
        <v>80</v>
      </c>
      <c r="C90" s="62">
        <f>[9]С3!F21</f>
        <v>10</v>
      </c>
      <c r="D90" s="122" t="s">
        <v>240</v>
      </c>
    </row>
    <row r="91" spans="1:4" s="63" customFormat="1" ht="17.25" x14ac:dyDescent="0.2">
      <c r="A91" s="77" t="s">
        <v>135</v>
      </c>
      <c r="B91" s="33" t="s">
        <v>136</v>
      </c>
      <c r="C91" s="34">
        <f>[9]С3!F22</f>
        <v>4.0479295868555818</v>
      </c>
      <c r="D91" s="122"/>
    </row>
    <row r="92" spans="1:4" s="63" customFormat="1" ht="55.5" x14ac:dyDescent="0.2">
      <c r="A92" s="77" t="s">
        <v>137</v>
      </c>
      <c r="B92" s="53" t="s">
        <v>138</v>
      </c>
      <c r="C92" s="80">
        <f>[9]С3!F23</f>
        <v>3.0000000000000001E-3</v>
      </c>
      <c r="D92" s="122">
        <f>[9]С3.1!F14</f>
        <v>0</v>
      </c>
    </row>
    <row r="93" spans="1:4" s="63" customFormat="1" ht="27.75" thickBot="1" x14ac:dyDescent="0.25">
      <c r="A93" s="81" t="s">
        <v>139</v>
      </c>
      <c r="B93" s="82" t="s">
        <v>140</v>
      </c>
      <c r="C93" s="83">
        <f>[9]С3!F24</f>
        <v>1349.309862285194</v>
      </c>
      <c r="D93" s="125"/>
    </row>
    <row r="94" spans="1:4" ht="13.5" thickBot="1" x14ac:dyDescent="0.25">
      <c r="A94" s="47"/>
      <c r="B94" s="75"/>
      <c r="C94" s="15"/>
      <c r="D94" s="131"/>
    </row>
    <row r="95" spans="1:4" ht="30" customHeight="1" x14ac:dyDescent="0.2">
      <c r="A95" s="84" t="s">
        <v>141</v>
      </c>
      <c r="B95" s="136" t="s">
        <v>142</v>
      </c>
      <c r="C95" s="136"/>
      <c r="D95" s="142"/>
    </row>
    <row r="96" spans="1:4" ht="30" x14ac:dyDescent="0.2">
      <c r="A96" s="59" t="s">
        <v>143</v>
      </c>
      <c r="B96" s="33" t="s">
        <v>144</v>
      </c>
      <c r="C96" s="34">
        <f>[9]С4!F16</f>
        <v>1652.5</v>
      </c>
      <c r="D96" s="122"/>
    </row>
    <row r="97" spans="1:4" ht="30" x14ac:dyDescent="0.2">
      <c r="A97" s="59" t="s">
        <v>145</v>
      </c>
      <c r="B97" s="58" t="s">
        <v>146</v>
      </c>
      <c r="C97" s="34">
        <f>[9]С4!F17</f>
        <v>73547</v>
      </c>
      <c r="D97" s="122" t="s">
        <v>228</v>
      </c>
    </row>
    <row r="98" spans="1:4" ht="17.25" x14ac:dyDescent="0.2">
      <c r="A98" s="59" t="s">
        <v>147</v>
      </c>
      <c r="B98" s="58" t="s">
        <v>148</v>
      </c>
      <c r="C98" s="40">
        <f>[9]С4!F18</f>
        <v>0.02</v>
      </c>
      <c r="D98" s="122" t="s">
        <v>228</v>
      </c>
    </row>
    <row r="99" spans="1:4" ht="30" x14ac:dyDescent="0.2">
      <c r="A99" s="59" t="s">
        <v>149</v>
      </c>
      <c r="B99" s="58" t="s">
        <v>150</v>
      </c>
      <c r="C99" s="34">
        <f>[9]С4!F19</f>
        <v>12104</v>
      </c>
      <c r="D99" s="122" t="s">
        <v>243</v>
      </c>
    </row>
    <row r="100" spans="1:4" ht="31.5" x14ac:dyDescent="0.2">
      <c r="A100" s="59" t="s">
        <v>151</v>
      </c>
      <c r="B100" s="58" t="s">
        <v>152</v>
      </c>
      <c r="C100" s="40">
        <f>[9]С4!F20</f>
        <v>1.4999999999999999E-2</v>
      </c>
      <c r="D100" s="122" t="s">
        <v>243</v>
      </c>
    </row>
    <row r="101" spans="1:4" ht="30" x14ac:dyDescent="0.2">
      <c r="A101" s="59" t="s">
        <v>153</v>
      </c>
      <c r="B101" s="33" t="s">
        <v>154</v>
      </c>
      <c r="C101" s="34">
        <f>[9]С4!F21</f>
        <v>1933.1949342509995</v>
      </c>
      <c r="D101" s="122"/>
    </row>
    <row r="102" spans="1:4" ht="24" customHeight="1" x14ac:dyDescent="0.2">
      <c r="A102" s="59" t="s">
        <v>155</v>
      </c>
      <c r="B102" s="53" t="s">
        <v>156</v>
      </c>
      <c r="C102" s="85">
        <f>IF([9]С4.2!F8="да",[9]С4.2!D21,[9]С4.2!D15)</f>
        <v>0</v>
      </c>
      <c r="D102" s="122"/>
    </row>
    <row r="103" spans="1:4" ht="68.25" x14ac:dyDescent="0.2">
      <c r="A103" s="59" t="s">
        <v>157</v>
      </c>
      <c r="B103" s="53" t="s">
        <v>158</v>
      </c>
      <c r="C103" s="34">
        <f>[9]С4!F22</f>
        <v>3.6112641666666665</v>
      </c>
      <c r="D103" s="122">
        <f>IF([9]С4.2!F8="да",[9]С4.2!E21,[9]С4.2!E15)</f>
        <v>0</v>
      </c>
    </row>
    <row r="104" spans="1:4" ht="30" x14ac:dyDescent="0.2">
      <c r="A104" s="59" t="s">
        <v>159</v>
      </c>
      <c r="B104" s="58" t="s">
        <v>160</v>
      </c>
      <c r="C104" s="34">
        <f>[9]С4!F23</f>
        <v>180</v>
      </c>
      <c r="D104" s="122" t="s">
        <v>241</v>
      </c>
    </row>
    <row r="105" spans="1:4" ht="14.25" x14ac:dyDescent="0.2">
      <c r="A105" s="59" t="s">
        <v>161</v>
      </c>
      <c r="B105" s="53" t="s">
        <v>162</v>
      </c>
      <c r="C105" s="34">
        <f>[9]С4!F24</f>
        <v>8497.1999999999989</v>
      </c>
      <c r="D105" s="122" t="s">
        <v>228</v>
      </c>
    </row>
    <row r="106" spans="1:4" ht="14.25" x14ac:dyDescent="0.2">
      <c r="A106" s="59" t="s">
        <v>163</v>
      </c>
      <c r="B106" s="58" t="s">
        <v>164</v>
      </c>
      <c r="C106" s="40">
        <f>[9]С4!F25</f>
        <v>0.35</v>
      </c>
      <c r="D106" s="122" t="s">
        <v>244</v>
      </c>
    </row>
    <row r="107" spans="1:4" ht="17.25" x14ac:dyDescent="0.2">
      <c r="A107" s="59" t="s">
        <v>165</v>
      </c>
      <c r="B107" s="33" t="s">
        <v>166</v>
      </c>
      <c r="C107" s="34">
        <f>[9]С4!F26</f>
        <v>56.253800000000012</v>
      </c>
      <c r="D107" s="122"/>
    </row>
    <row r="108" spans="1:4" ht="25.5" x14ac:dyDescent="0.2">
      <c r="A108" s="59" t="s">
        <v>167</v>
      </c>
      <c r="B108" s="53" t="s">
        <v>94</v>
      </c>
      <c r="C108" s="85">
        <f>[9]С4.3!E16</f>
        <v>0</v>
      </c>
      <c r="D108" s="122">
        <f>[9]С4.3!F16</f>
        <v>0</v>
      </c>
    </row>
    <row r="109" spans="1:4" ht="25.5" x14ac:dyDescent="0.2">
      <c r="A109" s="59" t="s">
        <v>168</v>
      </c>
      <c r="B109" s="53" t="s">
        <v>169</v>
      </c>
      <c r="C109" s="34">
        <f>[9]С4.3!E17</f>
        <v>14.666666666666668</v>
      </c>
      <c r="D109" s="127">
        <f>[9]С4.3!F17</f>
        <v>0</v>
      </c>
    </row>
    <row r="110" spans="1:4" ht="38.25" x14ac:dyDescent="0.2">
      <c r="A110" s="59" t="s">
        <v>170</v>
      </c>
      <c r="B110" s="53" t="s">
        <v>106</v>
      </c>
      <c r="C110" s="85">
        <f>[9]С4.3!E18</f>
        <v>0</v>
      </c>
      <c r="D110" s="122">
        <f>[9]С4.3!F18</f>
        <v>0</v>
      </c>
    </row>
    <row r="111" spans="1:4" x14ac:dyDescent="0.2">
      <c r="A111" s="59" t="s">
        <v>171</v>
      </c>
      <c r="B111" s="53" t="s">
        <v>172</v>
      </c>
      <c r="C111" s="34">
        <f>[9]С4.3!E19</f>
        <v>23.616666666666667</v>
      </c>
      <c r="D111" s="127">
        <f>[9]С4.3!F19</f>
        <v>0</v>
      </c>
    </row>
    <row r="112" spans="1:4" x14ac:dyDescent="0.2">
      <c r="A112" s="59" t="s">
        <v>173</v>
      </c>
      <c r="B112" s="58" t="s">
        <v>174</v>
      </c>
      <c r="C112" s="34">
        <f>[9]С4.3!E11</f>
        <v>1871</v>
      </c>
      <c r="D112" s="122" t="s">
        <v>228</v>
      </c>
    </row>
    <row r="113" spans="1:4" x14ac:dyDescent="0.2">
      <c r="A113" s="59" t="s">
        <v>175</v>
      </c>
      <c r="B113" s="58" t="s">
        <v>176</v>
      </c>
      <c r="C113" s="52">
        <f>[9]С4.3!E12</f>
        <v>1636</v>
      </c>
      <c r="D113" s="122" t="s">
        <v>228</v>
      </c>
    </row>
    <row r="114" spans="1:4" x14ac:dyDescent="0.2">
      <c r="A114" s="59" t="s">
        <v>177</v>
      </c>
      <c r="B114" s="58" t="s">
        <v>178</v>
      </c>
      <c r="C114" s="52">
        <f>[9]С4.3!E13</f>
        <v>204</v>
      </c>
      <c r="D114" s="122" t="s">
        <v>228</v>
      </c>
    </row>
    <row r="115" spans="1:4" ht="30" x14ac:dyDescent="0.2">
      <c r="A115" s="59" t="s">
        <v>179</v>
      </c>
      <c r="B115" s="33" t="s">
        <v>180</v>
      </c>
      <c r="C115" s="34">
        <f>[9]С4!F27</f>
        <v>1291.2863994686898</v>
      </c>
      <c r="D115" s="122"/>
    </row>
    <row r="116" spans="1:4" ht="25.5" x14ac:dyDescent="0.2">
      <c r="A116" s="59" t="s">
        <v>181</v>
      </c>
      <c r="B116" s="53" t="s">
        <v>182</v>
      </c>
      <c r="C116" s="34">
        <f>[9]С4!F28</f>
        <v>991.77142816335618</v>
      </c>
      <c r="D116" s="127"/>
    </row>
    <row r="117" spans="1:4" ht="42.75" x14ac:dyDescent="0.2">
      <c r="A117" s="59" t="s">
        <v>183</v>
      </c>
      <c r="B117" s="53" t="s">
        <v>184</v>
      </c>
      <c r="C117" s="34">
        <f>[9]С4!F29</f>
        <v>299.51497130533357</v>
      </c>
      <c r="D117" s="122"/>
    </row>
    <row r="118" spans="1:4" ht="30" x14ac:dyDescent="0.2">
      <c r="A118" s="59" t="s">
        <v>185</v>
      </c>
      <c r="B118" s="39" t="s">
        <v>186</v>
      </c>
      <c r="C118" s="34">
        <f>[9]С4!F30</f>
        <v>2721.9332175176114</v>
      </c>
      <c r="D118" s="122"/>
    </row>
    <row r="119" spans="1:4" ht="42.75" x14ac:dyDescent="0.2">
      <c r="A119" s="59" t="s">
        <v>187</v>
      </c>
      <c r="B119" s="86" t="s">
        <v>188</v>
      </c>
      <c r="C119" s="34">
        <f>[9]С4!F33</f>
        <v>1524.1432075373184</v>
      </c>
      <c r="D119" s="122"/>
    </row>
    <row r="120" spans="1:4" ht="30" x14ac:dyDescent="0.2">
      <c r="A120" s="59" t="s">
        <v>189</v>
      </c>
      <c r="B120" s="87" t="s">
        <v>190</v>
      </c>
      <c r="C120" s="34">
        <f>[9]С4!F35</f>
        <v>17.040680999999999</v>
      </c>
      <c r="D120" s="127"/>
    </row>
    <row r="121" spans="1:4" ht="14.25" x14ac:dyDescent="0.2">
      <c r="A121" s="59" t="s">
        <v>191</v>
      </c>
      <c r="B121" s="56" t="s">
        <v>192</v>
      </c>
      <c r="C121" s="34">
        <f>[9]С4!F36</f>
        <v>14319.9</v>
      </c>
      <c r="D121" s="122" t="s">
        <v>245</v>
      </c>
    </row>
    <row r="122" spans="1:4" ht="28.5" thickBot="1" x14ac:dyDescent="0.25">
      <c r="A122" s="72" t="s">
        <v>193</v>
      </c>
      <c r="B122" s="88" t="s">
        <v>194</v>
      </c>
      <c r="C122" s="83">
        <f>[9]С4!F37</f>
        <v>1.19</v>
      </c>
      <c r="D122" s="125" t="str">
        <f>[9]С4.1!F12</f>
        <v>пп № 274 от 01.03.2022</v>
      </c>
    </row>
    <row r="123" spans="1:4" s="89" customFormat="1" ht="13.5" thickBot="1" x14ac:dyDescent="0.25">
      <c r="A123" s="47"/>
      <c r="B123" s="75"/>
      <c r="C123" s="15"/>
      <c r="D123" s="131"/>
    </row>
    <row r="124" spans="1:4" s="63" customFormat="1" ht="30" customHeight="1" x14ac:dyDescent="0.2">
      <c r="A124" s="76" t="s">
        <v>195</v>
      </c>
      <c r="B124" s="136" t="s">
        <v>196</v>
      </c>
      <c r="C124" s="136"/>
      <c r="D124" s="142"/>
    </row>
    <row r="125" spans="1:4" ht="16.5" thickBot="1" x14ac:dyDescent="0.25">
      <c r="A125" s="27" t="s">
        <v>197</v>
      </c>
      <c r="B125" s="90" t="s">
        <v>198</v>
      </c>
      <c r="C125" s="83">
        <f>[9]С5!F17</f>
        <v>0.02</v>
      </c>
      <c r="D125" s="132" t="s">
        <v>229</v>
      </c>
    </row>
    <row r="126" spans="1:4" s="89" customFormat="1" ht="13.5" thickBot="1" x14ac:dyDescent="0.25">
      <c r="A126" s="47"/>
      <c r="B126" s="75"/>
      <c r="C126" s="15"/>
      <c r="D126" s="131"/>
    </row>
    <row r="127" spans="1:4" ht="42.75" customHeight="1" x14ac:dyDescent="0.2">
      <c r="A127" s="84" t="s">
        <v>199</v>
      </c>
      <c r="B127" s="137" t="s">
        <v>200</v>
      </c>
      <c r="C127" s="137"/>
      <c r="D127" s="143"/>
    </row>
    <row r="128" spans="1:4" ht="68.25" x14ac:dyDescent="0.2">
      <c r="A128" s="59" t="s">
        <v>201</v>
      </c>
      <c r="B128" s="91" t="s">
        <v>202</v>
      </c>
      <c r="C128" s="34" t="s">
        <v>203</v>
      </c>
      <c r="D128" s="123" t="s">
        <v>229</v>
      </c>
    </row>
    <row r="129" spans="1:5" ht="42.75" hidden="1" x14ac:dyDescent="0.2">
      <c r="A129" s="59" t="s">
        <v>204</v>
      </c>
      <c r="B129" s="86" t="s">
        <v>205</v>
      </c>
      <c r="C129" s="92"/>
      <c r="D129" s="122"/>
    </row>
    <row r="130" spans="1:5" ht="69" thickBot="1" x14ac:dyDescent="0.25">
      <c r="A130" s="72" t="s">
        <v>206</v>
      </c>
      <c r="B130" s="93" t="s">
        <v>207</v>
      </c>
      <c r="C130" s="94" t="s">
        <v>203</v>
      </c>
      <c r="D130" s="130" t="s">
        <v>229</v>
      </c>
    </row>
    <row r="131" spans="1:5" ht="62.25" hidden="1" customHeight="1" x14ac:dyDescent="0.2">
      <c r="A131" s="95" t="s">
        <v>208</v>
      </c>
      <c r="B131" s="96" t="s">
        <v>209</v>
      </c>
      <c r="C131" s="97"/>
      <c r="D131" s="133"/>
    </row>
    <row r="132" spans="1:5" ht="68.25" hidden="1" x14ac:dyDescent="0.2">
      <c r="A132" s="59" t="s">
        <v>210</v>
      </c>
      <c r="B132" s="86" t="s">
        <v>211</v>
      </c>
      <c r="C132" s="35"/>
      <c r="D132" s="122"/>
    </row>
    <row r="133" spans="1:5" ht="69" hidden="1" thickBot="1" x14ac:dyDescent="0.25">
      <c r="A133" s="72" t="s">
        <v>212</v>
      </c>
      <c r="B133" s="98" t="s">
        <v>213</v>
      </c>
      <c r="C133" s="74"/>
      <c r="D133" s="125"/>
    </row>
    <row r="134" spans="1:5" s="89" customFormat="1" ht="13.5" thickBot="1" x14ac:dyDescent="0.25">
      <c r="A134" s="47"/>
      <c r="B134" s="75"/>
      <c r="C134" s="15"/>
      <c r="D134" s="131"/>
    </row>
    <row r="135" spans="1:5" ht="26.25" customHeight="1" x14ac:dyDescent="0.2">
      <c r="A135" s="84" t="s">
        <v>214</v>
      </c>
      <c r="B135" s="99" t="s">
        <v>215</v>
      </c>
      <c r="C135" s="100">
        <f>[9]С2!F37</f>
        <v>20.818139999999996</v>
      </c>
      <c r="D135" s="134"/>
    </row>
    <row r="136" spans="1:5" ht="14.25" x14ac:dyDescent="0.2">
      <c r="A136" s="59" t="s">
        <v>216</v>
      </c>
      <c r="B136" s="101" t="s">
        <v>217</v>
      </c>
      <c r="C136" s="34">
        <f>[9]С2!F38</f>
        <v>7</v>
      </c>
      <c r="D136" s="122" t="s">
        <v>228</v>
      </c>
    </row>
    <row r="137" spans="1:5" ht="17.25" x14ac:dyDescent="0.2">
      <c r="A137" s="59" t="s">
        <v>218</v>
      </c>
      <c r="B137" s="101" t="s">
        <v>219</v>
      </c>
      <c r="C137" s="34">
        <f>[9]С2!F40</f>
        <v>0.97</v>
      </c>
      <c r="D137" s="122" t="s">
        <v>228</v>
      </c>
    </row>
    <row r="138" spans="1:5" ht="15" thickBot="1" x14ac:dyDescent="0.25">
      <c r="A138" s="72" t="s">
        <v>220</v>
      </c>
      <c r="B138" s="102" t="s">
        <v>221</v>
      </c>
      <c r="C138" s="46">
        <f>[9]С2!F42</f>
        <v>0.35</v>
      </c>
      <c r="D138" s="125" t="s">
        <v>244</v>
      </c>
    </row>
    <row r="139" spans="1:5" s="89" customFormat="1" ht="13.5" thickBot="1" x14ac:dyDescent="0.25">
      <c r="A139" s="47"/>
      <c r="B139" s="75"/>
      <c r="C139" s="15"/>
      <c r="D139" s="131"/>
    </row>
    <row r="140" spans="1:5" ht="409.5" x14ac:dyDescent="0.2">
      <c r="A140" s="84" t="s">
        <v>222</v>
      </c>
      <c r="B140" s="103" t="s">
        <v>223</v>
      </c>
      <c r="C140" s="104">
        <f>[9]С2!F35</f>
        <v>1.6598760876745948</v>
      </c>
      <c r="D140" s="135" t="str">
        <f>[9]С2.5!D15</f>
        <v>на 2020: Прогноз социально-экономического развития Российской Федерации на 2022 год и на плановый период 2023 и 2024 годов (размещен на официальном сайте Минэкономразвития России 30.09.2021): файл в формате Microsoft Excel «12. Дефляторы базовый», таблица «Прогноз индексов цен производителей и индексов-дефляторов по видам экономической деятельности, в % г/г (Базовый вариант)», отрасль «Промышленность (BСDE)», (показатель «ИЦП»)
на 2021-2023 годы:  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отрасль «Промышленность (BСDE)», (показатель «ИЦП»)</v>
      </c>
      <c r="E140" s="89"/>
    </row>
    <row r="141" spans="1:5" ht="22.7" customHeight="1" thickBot="1" x14ac:dyDescent="0.25">
      <c r="A141" s="72" t="s">
        <v>224</v>
      </c>
      <c r="B141" s="138" t="s">
        <v>225</v>
      </c>
      <c r="C141" s="138"/>
      <c r="D141" s="144"/>
      <c r="E141" s="89"/>
    </row>
    <row r="142" spans="1:5" ht="13.5" thickBot="1" x14ac:dyDescent="0.25">
      <c r="A142" s="105"/>
      <c r="B142" s="106" t="s">
        <v>226</v>
      </c>
      <c r="C142" s="107"/>
      <c r="D142" s="119"/>
      <c r="E142" s="89"/>
    </row>
    <row r="143" spans="1:5" x14ac:dyDescent="0.2">
      <c r="A143" s="105"/>
      <c r="B143" s="108">
        <v>2020</v>
      </c>
      <c r="C143" s="109">
        <f>[9]С2.5!$E$11</f>
        <v>-2.9000000000000026E-2</v>
      </c>
      <c r="D143" s="119"/>
      <c r="E143" s="89"/>
    </row>
    <row r="144" spans="1:5" x14ac:dyDescent="0.2">
      <c r="A144" s="105"/>
      <c r="B144" s="110">
        <f>B143+1</f>
        <v>2021</v>
      </c>
      <c r="C144" s="111">
        <f>[9]С2.5!$F$11</f>
        <v>0.245</v>
      </c>
      <c r="D144" s="119"/>
      <c r="E144" s="89"/>
    </row>
    <row r="145" spans="1:5" x14ac:dyDescent="0.2">
      <c r="A145" s="105"/>
      <c r="B145" s="110">
        <f t="shared" ref="B145:B208" si="0">B144+1</f>
        <v>2022</v>
      </c>
      <c r="C145" s="111">
        <f>[9]С2.5!$G$11</f>
        <v>0.114</v>
      </c>
      <c r="D145" s="119"/>
      <c r="E145" s="89"/>
    </row>
    <row r="146" spans="1:5" ht="13.5" thickBot="1" x14ac:dyDescent="0.25">
      <c r="A146" s="105"/>
      <c r="B146" s="112">
        <f t="shared" si="0"/>
        <v>2023</v>
      </c>
      <c r="C146" s="113">
        <f>[9]С2.5!$H$11</f>
        <v>0.04</v>
      </c>
      <c r="D146" s="119"/>
      <c r="E146" s="89"/>
    </row>
    <row r="147" spans="1:5" x14ac:dyDescent="0.2">
      <c r="A147" s="105"/>
      <c r="B147" s="114">
        <f t="shared" si="0"/>
        <v>2024</v>
      </c>
      <c r="C147" s="115">
        <f>[9]С2.5!$I$11</f>
        <v>0.11700000000000001</v>
      </c>
      <c r="D147" s="119"/>
      <c r="E147" s="89"/>
    </row>
    <row r="148" spans="1:5" x14ac:dyDescent="0.2">
      <c r="A148" s="105"/>
      <c r="B148" s="110">
        <f t="shared" si="0"/>
        <v>2025</v>
      </c>
      <c r="C148" s="111">
        <f>[9]С2.5!$J$11</f>
        <v>6.0999999999999999E-2</v>
      </c>
      <c r="D148" s="119"/>
      <c r="E148" s="89"/>
    </row>
    <row r="149" spans="1:5" hidden="1" x14ac:dyDescent="0.2">
      <c r="A149" s="105"/>
      <c r="B149" s="110">
        <f t="shared" si="0"/>
        <v>2026</v>
      </c>
      <c r="C149" s="111">
        <f>[9]С2.5!$K$11</f>
        <v>3.5813361771260002E-2</v>
      </c>
      <c r="D149" s="119"/>
      <c r="E149" s="89"/>
    </row>
    <row r="150" spans="1:5" hidden="1" x14ac:dyDescent="0.2">
      <c r="A150" s="105"/>
      <c r="B150" s="110">
        <f t="shared" si="0"/>
        <v>2027</v>
      </c>
      <c r="C150" s="111">
        <f>[9]С2.5!$L$11</f>
        <v>3.2682303599220003E-2</v>
      </c>
      <c r="D150" s="119"/>
      <c r="E150" s="89"/>
    </row>
    <row r="151" spans="1:5" hidden="1" x14ac:dyDescent="0.2">
      <c r="A151" s="105"/>
      <c r="B151" s="110">
        <f t="shared" si="0"/>
        <v>2028</v>
      </c>
      <c r="C151" s="111">
        <f>[9]С2.5!$M$11</f>
        <v>0</v>
      </c>
      <c r="D151" s="119"/>
      <c r="E151" s="89"/>
    </row>
    <row r="152" spans="1:5" hidden="1" x14ac:dyDescent="0.2">
      <c r="A152" s="105"/>
      <c r="B152" s="110">
        <f t="shared" si="0"/>
        <v>2029</v>
      </c>
      <c r="C152" s="111">
        <f>[9]С2.5!$N$11</f>
        <v>0</v>
      </c>
      <c r="D152" s="119"/>
      <c r="E152" s="89"/>
    </row>
    <row r="153" spans="1:5" hidden="1" x14ac:dyDescent="0.2">
      <c r="A153" s="105"/>
      <c r="B153" s="110">
        <f t="shared" si="0"/>
        <v>2030</v>
      </c>
      <c r="C153" s="111">
        <f>[9]С2.5!$O$11</f>
        <v>0</v>
      </c>
      <c r="D153" s="119"/>
      <c r="E153" s="89"/>
    </row>
    <row r="154" spans="1:5" hidden="1" x14ac:dyDescent="0.2">
      <c r="A154" s="105"/>
      <c r="B154" s="110">
        <f t="shared" si="0"/>
        <v>2031</v>
      </c>
      <c r="C154" s="111">
        <f>[9]С2.5!$P$11</f>
        <v>0</v>
      </c>
      <c r="D154" s="119"/>
      <c r="E154" s="89"/>
    </row>
    <row r="155" spans="1:5" hidden="1" x14ac:dyDescent="0.2">
      <c r="A155" s="89"/>
      <c r="B155" s="110">
        <f t="shared" si="0"/>
        <v>2032</v>
      </c>
      <c r="C155" s="111">
        <f>[9]С2.5!$Q$11</f>
        <v>0</v>
      </c>
      <c r="D155" s="119"/>
      <c r="E155" s="89"/>
    </row>
    <row r="156" spans="1:5" hidden="1" x14ac:dyDescent="0.2">
      <c r="A156" s="89"/>
      <c r="B156" s="110">
        <f t="shared" si="0"/>
        <v>2033</v>
      </c>
      <c r="C156" s="111">
        <f>[9]С2.5!$R$11</f>
        <v>0</v>
      </c>
      <c r="D156" s="119"/>
      <c r="E156" s="89"/>
    </row>
    <row r="157" spans="1:5" hidden="1" x14ac:dyDescent="0.2">
      <c r="B157" s="110">
        <f t="shared" si="0"/>
        <v>2034</v>
      </c>
      <c r="C157" s="111">
        <f>[9]С2.5!$S$11</f>
        <v>0</v>
      </c>
    </row>
    <row r="158" spans="1:5" hidden="1" x14ac:dyDescent="0.2">
      <c r="B158" s="110">
        <f t="shared" si="0"/>
        <v>2035</v>
      </c>
      <c r="C158" s="111">
        <f>[9]С2.5!$T$11</f>
        <v>0</v>
      </c>
    </row>
    <row r="159" spans="1:5" hidden="1" x14ac:dyDescent="0.2">
      <c r="B159" s="110">
        <f t="shared" si="0"/>
        <v>2036</v>
      </c>
      <c r="C159" s="111">
        <f>[9]С2.5!$U$11</f>
        <v>0</v>
      </c>
    </row>
    <row r="160" spans="1:5" hidden="1" x14ac:dyDescent="0.2">
      <c r="B160" s="110">
        <f t="shared" si="0"/>
        <v>2037</v>
      </c>
      <c r="C160" s="111">
        <f>[9]С2.5!$V$11</f>
        <v>0</v>
      </c>
    </row>
    <row r="161" spans="2:3" s="2" customFormat="1" hidden="1" x14ac:dyDescent="0.2">
      <c r="B161" s="110">
        <f t="shared" si="0"/>
        <v>2038</v>
      </c>
      <c r="C161" s="111">
        <f>[9]С2.5!$W$11</f>
        <v>0</v>
      </c>
    </row>
    <row r="162" spans="2:3" s="2" customFormat="1" hidden="1" x14ac:dyDescent="0.2">
      <c r="B162" s="110">
        <f t="shared" si="0"/>
        <v>2039</v>
      </c>
      <c r="C162" s="111">
        <f>[9]С2.5!$X$11</f>
        <v>0</v>
      </c>
    </row>
    <row r="163" spans="2:3" s="2" customFormat="1" hidden="1" x14ac:dyDescent="0.2">
      <c r="B163" s="110">
        <f t="shared" si="0"/>
        <v>2040</v>
      </c>
      <c r="C163" s="111">
        <f>[9]С2.5!$Y$11</f>
        <v>0</v>
      </c>
    </row>
    <row r="164" spans="2:3" s="2" customFormat="1" hidden="1" x14ac:dyDescent="0.2">
      <c r="B164" s="110">
        <f t="shared" si="0"/>
        <v>2041</v>
      </c>
      <c r="C164" s="111">
        <f>[9]С2.5!$Z$11</f>
        <v>0</v>
      </c>
    </row>
    <row r="165" spans="2:3" s="2" customFormat="1" hidden="1" x14ac:dyDescent="0.2">
      <c r="B165" s="110">
        <f t="shared" si="0"/>
        <v>2042</v>
      </c>
      <c r="C165" s="111">
        <f>[9]С2.5!$AA$11</f>
        <v>0</v>
      </c>
    </row>
    <row r="166" spans="2:3" s="2" customFormat="1" hidden="1" x14ac:dyDescent="0.2">
      <c r="B166" s="110">
        <f t="shared" si="0"/>
        <v>2043</v>
      </c>
      <c r="C166" s="111">
        <f>[9]С2.5!$AB$11</f>
        <v>0</v>
      </c>
    </row>
    <row r="167" spans="2:3" s="2" customFormat="1" hidden="1" x14ac:dyDescent="0.2">
      <c r="B167" s="110">
        <f t="shared" si="0"/>
        <v>2044</v>
      </c>
      <c r="C167" s="111">
        <f>[9]С2.5!$AC$11</f>
        <v>0</v>
      </c>
    </row>
    <row r="168" spans="2:3" s="2" customFormat="1" hidden="1" x14ac:dyDescent="0.2">
      <c r="B168" s="110">
        <f t="shared" si="0"/>
        <v>2045</v>
      </c>
      <c r="C168" s="111">
        <f>[9]С2.5!$AD$11</f>
        <v>0</v>
      </c>
    </row>
    <row r="169" spans="2:3" s="2" customFormat="1" hidden="1" x14ac:dyDescent="0.2">
      <c r="B169" s="110">
        <f t="shared" si="0"/>
        <v>2046</v>
      </c>
      <c r="C169" s="111">
        <f>[9]С2.5!$AE$11</f>
        <v>0</v>
      </c>
    </row>
    <row r="170" spans="2:3" s="2" customFormat="1" hidden="1" x14ac:dyDescent="0.2">
      <c r="B170" s="110">
        <f t="shared" si="0"/>
        <v>2047</v>
      </c>
      <c r="C170" s="111">
        <f>[9]С2.5!$AF$11</f>
        <v>0</v>
      </c>
    </row>
    <row r="171" spans="2:3" s="2" customFormat="1" hidden="1" x14ac:dyDescent="0.2">
      <c r="B171" s="110">
        <f t="shared" si="0"/>
        <v>2048</v>
      </c>
      <c r="C171" s="111">
        <f>[9]С2.5!$AG$11</f>
        <v>0</v>
      </c>
    </row>
    <row r="172" spans="2:3" s="2" customFormat="1" hidden="1" x14ac:dyDescent="0.2">
      <c r="B172" s="110">
        <f t="shared" si="0"/>
        <v>2049</v>
      </c>
      <c r="C172" s="111">
        <f>[9]С2.5!$AH$11</f>
        <v>0</v>
      </c>
    </row>
    <row r="173" spans="2:3" s="2" customFormat="1" hidden="1" x14ac:dyDescent="0.2">
      <c r="B173" s="110">
        <f t="shared" si="0"/>
        <v>2050</v>
      </c>
      <c r="C173" s="111">
        <f>[9]С2.5!$AI$11</f>
        <v>0</v>
      </c>
    </row>
    <row r="174" spans="2:3" s="2" customFormat="1" hidden="1" x14ac:dyDescent="0.2">
      <c r="B174" s="110">
        <f t="shared" si="0"/>
        <v>2051</v>
      </c>
      <c r="C174" s="111">
        <f>[9]С2.5!$AJ$11</f>
        <v>0</v>
      </c>
    </row>
    <row r="175" spans="2:3" s="2" customFormat="1" hidden="1" x14ac:dyDescent="0.2">
      <c r="B175" s="110">
        <f t="shared" si="0"/>
        <v>2052</v>
      </c>
      <c r="C175" s="111">
        <f>[9]С2.5!$AK$11</f>
        <v>0</v>
      </c>
    </row>
    <row r="176" spans="2:3" s="2" customFormat="1" hidden="1" x14ac:dyDescent="0.2">
      <c r="B176" s="110">
        <f t="shared" si="0"/>
        <v>2053</v>
      </c>
      <c r="C176" s="111">
        <f>[9]С2.5!$AL$11</f>
        <v>0</v>
      </c>
    </row>
    <row r="177" spans="2:3" s="2" customFormat="1" hidden="1" x14ac:dyDescent="0.2">
      <c r="B177" s="110">
        <f t="shared" si="0"/>
        <v>2054</v>
      </c>
      <c r="C177" s="111">
        <f>[9]С2.5!$AM$11</f>
        <v>0</v>
      </c>
    </row>
    <row r="178" spans="2:3" s="2" customFormat="1" hidden="1" x14ac:dyDescent="0.2">
      <c r="B178" s="110">
        <f t="shared" si="0"/>
        <v>2055</v>
      </c>
      <c r="C178" s="111">
        <f>[9]С2.5!$AN$11</f>
        <v>0</v>
      </c>
    </row>
    <row r="179" spans="2:3" s="2" customFormat="1" hidden="1" x14ac:dyDescent="0.2">
      <c r="B179" s="110">
        <f t="shared" si="0"/>
        <v>2056</v>
      </c>
      <c r="C179" s="111">
        <f>[9]С2.5!$AO$11</f>
        <v>0</v>
      </c>
    </row>
    <row r="180" spans="2:3" s="2" customFormat="1" hidden="1" x14ac:dyDescent="0.2">
      <c r="B180" s="110">
        <f t="shared" si="0"/>
        <v>2057</v>
      </c>
      <c r="C180" s="111">
        <f>[9]С2.5!$AP$11</f>
        <v>0</v>
      </c>
    </row>
    <row r="181" spans="2:3" s="2" customFormat="1" hidden="1" x14ac:dyDescent="0.2">
      <c r="B181" s="110">
        <f t="shared" si="0"/>
        <v>2058</v>
      </c>
      <c r="C181" s="111">
        <f>[9]С2.5!$AQ$11</f>
        <v>0</v>
      </c>
    </row>
    <row r="182" spans="2:3" s="2" customFormat="1" hidden="1" x14ac:dyDescent="0.2">
      <c r="B182" s="110">
        <f t="shared" si="0"/>
        <v>2059</v>
      </c>
      <c r="C182" s="111">
        <f>[9]С2.5!$AR$11</f>
        <v>0</v>
      </c>
    </row>
    <row r="183" spans="2:3" s="2" customFormat="1" hidden="1" x14ac:dyDescent="0.2">
      <c r="B183" s="110">
        <f t="shared" si="0"/>
        <v>2060</v>
      </c>
      <c r="C183" s="111">
        <f>[9]С2.5!$AS$11</f>
        <v>0</v>
      </c>
    </row>
    <row r="184" spans="2:3" s="2" customFormat="1" hidden="1" x14ac:dyDescent="0.2">
      <c r="B184" s="110">
        <f t="shared" si="0"/>
        <v>2061</v>
      </c>
      <c r="C184" s="111">
        <f>[9]С2.5!$AT$11</f>
        <v>0</v>
      </c>
    </row>
    <row r="185" spans="2:3" s="2" customFormat="1" hidden="1" x14ac:dyDescent="0.2">
      <c r="B185" s="110">
        <f t="shared" si="0"/>
        <v>2062</v>
      </c>
      <c r="C185" s="111">
        <f>[9]С2.5!$AU$11</f>
        <v>0</v>
      </c>
    </row>
    <row r="186" spans="2:3" s="2" customFormat="1" hidden="1" x14ac:dyDescent="0.2">
      <c r="B186" s="110">
        <f t="shared" si="0"/>
        <v>2063</v>
      </c>
      <c r="C186" s="111">
        <f>[9]С2.5!$AV$11</f>
        <v>0</v>
      </c>
    </row>
    <row r="187" spans="2:3" s="2" customFormat="1" hidden="1" x14ac:dyDescent="0.2">
      <c r="B187" s="110">
        <f t="shared" si="0"/>
        <v>2064</v>
      </c>
      <c r="C187" s="111">
        <f>[9]С2.5!$AW$11</f>
        <v>0</v>
      </c>
    </row>
    <row r="188" spans="2:3" s="2" customFormat="1" hidden="1" x14ac:dyDescent="0.2">
      <c r="B188" s="110">
        <f t="shared" si="0"/>
        <v>2065</v>
      </c>
      <c r="C188" s="111">
        <f>[9]С2.5!$AX$11</f>
        <v>0</v>
      </c>
    </row>
    <row r="189" spans="2:3" s="2" customFormat="1" hidden="1" x14ac:dyDescent="0.2">
      <c r="B189" s="110">
        <f t="shared" si="0"/>
        <v>2066</v>
      </c>
      <c r="C189" s="111">
        <f>[9]С2.5!$AY$11</f>
        <v>0</v>
      </c>
    </row>
    <row r="190" spans="2:3" s="2" customFormat="1" hidden="1" x14ac:dyDescent="0.2">
      <c r="B190" s="110">
        <f t="shared" si="0"/>
        <v>2067</v>
      </c>
      <c r="C190" s="111">
        <f>[9]С2.5!$AZ$11</f>
        <v>0</v>
      </c>
    </row>
    <row r="191" spans="2:3" s="2" customFormat="1" hidden="1" x14ac:dyDescent="0.2">
      <c r="B191" s="110">
        <f t="shared" si="0"/>
        <v>2068</v>
      </c>
      <c r="C191" s="111">
        <f>[9]С2.5!$BA$11</f>
        <v>0</v>
      </c>
    </row>
    <row r="192" spans="2:3" s="2" customFormat="1" hidden="1" x14ac:dyDescent="0.2">
      <c r="B192" s="110">
        <f t="shared" si="0"/>
        <v>2069</v>
      </c>
      <c r="C192" s="111">
        <f>[9]С2.5!$BB$11</f>
        <v>0</v>
      </c>
    </row>
    <row r="193" spans="2:3" s="2" customFormat="1" hidden="1" x14ac:dyDescent="0.2">
      <c r="B193" s="110">
        <f t="shared" si="0"/>
        <v>2070</v>
      </c>
      <c r="C193" s="111">
        <f>[9]С2.5!$BC$11</f>
        <v>0</v>
      </c>
    </row>
    <row r="194" spans="2:3" s="2" customFormat="1" hidden="1" x14ac:dyDescent="0.2">
      <c r="B194" s="110">
        <f t="shared" si="0"/>
        <v>2071</v>
      </c>
      <c r="C194" s="111">
        <f>[9]С2.5!$BD$11</f>
        <v>0</v>
      </c>
    </row>
    <row r="195" spans="2:3" s="2" customFormat="1" hidden="1" x14ac:dyDescent="0.2">
      <c r="B195" s="110">
        <f t="shared" si="0"/>
        <v>2072</v>
      </c>
      <c r="C195" s="111">
        <f>[9]С2.5!$BE$11</f>
        <v>0</v>
      </c>
    </row>
    <row r="196" spans="2:3" s="2" customFormat="1" hidden="1" x14ac:dyDescent="0.2">
      <c r="B196" s="110">
        <f t="shared" si="0"/>
        <v>2073</v>
      </c>
      <c r="C196" s="111">
        <f>[9]С2.5!$BF$11</f>
        <v>0</v>
      </c>
    </row>
    <row r="197" spans="2:3" s="2" customFormat="1" hidden="1" x14ac:dyDescent="0.2">
      <c r="B197" s="110">
        <f t="shared" si="0"/>
        <v>2074</v>
      </c>
      <c r="C197" s="111">
        <f>[9]С2.5!$BG$11</f>
        <v>0</v>
      </c>
    </row>
    <row r="198" spans="2:3" s="2" customFormat="1" hidden="1" x14ac:dyDescent="0.2">
      <c r="B198" s="110">
        <f t="shared" si="0"/>
        <v>2075</v>
      </c>
      <c r="C198" s="111">
        <f>[9]С2.5!$BH$11</f>
        <v>0</v>
      </c>
    </row>
    <row r="199" spans="2:3" s="2" customFormat="1" hidden="1" x14ac:dyDescent="0.2">
      <c r="B199" s="110">
        <f t="shared" si="0"/>
        <v>2076</v>
      </c>
      <c r="C199" s="111">
        <f>[9]С2.5!$BI$11</f>
        <v>0</v>
      </c>
    </row>
    <row r="200" spans="2:3" s="2" customFormat="1" hidden="1" x14ac:dyDescent="0.2">
      <c r="B200" s="110">
        <f t="shared" si="0"/>
        <v>2077</v>
      </c>
      <c r="C200" s="111">
        <f>[9]С2.5!$BJ$11</f>
        <v>0</v>
      </c>
    </row>
    <row r="201" spans="2:3" s="2" customFormat="1" hidden="1" x14ac:dyDescent="0.2">
      <c r="B201" s="110">
        <f t="shared" si="0"/>
        <v>2078</v>
      </c>
      <c r="C201" s="111">
        <f>[9]С2.5!$BK$11</f>
        <v>0</v>
      </c>
    </row>
    <row r="202" spans="2:3" s="2" customFormat="1" hidden="1" x14ac:dyDescent="0.2">
      <c r="B202" s="110">
        <f t="shared" si="0"/>
        <v>2079</v>
      </c>
      <c r="C202" s="111">
        <f>[9]С2.5!$BL$11</f>
        <v>0</v>
      </c>
    </row>
    <row r="203" spans="2:3" s="2" customFormat="1" hidden="1" x14ac:dyDescent="0.2">
      <c r="B203" s="110">
        <f t="shared" si="0"/>
        <v>2080</v>
      </c>
      <c r="C203" s="111">
        <f>[9]С2.5!$BM$11</f>
        <v>0</v>
      </c>
    </row>
    <row r="204" spans="2:3" s="2" customFormat="1" hidden="1" x14ac:dyDescent="0.2">
      <c r="B204" s="110">
        <f t="shared" si="0"/>
        <v>2081</v>
      </c>
      <c r="C204" s="111">
        <f>[9]С2.5!$BN$11</f>
        <v>0</v>
      </c>
    </row>
    <row r="205" spans="2:3" s="2" customFormat="1" hidden="1" x14ac:dyDescent="0.2">
      <c r="B205" s="110">
        <f t="shared" si="0"/>
        <v>2082</v>
      </c>
      <c r="C205" s="111">
        <f>[9]С2.5!$BO$11</f>
        <v>0</v>
      </c>
    </row>
    <row r="206" spans="2:3" s="2" customFormat="1" hidden="1" x14ac:dyDescent="0.2">
      <c r="B206" s="110">
        <f t="shared" si="0"/>
        <v>2083</v>
      </c>
      <c r="C206" s="111">
        <f>[9]С2.5!$BP$11</f>
        <v>0</v>
      </c>
    </row>
    <row r="207" spans="2:3" s="2" customFormat="1" hidden="1" x14ac:dyDescent="0.2">
      <c r="B207" s="110">
        <f t="shared" si="0"/>
        <v>2084</v>
      </c>
      <c r="C207" s="111">
        <f>[9]С2.5!$BQ$11</f>
        <v>0</v>
      </c>
    </row>
    <row r="208" spans="2:3" s="2" customFormat="1" hidden="1" x14ac:dyDescent="0.2">
      <c r="B208" s="110">
        <f t="shared" si="0"/>
        <v>2085</v>
      </c>
      <c r="C208" s="111">
        <f>[9]С2.5!$BR$11</f>
        <v>0</v>
      </c>
    </row>
    <row r="209" spans="2:3" s="2" customFormat="1" hidden="1" x14ac:dyDescent="0.2">
      <c r="B209" s="110">
        <f t="shared" ref="B209:B223" si="1">B208+1</f>
        <v>2086</v>
      </c>
      <c r="C209" s="111">
        <f>[9]С2.5!$BS$11</f>
        <v>0</v>
      </c>
    </row>
    <row r="210" spans="2:3" s="2" customFormat="1" hidden="1" x14ac:dyDescent="0.2">
      <c r="B210" s="110">
        <f t="shared" si="1"/>
        <v>2087</v>
      </c>
      <c r="C210" s="111">
        <f>[9]С2.5!$BT$11</f>
        <v>0</v>
      </c>
    </row>
    <row r="211" spans="2:3" s="2" customFormat="1" hidden="1" x14ac:dyDescent="0.2">
      <c r="B211" s="110">
        <f t="shared" si="1"/>
        <v>2088</v>
      </c>
      <c r="C211" s="111">
        <f>[9]С2.5!$BU$11</f>
        <v>0</v>
      </c>
    </row>
    <row r="212" spans="2:3" s="2" customFormat="1" hidden="1" x14ac:dyDescent="0.2">
      <c r="B212" s="110">
        <f t="shared" si="1"/>
        <v>2089</v>
      </c>
      <c r="C212" s="111">
        <f>[9]С2.5!$BV$11</f>
        <v>0</v>
      </c>
    </row>
    <row r="213" spans="2:3" s="2" customFormat="1" hidden="1" x14ac:dyDescent="0.2">
      <c r="B213" s="110">
        <f t="shared" si="1"/>
        <v>2090</v>
      </c>
      <c r="C213" s="111">
        <f>[9]С2.5!$BW$11</f>
        <v>0</v>
      </c>
    </row>
    <row r="214" spans="2:3" s="2" customFormat="1" hidden="1" x14ac:dyDescent="0.2">
      <c r="B214" s="110">
        <f t="shared" si="1"/>
        <v>2091</v>
      </c>
      <c r="C214" s="111">
        <f>[9]С2.5!$BX$11</f>
        <v>0</v>
      </c>
    </row>
    <row r="215" spans="2:3" s="2" customFormat="1" hidden="1" x14ac:dyDescent="0.2">
      <c r="B215" s="110">
        <f t="shared" si="1"/>
        <v>2092</v>
      </c>
      <c r="C215" s="111">
        <f>[9]С2.5!$BY$11</f>
        <v>0</v>
      </c>
    </row>
    <row r="216" spans="2:3" s="2" customFormat="1" hidden="1" x14ac:dyDescent="0.2">
      <c r="B216" s="110">
        <f t="shared" si="1"/>
        <v>2093</v>
      </c>
      <c r="C216" s="111">
        <f>[9]С2.5!$BZ$11</f>
        <v>0</v>
      </c>
    </row>
    <row r="217" spans="2:3" s="2" customFormat="1" hidden="1" x14ac:dyDescent="0.2">
      <c r="B217" s="110">
        <f t="shared" si="1"/>
        <v>2094</v>
      </c>
      <c r="C217" s="111">
        <f>[9]С2.5!$CA$11</f>
        <v>0</v>
      </c>
    </row>
    <row r="218" spans="2:3" s="2" customFormat="1" hidden="1" x14ac:dyDescent="0.2">
      <c r="B218" s="110">
        <f t="shared" si="1"/>
        <v>2095</v>
      </c>
      <c r="C218" s="111">
        <f>[9]С2.5!$CB$11</f>
        <v>0</v>
      </c>
    </row>
    <row r="219" spans="2:3" s="2" customFormat="1" hidden="1" x14ac:dyDescent="0.2">
      <c r="B219" s="110">
        <f t="shared" si="1"/>
        <v>2096</v>
      </c>
      <c r="C219" s="111">
        <f>[9]С2.5!$CC$11</f>
        <v>0</v>
      </c>
    </row>
    <row r="220" spans="2:3" s="2" customFormat="1" hidden="1" x14ac:dyDescent="0.2">
      <c r="B220" s="110">
        <f t="shared" si="1"/>
        <v>2097</v>
      </c>
      <c r="C220" s="111">
        <f>[9]С2.5!$CD$11</f>
        <v>0</v>
      </c>
    </row>
    <row r="221" spans="2:3" s="2" customFormat="1" hidden="1" x14ac:dyDescent="0.2">
      <c r="B221" s="110">
        <f t="shared" si="1"/>
        <v>2098</v>
      </c>
      <c r="C221" s="111">
        <f>[9]С2.5!$CE$11</f>
        <v>0</v>
      </c>
    </row>
    <row r="222" spans="2:3" s="2" customFormat="1" hidden="1" x14ac:dyDescent="0.2">
      <c r="B222" s="110">
        <f t="shared" si="1"/>
        <v>2099</v>
      </c>
      <c r="C222" s="111">
        <f>[9]С2.5!$CF$11</f>
        <v>0</v>
      </c>
    </row>
    <row r="223" spans="2:3" s="2" customFormat="1" ht="13.5" hidden="1" thickBot="1" x14ac:dyDescent="0.25">
      <c r="B223" s="112">
        <f t="shared" si="1"/>
        <v>2100</v>
      </c>
      <c r="C223" s="113">
        <f>[9]С2.5!$CG$11</f>
        <v>0</v>
      </c>
    </row>
    <row r="224" spans="2:3" s="2" customFormat="1" hidden="1" x14ac:dyDescent="0.2">
      <c r="C224" s="116"/>
    </row>
    <row r="225" spans="3:3" s="2" customFormat="1" hidden="1" x14ac:dyDescent="0.2">
      <c r="C225" s="116"/>
    </row>
    <row r="226" spans="3:3" s="2" customFormat="1" x14ac:dyDescent="0.2">
      <c r="C226" s="116"/>
    </row>
  </sheetData>
  <mergeCells count="9">
    <mergeCell ref="B124:D124"/>
    <mergeCell ref="B127:D127"/>
    <mergeCell ref="B141:D141"/>
    <mergeCell ref="B1:D1"/>
    <mergeCell ref="A14:C14"/>
    <mergeCell ref="B27:D27"/>
    <mergeCell ref="B40:D40"/>
    <mergeCell ref="B84:D84"/>
    <mergeCell ref="B95:D95"/>
  </mergeCell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8913" r:id="rId4" name="Button 1">
              <controlPr defaultSize="0" print="0" autoFill="0" autoPict="0" macro="[9]!Лист29.PrintBlock">
                <anchor moveWithCells="1" sizeWithCells="1">
                  <from>
                    <xdr:col>4</xdr:col>
                    <xdr:colOff>38100</xdr:colOff>
                    <xdr:row>0</xdr:row>
                    <xdr:rowOff>85725</xdr:rowOff>
                  </from>
                  <to>
                    <xdr:col>5</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[10]И1!D13</f>
        <v>Субъект Российской Федерации</v>
      </c>
      <c r="C4" s="10" t="str">
        <f>[10]И1!E13</f>
        <v>Новосибирская область</v>
      </c>
    </row>
    <row r="5" spans="1:3" ht="46.9" customHeight="1" x14ac:dyDescent="0.2">
      <c r="A5" s="8"/>
      <c r="B5" s="9" t="str">
        <f>[10]И1!D14</f>
        <v>Тип муниципального образования (выберите из списка)</v>
      </c>
      <c r="C5" s="10" t="str">
        <f>[10]И1!E14</f>
        <v xml:space="preserve">село Лотошное, Краснозерский муниципальный район </v>
      </c>
    </row>
    <row r="6" spans="1:3" x14ac:dyDescent="0.2">
      <c r="A6" s="8"/>
      <c r="B6" s="9" t="str">
        <f>IF([10]И1!E15="","",[10]И1!D15)</f>
        <v/>
      </c>
      <c r="C6" s="10" t="str">
        <f>IF([10]И1!E15="","",[10]И1!E15)</f>
        <v/>
      </c>
    </row>
    <row r="7" spans="1:3" x14ac:dyDescent="0.2">
      <c r="A7" s="8"/>
      <c r="B7" s="9" t="str">
        <f>[10]И1!D16</f>
        <v>Код ОКТМО</v>
      </c>
      <c r="C7" s="11" t="str">
        <f>[10]И1!E16</f>
        <v>(50627420101)</v>
      </c>
    </row>
    <row r="8" spans="1:3" x14ac:dyDescent="0.2">
      <c r="A8" s="8"/>
      <c r="B8" s="12" t="str">
        <f>[10]И1!D17</f>
        <v>Система теплоснабжения</v>
      </c>
      <c r="C8" s="13">
        <f>[10]И1!E17</f>
        <v>0</v>
      </c>
    </row>
    <row r="9" spans="1:3" x14ac:dyDescent="0.2">
      <c r="A9" s="8"/>
      <c r="B9" s="9" t="str">
        <f>[10]И1!D8</f>
        <v>Период регулирования (i)-й</v>
      </c>
      <c r="C9" s="14">
        <f>[10]И1!E8</f>
        <v>2025</v>
      </c>
    </row>
    <row r="10" spans="1:3" x14ac:dyDescent="0.2">
      <c r="A10" s="8"/>
      <c r="B10" s="9" t="str">
        <f>[10]И1!D9</f>
        <v>Период регулирования (i-1)-й</v>
      </c>
      <c r="C10" s="14">
        <f>[10]И1!E9</f>
        <v>2024</v>
      </c>
    </row>
    <row r="11" spans="1:3" x14ac:dyDescent="0.2">
      <c r="A11" s="8"/>
      <c r="B11" s="9" t="str">
        <f>[10]И1!D10</f>
        <v>Период регулирования (i-2)-й</v>
      </c>
      <c r="C11" s="14">
        <f>[10]И1!E10</f>
        <v>2023</v>
      </c>
    </row>
    <row r="12" spans="1:3" x14ac:dyDescent="0.2">
      <c r="A12" s="8"/>
      <c r="B12" s="9" t="str">
        <f>[10]И1!D11</f>
        <v>Базовый год (б)</v>
      </c>
      <c r="C12" s="14">
        <f>[10]И1!E11</f>
        <v>2019</v>
      </c>
    </row>
    <row r="13" spans="1:3" ht="38.25" x14ac:dyDescent="0.2">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5707.7752919900095</v>
      </c>
    </row>
    <row r="18" spans="1:3" ht="42.75" x14ac:dyDescent="0.2">
      <c r="A18" s="22" t="s">
        <v>8</v>
      </c>
      <c r="B18" s="25" t="s">
        <v>9</v>
      </c>
      <c r="C18" s="26">
        <f>[10]С1!F12</f>
        <v>1108.8810913919096</v>
      </c>
    </row>
    <row r="19" spans="1:3" ht="42.75" x14ac:dyDescent="0.2">
      <c r="A19" s="22" t="s">
        <v>10</v>
      </c>
      <c r="B19" s="25" t="s">
        <v>11</v>
      </c>
      <c r="C19" s="26">
        <f>[10]С2!F12</f>
        <v>3044.8315746726421</v>
      </c>
    </row>
    <row r="20" spans="1:3" ht="30" x14ac:dyDescent="0.2">
      <c r="A20" s="22" t="s">
        <v>12</v>
      </c>
      <c r="B20" s="25" t="s">
        <v>13</v>
      </c>
      <c r="C20" s="26">
        <f>[10]С3!F12</f>
        <v>911.5178018038722</v>
      </c>
    </row>
    <row r="21" spans="1:3" ht="42.75" x14ac:dyDescent="0.2">
      <c r="A21" s="22" t="s">
        <v>14</v>
      </c>
      <c r="B21" s="25" t="s">
        <v>15</v>
      </c>
      <c r="C21" s="26">
        <f>[10]С4!F12</f>
        <v>530.62766153354676</v>
      </c>
    </row>
    <row r="22" spans="1:3" ht="30" x14ac:dyDescent="0.2">
      <c r="A22" s="22" t="s">
        <v>16</v>
      </c>
      <c r="B22" s="25" t="s">
        <v>17</v>
      </c>
      <c r="C22" s="26">
        <f>[10]С5!F12</f>
        <v>111.91716258803942</v>
      </c>
    </row>
    <row r="23" spans="1:3" ht="43.5" thickBot="1" x14ac:dyDescent="0.25">
      <c r="A23" s="27" t="s">
        <v>18</v>
      </c>
      <c r="B23" s="117" t="s">
        <v>19</v>
      </c>
      <c r="C23" s="28" t="str">
        <f>[10]С6!F12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[10]С1.1!E16</f>
        <v>5100</v>
      </c>
    </row>
    <row r="29" spans="1:3" ht="42.75" x14ac:dyDescent="0.2">
      <c r="A29" s="22" t="s">
        <v>10</v>
      </c>
      <c r="B29" s="33" t="s">
        <v>22</v>
      </c>
      <c r="C29" s="34">
        <f>[10]С1.1!E27</f>
        <v>4000.0166666666673</v>
      </c>
    </row>
    <row r="30" spans="1:3" ht="17.25" x14ac:dyDescent="0.2">
      <c r="A30" s="22" t="s">
        <v>12</v>
      </c>
      <c r="B30" s="33" t="s">
        <v>23</v>
      </c>
      <c r="C30" s="35">
        <f>[10]С1.1!E19</f>
        <v>1.4E-2</v>
      </c>
    </row>
    <row r="31" spans="1:3" ht="17.25" x14ac:dyDescent="0.2">
      <c r="A31" s="22" t="s">
        <v>14</v>
      </c>
      <c r="B31" s="33" t="s">
        <v>24</v>
      </c>
      <c r="C31" s="35">
        <f>[10]С1.1!E20</f>
        <v>0.04</v>
      </c>
    </row>
    <row r="32" spans="1:3" ht="30" x14ac:dyDescent="0.2">
      <c r="A32" s="22" t="s">
        <v>16</v>
      </c>
      <c r="B32" s="36" t="s">
        <v>25</v>
      </c>
      <c r="C32" s="37">
        <f>[10]С1!F13</f>
        <v>176.4</v>
      </c>
    </row>
    <row r="33" spans="1:3" x14ac:dyDescent="0.2">
      <c r="A33" s="22" t="s">
        <v>18</v>
      </c>
      <c r="B33" s="36" t="s">
        <v>26</v>
      </c>
      <c r="C33" s="38">
        <f>[10]С1!F16</f>
        <v>7000</v>
      </c>
    </row>
    <row r="34" spans="1:3" ht="14.25" x14ac:dyDescent="0.2">
      <c r="A34" s="22" t="s">
        <v>27</v>
      </c>
      <c r="B34" s="39" t="s">
        <v>28</v>
      </c>
      <c r="C34" s="40">
        <f>[10]С1!F17</f>
        <v>0.72857142857142854</v>
      </c>
    </row>
    <row r="35" spans="1:3" ht="15.75" x14ac:dyDescent="0.2">
      <c r="A35" s="41" t="s">
        <v>29</v>
      </c>
      <c r="B35" s="42" t="s">
        <v>30</v>
      </c>
      <c r="C35" s="40">
        <f>[10]С1!F20</f>
        <v>21.588411179999994</v>
      </c>
    </row>
    <row r="36" spans="1:3" ht="15.75" x14ac:dyDescent="0.2">
      <c r="A36" s="41" t="s">
        <v>31</v>
      </c>
      <c r="B36" s="43" t="s">
        <v>32</v>
      </c>
      <c r="C36" s="40">
        <f>[10]С1!F21</f>
        <v>20.818139999999996</v>
      </c>
    </row>
    <row r="37" spans="1:3" ht="14.25" x14ac:dyDescent="0.2">
      <c r="A37" s="41" t="s">
        <v>33</v>
      </c>
      <c r="B37" s="44" t="s">
        <v>34</v>
      </c>
      <c r="C37" s="40">
        <f>[10]С1!F22</f>
        <v>1.0369999999999999</v>
      </c>
    </row>
    <row r="38" spans="1:3" ht="53.25" thickBot="1" x14ac:dyDescent="0.25">
      <c r="A38" s="27" t="s">
        <v>35</v>
      </c>
      <c r="B38" s="45" t="s">
        <v>36</v>
      </c>
      <c r="C38" s="46">
        <f>[10]С1!F23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[10]С2.1!E12</f>
        <v>V</v>
      </c>
    </row>
    <row r="42" spans="1:3" ht="25.5" x14ac:dyDescent="0.2">
      <c r="A42" s="22" t="s">
        <v>41</v>
      </c>
      <c r="B42" s="33" t="s">
        <v>42</v>
      </c>
      <c r="C42" s="51" t="str">
        <f>[10]С2.1!E13</f>
        <v>6 и менее баллов</v>
      </c>
    </row>
    <row r="43" spans="1:3" ht="25.5" x14ac:dyDescent="0.2">
      <c r="A43" s="22" t="s">
        <v>43</v>
      </c>
      <c r="B43" s="33" t="s">
        <v>44</v>
      </c>
      <c r="C43" s="51" t="str">
        <f>[10]С2.1!E14</f>
        <v>от 200 до 500</v>
      </c>
    </row>
    <row r="44" spans="1:3" ht="25.5" x14ac:dyDescent="0.2">
      <c r="A44" s="22" t="s">
        <v>45</v>
      </c>
      <c r="B44" s="33" t="s">
        <v>46</v>
      </c>
      <c r="C44" s="52" t="str">
        <f>[10]С2.1!E15</f>
        <v>нет</v>
      </c>
    </row>
    <row r="45" spans="1:3" ht="30" x14ac:dyDescent="0.2">
      <c r="A45" s="22" t="s">
        <v>47</v>
      </c>
      <c r="B45" s="33" t="s">
        <v>48</v>
      </c>
      <c r="C45" s="34">
        <f>[10]С2!F18</f>
        <v>38910.02669467502</v>
      </c>
    </row>
    <row r="46" spans="1:3" ht="30" x14ac:dyDescent="0.2">
      <c r="A46" s="22" t="s">
        <v>49</v>
      </c>
      <c r="B46" s="53" t="s">
        <v>50</v>
      </c>
      <c r="C46" s="34">
        <f>IF([10]С2!F19&gt;0,[10]С2!F19,[10]С2!F20)</f>
        <v>23441.524932855718</v>
      </c>
    </row>
    <row r="47" spans="1:3" ht="25.5" x14ac:dyDescent="0.2">
      <c r="A47" s="22" t="s">
        <v>51</v>
      </c>
      <c r="B47" s="54" t="s">
        <v>52</v>
      </c>
      <c r="C47" s="34">
        <f>[10]С2.1!E19</f>
        <v>-38</v>
      </c>
    </row>
    <row r="48" spans="1:3" ht="25.5" x14ac:dyDescent="0.2">
      <c r="A48" s="22" t="s">
        <v>53</v>
      </c>
      <c r="B48" s="54" t="s">
        <v>54</v>
      </c>
      <c r="C48" s="34" t="str">
        <f>[10]С2.1!E22</f>
        <v>нет</v>
      </c>
    </row>
    <row r="49" spans="1:3" ht="38.25" x14ac:dyDescent="0.2">
      <c r="A49" s="22" t="s">
        <v>55</v>
      </c>
      <c r="B49" s="55" t="s">
        <v>56</v>
      </c>
      <c r="C49" s="34">
        <f>[10]С2.2!E10</f>
        <v>1287</v>
      </c>
    </row>
    <row r="50" spans="1:3" ht="25.5" x14ac:dyDescent="0.2">
      <c r="A50" s="22" t="s">
        <v>57</v>
      </c>
      <c r="B50" s="56" t="s">
        <v>58</v>
      </c>
      <c r="C50" s="34">
        <f>[10]С2.2!E12</f>
        <v>5.97</v>
      </c>
    </row>
    <row r="51" spans="1:3" ht="52.5" x14ac:dyDescent="0.2">
      <c r="A51" s="22" t="s">
        <v>59</v>
      </c>
      <c r="B51" s="57" t="s">
        <v>60</v>
      </c>
      <c r="C51" s="34">
        <f>[10]С2.2!E13</f>
        <v>1</v>
      </c>
    </row>
    <row r="52" spans="1:3" ht="27.75" x14ac:dyDescent="0.2">
      <c r="A52" s="22" t="s">
        <v>61</v>
      </c>
      <c r="B52" s="56" t="s">
        <v>62</v>
      </c>
      <c r="C52" s="34">
        <f>[10]С2.2!E14</f>
        <v>12104</v>
      </c>
    </row>
    <row r="53" spans="1:3" ht="25.5" x14ac:dyDescent="0.2">
      <c r="A53" s="22" t="s">
        <v>63</v>
      </c>
      <c r="B53" s="57" t="s">
        <v>64</v>
      </c>
      <c r="C53" s="35">
        <f>[10]С2.2!E15</f>
        <v>4.8000000000000001E-2</v>
      </c>
    </row>
    <row r="54" spans="1:3" x14ac:dyDescent="0.2">
      <c r="A54" s="22" t="s">
        <v>65</v>
      </c>
      <c r="B54" s="57" t="s">
        <v>66</v>
      </c>
      <c r="C54" s="34">
        <f>[10]С2.2!E16</f>
        <v>1</v>
      </c>
    </row>
    <row r="55" spans="1:3" ht="15.75" x14ac:dyDescent="0.2">
      <c r="A55" s="22" t="s">
        <v>67</v>
      </c>
      <c r="B55" s="58" t="s">
        <v>68</v>
      </c>
      <c r="C55" s="34">
        <f>[10]С2!F21</f>
        <v>1</v>
      </c>
    </row>
    <row r="56" spans="1:3" ht="30" x14ac:dyDescent="0.2">
      <c r="A56" s="59" t="s">
        <v>69</v>
      </c>
      <c r="B56" s="33" t="s">
        <v>70</v>
      </c>
      <c r="C56" s="34">
        <f>[10]С2!F13</f>
        <v>203708.97017230222</v>
      </c>
    </row>
    <row r="57" spans="1:3" ht="30" x14ac:dyDescent="0.2">
      <c r="A57" s="59" t="s">
        <v>71</v>
      </c>
      <c r="B57" s="58" t="s">
        <v>72</v>
      </c>
      <c r="C57" s="34">
        <f>[10]С2!F14</f>
        <v>113455</v>
      </c>
    </row>
    <row r="58" spans="1:3" ht="15.75" x14ac:dyDescent="0.2">
      <c r="A58" s="59" t="s">
        <v>73</v>
      </c>
      <c r="B58" s="60" t="s">
        <v>74</v>
      </c>
      <c r="C58" s="40">
        <f>[10]С2!F15</f>
        <v>1.071</v>
      </c>
    </row>
    <row r="59" spans="1:3" ht="15.75" x14ac:dyDescent="0.2">
      <c r="A59" s="59" t="s">
        <v>75</v>
      </c>
      <c r="B59" s="60" t="s">
        <v>76</v>
      </c>
      <c r="C59" s="40">
        <f>[10]С2!F16</f>
        <v>1</v>
      </c>
    </row>
    <row r="60" spans="1:3" ht="17.25" x14ac:dyDescent="0.2">
      <c r="A60" s="59" t="s">
        <v>77</v>
      </c>
      <c r="B60" s="58" t="s">
        <v>78</v>
      </c>
      <c r="C60" s="34">
        <f>[10]С2!F17</f>
        <v>1.01</v>
      </c>
    </row>
    <row r="61" spans="1:3" s="63" customFormat="1" ht="14.25" x14ac:dyDescent="0.2">
      <c r="A61" s="59" t="s">
        <v>79</v>
      </c>
      <c r="B61" s="61" t="s">
        <v>80</v>
      </c>
      <c r="C61" s="62">
        <f>[10]С2!F33</f>
        <v>10</v>
      </c>
    </row>
    <row r="62" spans="1:3" ht="30" x14ac:dyDescent="0.2">
      <c r="A62" s="59" t="s">
        <v>81</v>
      </c>
      <c r="B62" s="64" t="s">
        <v>82</v>
      </c>
      <c r="C62" s="34">
        <f>[10]С2!F26</f>
        <v>1349.309862285194</v>
      </c>
    </row>
    <row r="63" spans="1:3" ht="17.25" x14ac:dyDescent="0.2">
      <c r="A63" s="59" t="s">
        <v>83</v>
      </c>
      <c r="B63" s="53" t="s">
        <v>84</v>
      </c>
      <c r="C63" s="34">
        <f>[10]С2!F27</f>
        <v>0.19354712999999998</v>
      </c>
    </row>
    <row r="64" spans="1:3" ht="17.25" x14ac:dyDescent="0.2">
      <c r="A64" s="59" t="s">
        <v>85</v>
      </c>
      <c r="B64" s="58" t="s">
        <v>86</v>
      </c>
      <c r="C64" s="62">
        <f>[10]С2!F28</f>
        <v>4200</v>
      </c>
    </row>
    <row r="65" spans="1:3" ht="42.75" x14ac:dyDescent="0.2">
      <c r="A65" s="59" t="s">
        <v>87</v>
      </c>
      <c r="B65" s="33" t="s">
        <v>88</v>
      </c>
      <c r="C65" s="34">
        <f>[10]С2!F22</f>
        <v>42890.921752741691</v>
      </c>
    </row>
    <row r="66" spans="1:3" ht="30" x14ac:dyDescent="0.2">
      <c r="A66" s="59" t="s">
        <v>89</v>
      </c>
      <c r="B66" s="60" t="s">
        <v>90</v>
      </c>
      <c r="C66" s="34">
        <f>[10]С2!F23</f>
        <v>1990</v>
      </c>
    </row>
    <row r="67" spans="1:3" ht="30" x14ac:dyDescent="0.2">
      <c r="A67" s="59" t="s">
        <v>91</v>
      </c>
      <c r="B67" s="53" t="s">
        <v>92</v>
      </c>
      <c r="C67" s="34">
        <f>[10]С2.1!E27</f>
        <v>14307.876789999998</v>
      </c>
    </row>
    <row r="68" spans="1:3" ht="38.25" x14ac:dyDescent="0.2">
      <c r="A68" s="59" t="s">
        <v>93</v>
      </c>
      <c r="B68" s="65" t="s">
        <v>94</v>
      </c>
      <c r="C68" s="52">
        <f>[10]С2.3!E21</f>
        <v>0</v>
      </c>
    </row>
    <row r="69" spans="1:3" ht="25.5" x14ac:dyDescent="0.2">
      <c r="A69" s="59" t="s">
        <v>95</v>
      </c>
      <c r="B69" s="66" t="s">
        <v>96</v>
      </c>
      <c r="C69" s="67">
        <f>[10]С2.3!E11</f>
        <v>9.89</v>
      </c>
    </row>
    <row r="70" spans="1:3" ht="25.5" x14ac:dyDescent="0.2">
      <c r="A70" s="59" t="s">
        <v>97</v>
      </c>
      <c r="B70" s="66" t="s">
        <v>98</v>
      </c>
      <c r="C70" s="62">
        <f>[10]С2.3!E13</f>
        <v>300</v>
      </c>
    </row>
    <row r="71" spans="1:3" ht="25.5" x14ac:dyDescent="0.2">
      <c r="A71" s="59" t="s">
        <v>99</v>
      </c>
      <c r="B71" s="65" t="s">
        <v>100</v>
      </c>
      <c r="C71" s="68">
        <f>IF([10]С2.3!E22&gt;0,[10]С2.3!E22,[10]С2.3!E14)</f>
        <v>61211</v>
      </c>
    </row>
    <row r="72" spans="1:3" ht="38.25" x14ac:dyDescent="0.2">
      <c r="A72" s="59" t="s">
        <v>101</v>
      </c>
      <c r="B72" s="65" t="s">
        <v>102</v>
      </c>
      <c r="C72" s="68">
        <f>IF([10]С2.3!E23&gt;0,[10]С2.3!E23,[10]С2.3!E15)</f>
        <v>45675</v>
      </c>
    </row>
    <row r="73" spans="1:3" ht="30" x14ac:dyDescent="0.2">
      <c r="A73" s="59" t="s">
        <v>103</v>
      </c>
      <c r="B73" s="53" t="s">
        <v>104</v>
      </c>
      <c r="C73" s="34">
        <f>[10]С2.1!E28</f>
        <v>9541.9567200000001</v>
      </c>
    </row>
    <row r="74" spans="1:3" ht="38.25" x14ac:dyDescent="0.2">
      <c r="A74" s="59" t="s">
        <v>105</v>
      </c>
      <c r="B74" s="65" t="s">
        <v>106</v>
      </c>
      <c r="C74" s="52">
        <f>[10]С2.3!E25</f>
        <v>0</v>
      </c>
    </row>
    <row r="75" spans="1:3" ht="25.5" x14ac:dyDescent="0.2">
      <c r="A75" s="59" t="s">
        <v>107</v>
      </c>
      <c r="B75" s="66" t="s">
        <v>108</v>
      </c>
      <c r="C75" s="67">
        <f>[10]С2.3!E12</f>
        <v>0.56000000000000005</v>
      </c>
    </row>
    <row r="76" spans="1:3" ht="25.5" x14ac:dyDescent="0.2">
      <c r="A76" s="59" t="s">
        <v>109</v>
      </c>
      <c r="B76" s="66" t="s">
        <v>98</v>
      </c>
      <c r="C76" s="62">
        <f>[10]С2.3!E13</f>
        <v>300</v>
      </c>
    </row>
    <row r="77" spans="1:3" ht="25.5" x14ac:dyDescent="0.2">
      <c r="A77" s="59" t="s">
        <v>110</v>
      </c>
      <c r="B77" s="69" t="s">
        <v>111</v>
      </c>
      <c r="C77" s="68">
        <f>IF([10]С2.3!E26&gt;0,[10]С2.3!E26,[10]С2.3!E16)</f>
        <v>65637</v>
      </c>
    </row>
    <row r="78" spans="1:3" ht="38.25" x14ac:dyDescent="0.2">
      <c r="A78" s="59" t="s">
        <v>112</v>
      </c>
      <c r="B78" s="69" t="s">
        <v>113</v>
      </c>
      <c r="C78" s="68">
        <f>IF([10]С2.3!E27&gt;0,[10]С2.3!E27,[10]С2.3!E17)</f>
        <v>31684</v>
      </c>
    </row>
    <row r="79" spans="1:3" ht="17.25" x14ac:dyDescent="0.2">
      <c r="A79" s="59" t="s">
        <v>114</v>
      </c>
      <c r="B79" s="33" t="s">
        <v>115</v>
      </c>
      <c r="C79" s="35">
        <f>[10]С2!F29</f>
        <v>0.17804631770487722</v>
      </c>
    </row>
    <row r="80" spans="1:3" ht="30" x14ac:dyDescent="0.2">
      <c r="A80" s="59" t="s">
        <v>116</v>
      </c>
      <c r="B80" s="53" t="s">
        <v>117</v>
      </c>
      <c r="C80" s="70">
        <f>[10]С2!F30</f>
        <v>0.1652189781021898</v>
      </c>
    </row>
    <row r="81" spans="1:3" ht="17.25" x14ac:dyDescent="0.2">
      <c r="A81" s="59" t="s">
        <v>118</v>
      </c>
      <c r="B81" s="71" t="s">
        <v>119</v>
      </c>
      <c r="C81" s="35">
        <f>[10]С2!F31</f>
        <v>0.13880000000000001</v>
      </c>
    </row>
    <row r="82" spans="1:3" s="63" customFormat="1" ht="18" thickBot="1" x14ac:dyDescent="0.25">
      <c r="A82" s="72" t="s">
        <v>120</v>
      </c>
      <c r="B82" s="73" t="s">
        <v>121</v>
      </c>
      <c r="C82" s="74">
        <f>[10]С2!F32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[10]С3!F14</f>
        <v>14784.578474435859</v>
      </c>
    </row>
    <row r="86" spans="1:3" s="63" customFormat="1" ht="42.75" x14ac:dyDescent="0.2">
      <c r="A86" s="77" t="s">
        <v>126</v>
      </c>
      <c r="B86" s="53" t="s">
        <v>127</v>
      </c>
      <c r="C86" s="78">
        <f>[10]С3!F15</f>
        <v>0.25</v>
      </c>
    </row>
    <row r="87" spans="1:3" s="63" customFormat="1" ht="14.25" x14ac:dyDescent="0.2">
      <c r="A87" s="77" t="s">
        <v>128</v>
      </c>
      <c r="B87" s="79" t="s">
        <v>129</v>
      </c>
      <c r="C87" s="62">
        <f>[10]С3!F18</f>
        <v>15</v>
      </c>
    </row>
    <row r="88" spans="1:3" s="63" customFormat="1" ht="17.25" x14ac:dyDescent="0.2">
      <c r="A88" s="77" t="s">
        <v>130</v>
      </c>
      <c r="B88" s="33" t="s">
        <v>131</v>
      </c>
      <c r="C88" s="34">
        <f>[10]С3!F19</f>
        <v>4187.478806422544</v>
      </c>
    </row>
    <row r="89" spans="1:3" s="63" customFormat="1" ht="55.5" x14ac:dyDescent="0.2">
      <c r="A89" s="77" t="s">
        <v>132</v>
      </c>
      <c r="B89" s="53" t="s">
        <v>133</v>
      </c>
      <c r="C89" s="80">
        <f>[10]С3!F20</f>
        <v>2.1999999999999999E-2</v>
      </c>
    </row>
    <row r="90" spans="1:3" s="63" customFormat="1" ht="14.25" x14ac:dyDescent="0.2">
      <c r="A90" s="77" t="s">
        <v>134</v>
      </c>
      <c r="B90" s="58" t="s">
        <v>80</v>
      </c>
      <c r="C90" s="62">
        <f>[10]С3!F21</f>
        <v>10</v>
      </c>
    </row>
    <row r="91" spans="1:3" s="63" customFormat="1" ht="17.25" x14ac:dyDescent="0.2">
      <c r="A91" s="77" t="s">
        <v>135</v>
      </c>
      <c r="B91" s="33" t="s">
        <v>136</v>
      </c>
      <c r="C91" s="34">
        <f>[10]С3!F22</f>
        <v>4.0479295868555818</v>
      </c>
    </row>
    <row r="92" spans="1:3" s="63" customFormat="1" ht="55.5" x14ac:dyDescent="0.2">
      <c r="A92" s="77" t="s">
        <v>137</v>
      </c>
      <c r="B92" s="53" t="s">
        <v>138</v>
      </c>
      <c r="C92" s="80">
        <f>[10]С3!F23</f>
        <v>3.0000000000000001E-3</v>
      </c>
    </row>
    <row r="93" spans="1:3" s="63" customFormat="1" ht="27.75" thickBot="1" x14ac:dyDescent="0.25">
      <c r="A93" s="81" t="s">
        <v>139</v>
      </c>
      <c r="B93" s="82" t="s">
        <v>140</v>
      </c>
      <c r="C93" s="83">
        <f>[10]С3!F24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[10]С4!F16</f>
        <v>1652.5</v>
      </c>
    </row>
    <row r="97" spans="1:3" ht="30" x14ac:dyDescent="0.2">
      <c r="A97" s="59" t="s">
        <v>145</v>
      </c>
      <c r="B97" s="58" t="s">
        <v>146</v>
      </c>
      <c r="C97" s="34">
        <f>[10]С4!F17</f>
        <v>73547</v>
      </c>
    </row>
    <row r="98" spans="1:3" ht="17.25" x14ac:dyDescent="0.2">
      <c r="A98" s="59" t="s">
        <v>147</v>
      </c>
      <c r="B98" s="58" t="s">
        <v>148</v>
      </c>
      <c r="C98" s="40">
        <f>[10]С4!F18</f>
        <v>0.02</v>
      </c>
    </row>
    <row r="99" spans="1:3" ht="30" x14ac:dyDescent="0.2">
      <c r="A99" s="59" t="s">
        <v>149</v>
      </c>
      <c r="B99" s="58" t="s">
        <v>150</v>
      </c>
      <c r="C99" s="34">
        <f>[10]С4!F19</f>
        <v>12104</v>
      </c>
    </row>
    <row r="100" spans="1:3" ht="31.5" x14ac:dyDescent="0.2">
      <c r="A100" s="59" t="s">
        <v>151</v>
      </c>
      <c r="B100" s="58" t="s">
        <v>152</v>
      </c>
      <c r="C100" s="40">
        <f>[10]С4!F20</f>
        <v>1.4999999999999999E-2</v>
      </c>
    </row>
    <row r="101" spans="1:3" ht="30" x14ac:dyDescent="0.2">
      <c r="A101" s="59" t="s">
        <v>153</v>
      </c>
      <c r="B101" s="33" t="s">
        <v>154</v>
      </c>
      <c r="C101" s="34">
        <f>[10]С4!F21</f>
        <v>1933.1949342509995</v>
      </c>
    </row>
    <row r="102" spans="1:3" ht="24" customHeight="1" x14ac:dyDescent="0.2">
      <c r="A102" s="59" t="s">
        <v>155</v>
      </c>
      <c r="B102" s="53" t="s">
        <v>156</v>
      </c>
      <c r="C102" s="85">
        <f>IF([10]С4.2!F8="да",[10]С4.2!D21,[10]С4.2!D15)</f>
        <v>0</v>
      </c>
    </row>
    <row r="103" spans="1:3" ht="68.25" x14ac:dyDescent="0.2">
      <c r="A103" s="59" t="s">
        <v>157</v>
      </c>
      <c r="B103" s="53" t="s">
        <v>158</v>
      </c>
      <c r="C103" s="34">
        <f>[10]С4!F22</f>
        <v>3.6112641666666665</v>
      </c>
    </row>
    <row r="104" spans="1:3" ht="30" x14ac:dyDescent="0.2">
      <c r="A104" s="59" t="s">
        <v>159</v>
      </c>
      <c r="B104" s="58" t="s">
        <v>160</v>
      </c>
      <c r="C104" s="34">
        <f>[10]С4!F23</f>
        <v>180</v>
      </c>
    </row>
    <row r="105" spans="1:3" ht="14.25" x14ac:dyDescent="0.2">
      <c r="A105" s="59" t="s">
        <v>161</v>
      </c>
      <c r="B105" s="53" t="s">
        <v>162</v>
      </c>
      <c r="C105" s="34">
        <f>[10]С4!F24</f>
        <v>8497.1999999999989</v>
      </c>
    </row>
    <row r="106" spans="1:3" ht="14.25" x14ac:dyDescent="0.2">
      <c r="A106" s="59" t="s">
        <v>163</v>
      </c>
      <c r="B106" s="58" t="s">
        <v>164</v>
      </c>
      <c r="C106" s="40">
        <f>[10]С4!F25</f>
        <v>0.35</v>
      </c>
    </row>
    <row r="107" spans="1:3" ht="17.25" x14ac:dyDescent="0.2">
      <c r="A107" s="59" t="s">
        <v>165</v>
      </c>
      <c r="B107" s="33" t="s">
        <v>166</v>
      </c>
      <c r="C107" s="34">
        <f>[10]С4!F26</f>
        <v>71.947625000000002</v>
      </c>
    </row>
    <row r="108" spans="1:3" ht="25.5" x14ac:dyDescent="0.2">
      <c r="A108" s="59" t="s">
        <v>167</v>
      </c>
      <c r="B108" s="53" t="s">
        <v>94</v>
      </c>
      <c r="C108" s="85">
        <f>[10]С4.3!E16</f>
        <v>0</v>
      </c>
    </row>
    <row r="109" spans="1:3" ht="25.5" x14ac:dyDescent="0.2">
      <c r="A109" s="59" t="s">
        <v>168</v>
      </c>
      <c r="B109" s="53" t="s">
        <v>169</v>
      </c>
      <c r="C109" s="34">
        <f>[10]С4.3!E17</f>
        <v>19.141666666666666</v>
      </c>
    </row>
    <row r="110" spans="1:3" ht="38.25" x14ac:dyDescent="0.2">
      <c r="A110" s="59" t="s">
        <v>170</v>
      </c>
      <c r="B110" s="53" t="s">
        <v>106</v>
      </c>
      <c r="C110" s="85">
        <f>[10]С4.3!E18</f>
        <v>0</v>
      </c>
    </row>
    <row r="111" spans="1:3" x14ac:dyDescent="0.2">
      <c r="A111" s="59" t="s">
        <v>171</v>
      </c>
      <c r="B111" s="53" t="s">
        <v>172</v>
      </c>
      <c r="C111" s="34">
        <f>[10]С4.3!E19</f>
        <v>23.616666666666667</v>
      </c>
    </row>
    <row r="112" spans="1:3" x14ac:dyDescent="0.2">
      <c r="A112" s="59" t="s">
        <v>173</v>
      </c>
      <c r="B112" s="58" t="s">
        <v>174</v>
      </c>
      <c r="C112" s="34">
        <f>[10]С4.3!E11</f>
        <v>1871</v>
      </c>
    </row>
    <row r="113" spans="1:3" x14ac:dyDescent="0.2">
      <c r="A113" s="59" t="s">
        <v>175</v>
      </c>
      <c r="B113" s="58" t="s">
        <v>176</v>
      </c>
      <c r="C113" s="52">
        <f>[10]С4.3!E12</f>
        <v>1636</v>
      </c>
    </row>
    <row r="114" spans="1:3" x14ac:dyDescent="0.2">
      <c r="A114" s="59" t="s">
        <v>177</v>
      </c>
      <c r="B114" s="58" t="s">
        <v>178</v>
      </c>
      <c r="C114" s="52">
        <f>[10]С4.3!E13</f>
        <v>204</v>
      </c>
    </row>
    <row r="115" spans="1:3" ht="30" x14ac:dyDescent="0.2">
      <c r="A115" s="59" t="s">
        <v>179</v>
      </c>
      <c r="B115" s="33" t="s">
        <v>180</v>
      </c>
      <c r="C115" s="34">
        <f>[10]С4!F27</f>
        <v>1291.2863994686898</v>
      </c>
    </row>
    <row r="116" spans="1:3" ht="25.5" x14ac:dyDescent="0.2">
      <c r="A116" s="59" t="s">
        <v>181</v>
      </c>
      <c r="B116" s="53" t="s">
        <v>182</v>
      </c>
      <c r="C116" s="34">
        <f>[10]С4!F28</f>
        <v>991.77142816335618</v>
      </c>
    </row>
    <row r="117" spans="1:3" ht="42.75" x14ac:dyDescent="0.2">
      <c r="A117" s="59" t="s">
        <v>183</v>
      </c>
      <c r="B117" s="53" t="s">
        <v>184</v>
      </c>
      <c r="C117" s="34">
        <f>[10]С4!F29</f>
        <v>299.51497130533357</v>
      </c>
    </row>
    <row r="118" spans="1:3" ht="30" x14ac:dyDescent="0.2">
      <c r="A118" s="59" t="s">
        <v>185</v>
      </c>
      <c r="B118" s="39" t="s">
        <v>186</v>
      </c>
      <c r="C118" s="34">
        <f>[10]С4!F30</f>
        <v>2832.0721074988451</v>
      </c>
    </row>
    <row r="119" spans="1:3" ht="42.75" x14ac:dyDescent="0.2">
      <c r="A119" s="59" t="s">
        <v>187</v>
      </c>
      <c r="B119" s="86" t="s">
        <v>188</v>
      </c>
      <c r="C119" s="34">
        <f>[10]С4!F33</f>
        <v>1632.9796072764698</v>
      </c>
    </row>
    <row r="120" spans="1:3" ht="30" x14ac:dyDescent="0.2">
      <c r="A120" s="59" t="s">
        <v>189</v>
      </c>
      <c r="B120" s="87" t="s">
        <v>190</v>
      </c>
      <c r="C120" s="34">
        <f>[10]С4!F35</f>
        <v>17.040680999999999</v>
      </c>
    </row>
    <row r="121" spans="1:3" ht="14.25" x14ac:dyDescent="0.2">
      <c r="A121" s="59" t="s">
        <v>191</v>
      </c>
      <c r="B121" s="56" t="s">
        <v>192</v>
      </c>
      <c r="C121" s="34">
        <f>[10]С4!F36</f>
        <v>14319.9</v>
      </c>
    </row>
    <row r="122" spans="1:3" ht="28.5" thickBot="1" x14ac:dyDescent="0.25">
      <c r="A122" s="72" t="s">
        <v>193</v>
      </c>
      <c r="B122" s="88" t="s">
        <v>194</v>
      </c>
      <c r="C122" s="83">
        <f>[10]С4!F37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[10]С5!F17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[10]С2!F37</f>
        <v>20.818139999999996</v>
      </c>
    </row>
    <row r="136" spans="1:3" ht="14.25" x14ac:dyDescent="0.2">
      <c r="A136" s="59" t="s">
        <v>216</v>
      </c>
      <c r="B136" s="101" t="s">
        <v>217</v>
      </c>
      <c r="C136" s="34">
        <f>[10]С2!F38</f>
        <v>7</v>
      </c>
    </row>
    <row r="137" spans="1:3" ht="17.25" x14ac:dyDescent="0.2">
      <c r="A137" s="59" t="s">
        <v>218</v>
      </c>
      <c r="B137" s="101" t="s">
        <v>219</v>
      </c>
      <c r="C137" s="34">
        <f>[10]С2!F40</f>
        <v>0.97</v>
      </c>
    </row>
    <row r="138" spans="1:3" ht="15" thickBot="1" x14ac:dyDescent="0.25">
      <c r="A138" s="72" t="s">
        <v>220</v>
      </c>
      <c r="B138" s="102" t="s">
        <v>221</v>
      </c>
      <c r="C138" s="46">
        <f>[10]С2!F42</f>
        <v>0.35</v>
      </c>
    </row>
    <row r="139" spans="1:3" s="89" customFormat="1" ht="13.5" thickBot="1" x14ac:dyDescent="0.25">
      <c r="A139" s="47"/>
      <c r="B139" s="75"/>
      <c r="C139" s="15"/>
    </row>
    <row r="140" spans="1:3" ht="30" x14ac:dyDescent="0.2">
      <c r="A140" s="84" t="s">
        <v>222</v>
      </c>
      <c r="B140" s="103" t="s">
        <v>223</v>
      </c>
      <c r="C140" s="104">
        <f>[10]С2!F35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[10]С2.5!$E$11</f>
        <v>-2.9000000000000026E-2</v>
      </c>
    </row>
    <row r="144" spans="1:3" x14ac:dyDescent="0.2">
      <c r="A144" s="105"/>
      <c r="B144" s="110">
        <f>B143+1</f>
        <v>2021</v>
      </c>
      <c r="C144" s="111">
        <f>[10]С2.5!$F$11</f>
        <v>0.245</v>
      </c>
    </row>
    <row r="145" spans="1:3" x14ac:dyDescent="0.2">
      <c r="A145" s="105"/>
      <c r="B145" s="110">
        <f t="shared" ref="B145:B208" si="0">B144+1</f>
        <v>2022</v>
      </c>
      <c r="C145" s="111">
        <f>[10]С2.5!$G$11</f>
        <v>0.114</v>
      </c>
    </row>
    <row r="146" spans="1:3" ht="13.5" thickBot="1" x14ac:dyDescent="0.25">
      <c r="A146" s="105"/>
      <c r="B146" s="112">
        <f t="shared" si="0"/>
        <v>2023</v>
      </c>
      <c r="C146" s="113">
        <f>[10]С2.5!$H$11</f>
        <v>0.04</v>
      </c>
    </row>
    <row r="147" spans="1:3" x14ac:dyDescent="0.2">
      <c r="A147" s="105"/>
      <c r="B147" s="114">
        <f t="shared" si="0"/>
        <v>2024</v>
      </c>
      <c r="C147" s="115">
        <f>[10]С2.5!$I$11</f>
        <v>0.11700000000000001</v>
      </c>
    </row>
    <row r="148" spans="1:3" x14ac:dyDescent="0.2">
      <c r="A148" s="105"/>
      <c r="B148" s="110">
        <f t="shared" si="0"/>
        <v>2025</v>
      </c>
      <c r="C148" s="111">
        <f>[10]С2.5!$J$11</f>
        <v>6.0999999999999999E-2</v>
      </c>
    </row>
    <row r="149" spans="1:3" hidden="1" x14ac:dyDescent="0.2">
      <c r="A149" s="105"/>
      <c r="B149" s="110">
        <f t="shared" si="0"/>
        <v>2026</v>
      </c>
      <c r="C149" s="111">
        <f>[10]С2.5!$K$11</f>
        <v>3.5813361771260002E-2</v>
      </c>
    </row>
    <row r="150" spans="1:3" hidden="1" x14ac:dyDescent="0.2">
      <c r="A150" s="105"/>
      <c r="B150" s="110">
        <f t="shared" si="0"/>
        <v>2027</v>
      </c>
      <c r="C150" s="111">
        <f>[10]С2.5!$L$11</f>
        <v>3.2682303599220003E-2</v>
      </c>
    </row>
    <row r="151" spans="1:3" hidden="1" x14ac:dyDescent="0.2">
      <c r="A151" s="105"/>
      <c r="B151" s="110">
        <f t="shared" si="0"/>
        <v>2028</v>
      </c>
      <c r="C151" s="111">
        <f>[10]С2.5!$M$11</f>
        <v>0</v>
      </c>
    </row>
    <row r="152" spans="1:3" hidden="1" x14ac:dyDescent="0.2">
      <c r="A152" s="105"/>
      <c r="B152" s="110">
        <f t="shared" si="0"/>
        <v>2029</v>
      </c>
      <c r="C152" s="111">
        <f>[10]С2.5!$N$11</f>
        <v>0</v>
      </c>
    </row>
    <row r="153" spans="1:3" hidden="1" x14ac:dyDescent="0.2">
      <c r="A153" s="105"/>
      <c r="B153" s="110">
        <f t="shared" si="0"/>
        <v>2030</v>
      </c>
      <c r="C153" s="111">
        <f>[10]С2.5!$O$11</f>
        <v>0</v>
      </c>
    </row>
    <row r="154" spans="1:3" hidden="1" x14ac:dyDescent="0.2">
      <c r="A154" s="105"/>
      <c r="B154" s="110">
        <f t="shared" si="0"/>
        <v>2031</v>
      </c>
      <c r="C154" s="111">
        <f>[10]С2.5!$P$11</f>
        <v>0</v>
      </c>
    </row>
    <row r="155" spans="1:3" hidden="1" x14ac:dyDescent="0.2">
      <c r="A155" s="89"/>
      <c r="B155" s="110">
        <f t="shared" si="0"/>
        <v>2032</v>
      </c>
      <c r="C155" s="111">
        <f>[10]С2.5!$Q$11</f>
        <v>0</v>
      </c>
    </row>
    <row r="156" spans="1:3" hidden="1" x14ac:dyDescent="0.2">
      <c r="A156" s="89"/>
      <c r="B156" s="110">
        <f t="shared" si="0"/>
        <v>2033</v>
      </c>
      <c r="C156" s="111">
        <f>[10]С2.5!$R$11</f>
        <v>0</v>
      </c>
    </row>
    <row r="157" spans="1:3" hidden="1" x14ac:dyDescent="0.2">
      <c r="B157" s="110">
        <f t="shared" si="0"/>
        <v>2034</v>
      </c>
      <c r="C157" s="111">
        <f>[10]С2.5!$S$11</f>
        <v>0</v>
      </c>
    </row>
    <row r="158" spans="1:3" hidden="1" x14ac:dyDescent="0.2">
      <c r="B158" s="110">
        <f t="shared" si="0"/>
        <v>2035</v>
      </c>
      <c r="C158" s="111">
        <f>[10]С2.5!$T$11</f>
        <v>0</v>
      </c>
    </row>
    <row r="159" spans="1:3" hidden="1" x14ac:dyDescent="0.2">
      <c r="B159" s="110">
        <f t="shared" si="0"/>
        <v>2036</v>
      </c>
      <c r="C159" s="111">
        <f>[10]С2.5!$U$11</f>
        <v>0</v>
      </c>
    </row>
    <row r="160" spans="1:3" hidden="1" x14ac:dyDescent="0.2">
      <c r="B160" s="110">
        <f t="shared" si="0"/>
        <v>2037</v>
      </c>
      <c r="C160" s="111">
        <f>[10]С2.5!$V$11</f>
        <v>0</v>
      </c>
    </row>
    <row r="161" spans="2:3" hidden="1" x14ac:dyDescent="0.2">
      <c r="B161" s="110">
        <f t="shared" si="0"/>
        <v>2038</v>
      </c>
      <c r="C161" s="111">
        <f>[10]С2.5!$W$11</f>
        <v>0</v>
      </c>
    </row>
    <row r="162" spans="2:3" hidden="1" x14ac:dyDescent="0.2">
      <c r="B162" s="110">
        <f t="shared" si="0"/>
        <v>2039</v>
      </c>
      <c r="C162" s="111">
        <f>[10]С2.5!$X$11</f>
        <v>0</v>
      </c>
    </row>
    <row r="163" spans="2:3" hidden="1" x14ac:dyDescent="0.2">
      <c r="B163" s="110">
        <f t="shared" si="0"/>
        <v>2040</v>
      </c>
      <c r="C163" s="111">
        <f>[10]С2.5!$Y$11</f>
        <v>0</v>
      </c>
    </row>
    <row r="164" spans="2:3" hidden="1" x14ac:dyDescent="0.2">
      <c r="B164" s="110">
        <f t="shared" si="0"/>
        <v>2041</v>
      </c>
      <c r="C164" s="111">
        <f>[10]С2.5!$Z$11</f>
        <v>0</v>
      </c>
    </row>
    <row r="165" spans="2:3" hidden="1" x14ac:dyDescent="0.2">
      <c r="B165" s="110">
        <f t="shared" si="0"/>
        <v>2042</v>
      </c>
      <c r="C165" s="111">
        <f>[10]С2.5!$AA$11</f>
        <v>0</v>
      </c>
    </row>
    <row r="166" spans="2:3" hidden="1" x14ac:dyDescent="0.2">
      <c r="B166" s="110">
        <f t="shared" si="0"/>
        <v>2043</v>
      </c>
      <c r="C166" s="111">
        <f>[10]С2.5!$AB$11</f>
        <v>0</v>
      </c>
    </row>
    <row r="167" spans="2:3" hidden="1" x14ac:dyDescent="0.2">
      <c r="B167" s="110">
        <f t="shared" si="0"/>
        <v>2044</v>
      </c>
      <c r="C167" s="111">
        <f>[10]С2.5!$AC$11</f>
        <v>0</v>
      </c>
    </row>
    <row r="168" spans="2:3" hidden="1" x14ac:dyDescent="0.2">
      <c r="B168" s="110">
        <f t="shared" si="0"/>
        <v>2045</v>
      </c>
      <c r="C168" s="111">
        <f>[10]С2.5!$AD$11</f>
        <v>0</v>
      </c>
    </row>
    <row r="169" spans="2:3" hidden="1" x14ac:dyDescent="0.2">
      <c r="B169" s="110">
        <f t="shared" si="0"/>
        <v>2046</v>
      </c>
      <c r="C169" s="111">
        <f>[10]С2.5!$AE$11</f>
        <v>0</v>
      </c>
    </row>
    <row r="170" spans="2:3" hidden="1" x14ac:dyDescent="0.2">
      <c r="B170" s="110">
        <f t="shared" si="0"/>
        <v>2047</v>
      </c>
      <c r="C170" s="111">
        <f>[10]С2.5!$AF$11</f>
        <v>0</v>
      </c>
    </row>
    <row r="171" spans="2:3" hidden="1" x14ac:dyDescent="0.2">
      <c r="B171" s="110">
        <f t="shared" si="0"/>
        <v>2048</v>
      </c>
      <c r="C171" s="111">
        <f>[10]С2.5!$AG$11</f>
        <v>0</v>
      </c>
    </row>
    <row r="172" spans="2:3" hidden="1" x14ac:dyDescent="0.2">
      <c r="B172" s="110">
        <f t="shared" si="0"/>
        <v>2049</v>
      </c>
      <c r="C172" s="111">
        <f>[10]С2.5!$AH$11</f>
        <v>0</v>
      </c>
    </row>
    <row r="173" spans="2:3" hidden="1" x14ac:dyDescent="0.2">
      <c r="B173" s="110">
        <f t="shared" si="0"/>
        <v>2050</v>
      </c>
      <c r="C173" s="111">
        <f>[10]С2.5!$AI$11</f>
        <v>0</v>
      </c>
    </row>
    <row r="174" spans="2:3" hidden="1" x14ac:dyDescent="0.2">
      <c r="B174" s="110">
        <f t="shared" si="0"/>
        <v>2051</v>
      </c>
      <c r="C174" s="111">
        <f>[10]С2.5!$AJ$11</f>
        <v>0</v>
      </c>
    </row>
    <row r="175" spans="2:3" hidden="1" x14ac:dyDescent="0.2">
      <c r="B175" s="110">
        <f t="shared" si="0"/>
        <v>2052</v>
      </c>
      <c r="C175" s="111">
        <f>[10]С2.5!$AK$11</f>
        <v>0</v>
      </c>
    </row>
    <row r="176" spans="2:3" hidden="1" x14ac:dyDescent="0.2">
      <c r="B176" s="110">
        <f t="shared" si="0"/>
        <v>2053</v>
      </c>
      <c r="C176" s="111">
        <f>[10]С2.5!$AL$11</f>
        <v>0</v>
      </c>
    </row>
    <row r="177" spans="2:3" hidden="1" x14ac:dyDescent="0.2">
      <c r="B177" s="110">
        <f t="shared" si="0"/>
        <v>2054</v>
      </c>
      <c r="C177" s="111">
        <f>[10]С2.5!$AM$11</f>
        <v>0</v>
      </c>
    </row>
    <row r="178" spans="2:3" hidden="1" x14ac:dyDescent="0.2">
      <c r="B178" s="110">
        <f t="shared" si="0"/>
        <v>2055</v>
      </c>
      <c r="C178" s="111">
        <f>[10]С2.5!$AN$11</f>
        <v>0</v>
      </c>
    </row>
    <row r="179" spans="2:3" hidden="1" x14ac:dyDescent="0.2">
      <c r="B179" s="110">
        <f t="shared" si="0"/>
        <v>2056</v>
      </c>
      <c r="C179" s="111">
        <f>[10]С2.5!$AO$11</f>
        <v>0</v>
      </c>
    </row>
    <row r="180" spans="2:3" hidden="1" x14ac:dyDescent="0.2">
      <c r="B180" s="110">
        <f t="shared" si="0"/>
        <v>2057</v>
      </c>
      <c r="C180" s="111">
        <f>[10]С2.5!$AP$11</f>
        <v>0</v>
      </c>
    </row>
    <row r="181" spans="2:3" hidden="1" x14ac:dyDescent="0.2">
      <c r="B181" s="110">
        <f t="shared" si="0"/>
        <v>2058</v>
      </c>
      <c r="C181" s="111">
        <f>[10]С2.5!$AQ$11</f>
        <v>0</v>
      </c>
    </row>
    <row r="182" spans="2:3" hidden="1" x14ac:dyDescent="0.2">
      <c r="B182" s="110">
        <f t="shared" si="0"/>
        <v>2059</v>
      </c>
      <c r="C182" s="111">
        <f>[10]С2.5!$AR$11</f>
        <v>0</v>
      </c>
    </row>
    <row r="183" spans="2:3" hidden="1" x14ac:dyDescent="0.2">
      <c r="B183" s="110">
        <f t="shared" si="0"/>
        <v>2060</v>
      </c>
      <c r="C183" s="111">
        <f>[10]С2.5!$AS$11</f>
        <v>0</v>
      </c>
    </row>
    <row r="184" spans="2:3" hidden="1" x14ac:dyDescent="0.2">
      <c r="B184" s="110">
        <f t="shared" si="0"/>
        <v>2061</v>
      </c>
      <c r="C184" s="111">
        <f>[10]С2.5!$AT$11</f>
        <v>0</v>
      </c>
    </row>
    <row r="185" spans="2:3" hidden="1" x14ac:dyDescent="0.2">
      <c r="B185" s="110">
        <f t="shared" si="0"/>
        <v>2062</v>
      </c>
      <c r="C185" s="111">
        <f>[10]С2.5!$AU$11</f>
        <v>0</v>
      </c>
    </row>
    <row r="186" spans="2:3" hidden="1" x14ac:dyDescent="0.2">
      <c r="B186" s="110">
        <f t="shared" si="0"/>
        <v>2063</v>
      </c>
      <c r="C186" s="111">
        <f>[10]С2.5!$AV$11</f>
        <v>0</v>
      </c>
    </row>
    <row r="187" spans="2:3" hidden="1" x14ac:dyDescent="0.2">
      <c r="B187" s="110">
        <f t="shared" si="0"/>
        <v>2064</v>
      </c>
      <c r="C187" s="111">
        <f>[10]С2.5!$AW$11</f>
        <v>0</v>
      </c>
    </row>
    <row r="188" spans="2:3" hidden="1" x14ac:dyDescent="0.2">
      <c r="B188" s="110">
        <f t="shared" si="0"/>
        <v>2065</v>
      </c>
      <c r="C188" s="111">
        <f>[10]С2.5!$AX$11</f>
        <v>0</v>
      </c>
    </row>
    <row r="189" spans="2:3" hidden="1" x14ac:dyDescent="0.2">
      <c r="B189" s="110">
        <f t="shared" si="0"/>
        <v>2066</v>
      </c>
      <c r="C189" s="111">
        <f>[10]С2.5!$AY$11</f>
        <v>0</v>
      </c>
    </row>
    <row r="190" spans="2:3" hidden="1" x14ac:dyDescent="0.2">
      <c r="B190" s="110">
        <f t="shared" si="0"/>
        <v>2067</v>
      </c>
      <c r="C190" s="111">
        <f>[10]С2.5!$AZ$11</f>
        <v>0</v>
      </c>
    </row>
    <row r="191" spans="2:3" hidden="1" x14ac:dyDescent="0.2">
      <c r="B191" s="110">
        <f t="shared" si="0"/>
        <v>2068</v>
      </c>
      <c r="C191" s="111">
        <f>[10]С2.5!$BA$11</f>
        <v>0</v>
      </c>
    </row>
    <row r="192" spans="2:3" hidden="1" x14ac:dyDescent="0.2">
      <c r="B192" s="110">
        <f t="shared" si="0"/>
        <v>2069</v>
      </c>
      <c r="C192" s="111">
        <f>[10]С2.5!$BB$11</f>
        <v>0</v>
      </c>
    </row>
    <row r="193" spans="2:3" hidden="1" x14ac:dyDescent="0.2">
      <c r="B193" s="110">
        <f t="shared" si="0"/>
        <v>2070</v>
      </c>
      <c r="C193" s="111">
        <f>[10]С2.5!$BC$11</f>
        <v>0</v>
      </c>
    </row>
    <row r="194" spans="2:3" hidden="1" x14ac:dyDescent="0.2">
      <c r="B194" s="110">
        <f t="shared" si="0"/>
        <v>2071</v>
      </c>
      <c r="C194" s="111">
        <f>[10]С2.5!$BD$11</f>
        <v>0</v>
      </c>
    </row>
    <row r="195" spans="2:3" hidden="1" x14ac:dyDescent="0.2">
      <c r="B195" s="110">
        <f t="shared" si="0"/>
        <v>2072</v>
      </c>
      <c r="C195" s="111">
        <f>[10]С2.5!$BE$11</f>
        <v>0</v>
      </c>
    </row>
    <row r="196" spans="2:3" hidden="1" x14ac:dyDescent="0.2">
      <c r="B196" s="110">
        <f t="shared" si="0"/>
        <v>2073</v>
      </c>
      <c r="C196" s="111">
        <f>[10]С2.5!$BF$11</f>
        <v>0</v>
      </c>
    </row>
    <row r="197" spans="2:3" hidden="1" x14ac:dyDescent="0.2">
      <c r="B197" s="110">
        <f t="shared" si="0"/>
        <v>2074</v>
      </c>
      <c r="C197" s="111">
        <f>[10]С2.5!$BG$11</f>
        <v>0</v>
      </c>
    </row>
    <row r="198" spans="2:3" hidden="1" x14ac:dyDescent="0.2">
      <c r="B198" s="110">
        <f t="shared" si="0"/>
        <v>2075</v>
      </c>
      <c r="C198" s="111">
        <f>[10]С2.5!$BH$11</f>
        <v>0</v>
      </c>
    </row>
    <row r="199" spans="2:3" hidden="1" x14ac:dyDescent="0.2">
      <c r="B199" s="110">
        <f t="shared" si="0"/>
        <v>2076</v>
      </c>
      <c r="C199" s="111">
        <f>[10]С2.5!$BI$11</f>
        <v>0</v>
      </c>
    </row>
    <row r="200" spans="2:3" hidden="1" x14ac:dyDescent="0.2">
      <c r="B200" s="110">
        <f t="shared" si="0"/>
        <v>2077</v>
      </c>
      <c r="C200" s="111">
        <f>[10]С2.5!$BJ$11</f>
        <v>0</v>
      </c>
    </row>
    <row r="201" spans="2:3" hidden="1" x14ac:dyDescent="0.2">
      <c r="B201" s="110">
        <f t="shared" si="0"/>
        <v>2078</v>
      </c>
      <c r="C201" s="111">
        <f>[10]С2.5!$BK$11</f>
        <v>0</v>
      </c>
    </row>
    <row r="202" spans="2:3" hidden="1" x14ac:dyDescent="0.2">
      <c r="B202" s="110">
        <f t="shared" si="0"/>
        <v>2079</v>
      </c>
      <c r="C202" s="111">
        <f>[10]С2.5!$BL$11</f>
        <v>0</v>
      </c>
    </row>
    <row r="203" spans="2:3" hidden="1" x14ac:dyDescent="0.2">
      <c r="B203" s="110">
        <f t="shared" si="0"/>
        <v>2080</v>
      </c>
      <c r="C203" s="111">
        <f>[10]С2.5!$BM$11</f>
        <v>0</v>
      </c>
    </row>
    <row r="204" spans="2:3" hidden="1" x14ac:dyDescent="0.2">
      <c r="B204" s="110">
        <f t="shared" si="0"/>
        <v>2081</v>
      </c>
      <c r="C204" s="111">
        <f>[10]С2.5!$BN$11</f>
        <v>0</v>
      </c>
    </row>
    <row r="205" spans="2:3" hidden="1" x14ac:dyDescent="0.2">
      <c r="B205" s="110">
        <f t="shared" si="0"/>
        <v>2082</v>
      </c>
      <c r="C205" s="111">
        <f>[10]С2.5!$BO$11</f>
        <v>0</v>
      </c>
    </row>
    <row r="206" spans="2:3" hidden="1" x14ac:dyDescent="0.2">
      <c r="B206" s="110">
        <f t="shared" si="0"/>
        <v>2083</v>
      </c>
      <c r="C206" s="111">
        <f>[10]С2.5!$BP$11</f>
        <v>0</v>
      </c>
    </row>
    <row r="207" spans="2:3" hidden="1" x14ac:dyDescent="0.2">
      <c r="B207" s="110">
        <f t="shared" si="0"/>
        <v>2084</v>
      </c>
      <c r="C207" s="111">
        <f>[10]С2.5!$BQ$11</f>
        <v>0</v>
      </c>
    </row>
    <row r="208" spans="2:3" hidden="1" x14ac:dyDescent="0.2">
      <c r="B208" s="110">
        <f t="shared" si="0"/>
        <v>2085</v>
      </c>
      <c r="C208" s="111">
        <f>[10]С2.5!$BR$11</f>
        <v>0</v>
      </c>
    </row>
    <row r="209" spans="2:3" hidden="1" x14ac:dyDescent="0.2">
      <c r="B209" s="110">
        <f t="shared" ref="B209:B223" si="1">B208+1</f>
        <v>2086</v>
      </c>
      <c r="C209" s="111">
        <f>[10]С2.5!$BS$11</f>
        <v>0</v>
      </c>
    </row>
    <row r="210" spans="2:3" hidden="1" x14ac:dyDescent="0.2">
      <c r="B210" s="110">
        <f t="shared" si="1"/>
        <v>2087</v>
      </c>
      <c r="C210" s="111">
        <f>[10]С2.5!$BT$11</f>
        <v>0</v>
      </c>
    </row>
    <row r="211" spans="2:3" hidden="1" x14ac:dyDescent="0.2">
      <c r="B211" s="110">
        <f t="shared" si="1"/>
        <v>2088</v>
      </c>
      <c r="C211" s="111">
        <f>[10]С2.5!$BU$11</f>
        <v>0</v>
      </c>
    </row>
    <row r="212" spans="2:3" hidden="1" x14ac:dyDescent="0.2">
      <c r="B212" s="110">
        <f t="shared" si="1"/>
        <v>2089</v>
      </c>
      <c r="C212" s="111">
        <f>[10]С2.5!$BV$11</f>
        <v>0</v>
      </c>
    </row>
    <row r="213" spans="2:3" hidden="1" x14ac:dyDescent="0.2">
      <c r="B213" s="110">
        <f t="shared" si="1"/>
        <v>2090</v>
      </c>
      <c r="C213" s="111">
        <f>[10]С2.5!$BW$11</f>
        <v>0</v>
      </c>
    </row>
    <row r="214" spans="2:3" hidden="1" x14ac:dyDescent="0.2">
      <c r="B214" s="110">
        <f t="shared" si="1"/>
        <v>2091</v>
      </c>
      <c r="C214" s="111">
        <f>[10]С2.5!$BX$11</f>
        <v>0</v>
      </c>
    </row>
    <row r="215" spans="2:3" hidden="1" x14ac:dyDescent="0.2">
      <c r="B215" s="110">
        <f t="shared" si="1"/>
        <v>2092</v>
      </c>
      <c r="C215" s="111">
        <f>[10]С2.5!$BY$11</f>
        <v>0</v>
      </c>
    </row>
    <row r="216" spans="2:3" hidden="1" x14ac:dyDescent="0.2">
      <c r="B216" s="110">
        <f t="shared" si="1"/>
        <v>2093</v>
      </c>
      <c r="C216" s="111">
        <f>[10]С2.5!$BZ$11</f>
        <v>0</v>
      </c>
    </row>
    <row r="217" spans="2:3" hidden="1" x14ac:dyDescent="0.2">
      <c r="B217" s="110">
        <f t="shared" si="1"/>
        <v>2094</v>
      </c>
      <c r="C217" s="111">
        <f>[10]С2.5!$CA$11</f>
        <v>0</v>
      </c>
    </row>
    <row r="218" spans="2:3" hidden="1" x14ac:dyDescent="0.2">
      <c r="B218" s="110">
        <f t="shared" si="1"/>
        <v>2095</v>
      </c>
      <c r="C218" s="111">
        <f>[10]С2.5!$CB$11</f>
        <v>0</v>
      </c>
    </row>
    <row r="219" spans="2:3" hidden="1" x14ac:dyDescent="0.2">
      <c r="B219" s="110">
        <f t="shared" si="1"/>
        <v>2096</v>
      </c>
      <c r="C219" s="111">
        <f>[10]С2.5!$CC$11</f>
        <v>0</v>
      </c>
    </row>
    <row r="220" spans="2:3" hidden="1" x14ac:dyDescent="0.2">
      <c r="B220" s="110">
        <f t="shared" si="1"/>
        <v>2097</v>
      </c>
      <c r="C220" s="111">
        <f>[10]С2.5!$CD$11</f>
        <v>0</v>
      </c>
    </row>
    <row r="221" spans="2:3" hidden="1" x14ac:dyDescent="0.2">
      <c r="B221" s="110">
        <f t="shared" si="1"/>
        <v>2098</v>
      </c>
      <c r="C221" s="111">
        <f>[10]С2.5!$CE$11</f>
        <v>0</v>
      </c>
    </row>
    <row r="222" spans="2:3" hidden="1" x14ac:dyDescent="0.2">
      <c r="B222" s="110">
        <f t="shared" si="1"/>
        <v>2099</v>
      </c>
      <c r="C222" s="111">
        <f>[10]С2.5!$CF$11</f>
        <v>0</v>
      </c>
    </row>
    <row r="223" spans="2:3" ht="13.5" hidden="1" thickBot="1" x14ac:dyDescent="0.25">
      <c r="B223" s="112">
        <f t="shared" si="1"/>
        <v>2100</v>
      </c>
      <c r="C223" s="113">
        <f>[10]С2.5!$CG$11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[11]И1!D13</f>
        <v>Субъект Российской Федерации</v>
      </c>
      <c r="C4" s="10" t="str">
        <f>[11]И1!E13</f>
        <v>Новосибирская область</v>
      </c>
    </row>
    <row r="5" spans="1:3" ht="46.9" customHeight="1" x14ac:dyDescent="0.2">
      <c r="A5" s="8"/>
      <c r="B5" s="9" t="str">
        <f>[11]И1!D14</f>
        <v>Тип муниципального образования (выберите из списка)</v>
      </c>
      <c r="C5" s="10" t="str">
        <f>[11]И1!E14</f>
        <v xml:space="preserve">село Майское, Краснозерский муниципальный район </v>
      </c>
    </row>
    <row r="6" spans="1:3" x14ac:dyDescent="0.2">
      <c r="A6" s="8"/>
      <c r="B6" s="9" t="str">
        <f>IF([11]И1!E15="","",[11]И1!D15)</f>
        <v/>
      </c>
      <c r="C6" s="10" t="str">
        <f>IF([11]И1!E15="","",[11]И1!E15)</f>
        <v/>
      </c>
    </row>
    <row r="7" spans="1:3" x14ac:dyDescent="0.2">
      <c r="A7" s="8"/>
      <c r="B7" s="9" t="str">
        <f>[11]И1!D16</f>
        <v>Код ОКТМО</v>
      </c>
      <c r="C7" s="11" t="str">
        <f>[11]И1!E16</f>
        <v>(50627422101)</v>
      </c>
    </row>
    <row r="8" spans="1:3" x14ac:dyDescent="0.2">
      <c r="A8" s="8"/>
      <c r="B8" s="12" t="str">
        <f>[11]И1!D17</f>
        <v>Система теплоснабжения</v>
      </c>
      <c r="C8" s="13">
        <f>[11]И1!E17</f>
        <v>0</v>
      </c>
    </row>
    <row r="9" spans="1:3" x14ac:dyDescent="0.2">
      <c r="A9" s="8"/>
      <c r="B9" s="9" t="str">
        <f>[11]И1!D8</f>
        <v>Период регулирования (i)-й</v>
      </c>
      <c r="C9" s="14">
        <f>[11]И1!E8</f>
        <v>2025</v>
      </c>
    </row>
    <row r="10" spans="1:3" x14ac:dyDescent="0.2">
      <c r="A10" s="8"/>
      <c r="B10" s="9" t="str">
        <f>[11]И1!D9</f>
        <v>Период регулирования (i-1)-й</v>
      </c>
      <c r="C10" s="14">
        <f>[11]И1!E9</f>
        <v>2024</v>
      </c>
    </row>
    <row r="11" spans="1:3" x14ac:dyDescent="0.2">
      <c r="A11" s="8"/>
      <c r="B11" s="9" t="str">
        <f>[11]И1!D10</f>
        <v>Период регулирования (i-2)-й</v>
      </c>
      <c r="C11" s="14">
        <f>[11]И1!E10</f>
        <v>2023</v>
      </c>
    </row>
    <row r="12" spans="1:3" x14ac:dyDescent="0.2">
      <c r="A12" s="8"/>
      <c r="B12" s="9" t="str">
        <f>[11]И1!D11</f>
        <v>Базовый год (б)</v>
      </c>
      <c r="C12" s="14">
        <f>[11]И1!E11</f>
        <v>2019</v>
      </c>
    </row>
    <row r="13" spans="1:3" ht="38.25" x14ac:dyDescent="0.2">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5503.9180327538552</v>
      </c>
    </row>
    <row r="18" spans="1:3" ht="42.75" x14ac:dyDescent="0.2">
      <c r="A18" s="22" t="s">
        <v>8</v>
      </c>
      <c r="B18" s="25" t="s">
        <v>9</v>
      </c>
      <c r="C18" s="26">
        <f>[11]С1!F12</f>
        <v>924.68931703683063</v>
      </c>
    </row>
    <row r="19" spans="1:3" ht="42.75" x14ac:dyDescent="0.2">
      <c r="A19" s="22" t="s">
        <v>10</v>
      </c>
      <c r="B19" s="25" t="s">
        <v>11</v>
      </c>
      <c r="C19" s="26">
        <f>[11]С2!F12</f>
        <v>3044.8315746726421</v>
      </c>
    </row>
    <row r="20" spans="1:3" ht="30" x14ac:dyDescent="0.2">
      <c r="A20" s="22" t="s">
        <v>12</v>
      </c>
      <c r="B20" s="25" t="s">
        <v>13</v>
      </c>
      <c r="C20" s="26">
        <f>[11]С3!F12</f>
        <v>911.5178018038722</v>
      </c>
    </row>
    <row r="21" spans="1:3" ht="42.75" x14ac:dyDescent="0.2">
      <c r="A21" s="22" t="s">
        <v>14</v>
      </c>
      <c r="B21" s="25" t="s">
        <v>15</v>
      </c>
      <c r="C21" s="26">
        <f>[11]С4!F12</f>
        <v>514.95937781396401</v>
      </c>
    </row>
    <row r="22" spans="1:3" ht="30" x14ac:dyDescent="0.2">
      <c r="A22" s="22" t="s">
        <v>16</v>
      </c>
      <c r="B22" s="25" t="s">
        <v>17</v>
      </c>
      <c r="C22" s="26">
        <f>[11]С5!F12</f>
        <v>107.91996142654618</v>
      </c>
    </row>
    <row r="23" spans="1:3" ht="43.5" thickBot="1" x14ac:dyDescent="0.25">
      <c r="A23" s="27" t="s">
        <v>18</v>
      </c>
      <c r="B23" s="117" t="s">
        <v>19</v>
      </c>
      <c r="C23" s="28" t="str">
        <f>[11]С6!F12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[11]С1.1!E16</f>
        <v>5100</v>
      </c>
    </row>
    <row r="29" spans="1:3" ht="42.75" x14ac:dyDescent="0.2">
      <c r="A29" s="22" t="s">
        <v>10</v>
      </c>
      <c r="B29" s="33" t="s">
        <v>22</v>
      </c>
      <c r="C29" s="34">
        <f>[11]С1.1!E27</f>
        <v>3335.59</v>
      </c>
    </row>
    <row r="30" spans="1:3" ht="17.25" x14ac:dyDescent="0.2">
      <c r="A30" s="22" t="s">
        <v>12</v>
      </c>
      <c r="B30" s="33" t="s">
        <v>23</v>
      </c>
      <c r="C30" s="35">
        <f>[11]С1.1!E19</f>
        <v>1.4E-2</v>
      </c>
    </row>
    <row r="31" spans="1:3" ht="17.25" x14ac:dyDescent="0.2">
      <c r="A31" s="22" t="s">
        <v>14</v>
      </c>
      <c r="B31" s="33" t="s">
        <v>24</v>
      </c>
      <c r="C31" s="35">
        <f>[11]С1.1!E20</f>
        <v>0.04</v>
      </c>
    </row>
    <row r="32" spans="1:3" ht="30" x14ac:dyDescent="0.2">
      <c r="A32" s="22" t="s">
        <v>16</v>
      </c>
      <c r="B32" s="36" t="s">
        <v>25</v>
      </c>
      <c r="C32" s="37">
        <f>[11]С1!F13</f>
        <v>176.4</v>
      </c>
    </row>
    <row r="33" spans="1:3" x14ac:dyDescent="0.2">
      <c r="A33" s="22" t="s">
        <v>18</v>
      </c>
      <c r="B33" s="36" t="s">
        <v>26</v>
      </c>
      <c r="C33" s="38">
        <f>[11]С1!F16</f>
        <v>7000</v>
      </c>
    </row>
    <row r="34" spans="1:3" ht="14.25" x14ac:dyDescent="0.2">
      <c r="A34" s="22" t="s">
        <v>27</v>
      </c>
      <c r="B34" s="39" t="s">
        <v>28</v>
      </c>
      <c r="C34" s="40">
        <f>[11]С1!F17</f>
        <v>0.72857142857142854</v>
      </c>
    </row>
    <row r="35" spans="1:3" ht="15.75" x14ac:dyDescent="0.2">
      <c r="A35" s="41" t="s">
        <v>29</v>
      </c>
      <c r="B35" s="42" t="s">
        <v>30</v>
      </c>
      <c r="C35" s="40">
        <f>[11]С1!F20</f>
        <v>21.588411179999994</v>
      </c>
    </row>
    <row r="36" spans="1:3" ht="15.75" x14ac:dyDescent="0.2">
      <c r="A36" s="41" t="s">
        <v>31</v>
      </c>
      <c r="B36" s="43" t="s">
        <v>32</v>
      </c>
      <c r="C36" s="40">
        <f>[11]С1!F21</f>
        <v>20.818139999999996</v>
      </c>
    </row>
    <row r="37" spans="1:3" ht="14.25" x14ac:dyDescent="0.2">
      <c r="A37" s="41" t="s">
        <v>33</v>
      </c>
      <c r="B37" s="44" t="s">
        <v>34</v>
      </c>
      <c r="C37" s="40">
        <f>[11]С1!F22</f>
        <v>1.0369999999999999</v>
      </c>
    </row>
    <row r="38" spans="1:3" ht="53.25" thickBot="1" x14ac:dyDescent="0.25">
      <c r="A38" s="27" t="s">
        <v>35</v>
      </c>
      <c r="B38" s="45" t="s">
        <v>36</v>
      </c>
      <c r="C38" s="46">
        <f>[11]С1!F23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[11]С2.1!E12</f>
        <v>V</v>
      </c>
    </row>
    <row r="42" spans="1:3" ht="25.5" x14ac:dyDescent="0.2">
      <c r="A42" s="22" t="s">
        <v>41</v>
      </c>
      <c r="B42" s="33" t="s">
        <v>42</v>
      </c>
      <c r="C42" s="51" t="str">
        <f>[11]С2.1!E13</f>
        <v>6 и менее баллов</v>
      </c>
    </row>
    <row r="43" spans="1:3" ht="25.5" x14ac:dyDescent="0.2">
      <c r="A43" s="22" t="s">
        <v>43</v>
      </c>
      <c r="B43" s="33" t="s">
        <v>44</v>
      </c>
      <c r="C43" s="51" t="str">
        <f>[11]С2.1!E14</f>
        <v>от 200 до 500</v>
      </c>
    </row>
    <row r="44" spans="1:3" ht="25.5" x14ac:dyDescent="0.2">
      <c r="A44" s="22" t="s">
        <v>45</v>
      </c>
      <c r="B44" s="33" t="s">
        <v>46</v>
      </c>
      <c r="C44" s="52" t="str">
        <f>[11]С2.1!E15</f>
        <v>нет</v>
      </c>
    </row>
    <row r="45" spans="1:3" ht="30" x14ac:dyDescent="0.2">
      <c r="A45" s="22" t="s">
        <v>47</v>
      </c>
      <c r="B45" s="33" t="s">
        <v>48</v>
      </c>
      <c r="C45" s="34">
        <f>[11]С2!F18</f>
        <v>38910.02669467502</v>
      </c>
    </row>
    <row r="46" spans="1:3" ht="30" x14ac:dyDescent="0.2">
      <c r="A46" s="22" t="s">
        <v>49</v>
      </c>
      <c r="B46" s="53" t="s">
        <v>50</v>
      </c>
      <c r="C46" s="34">
        <f>IF([11]С2!F19&gt;0,[11]С2!F19,[11]С2!F20)</f>
        <v>23441.524932855718</v>
      </c>
    </row>
    <row r="47" spans="1:3" ht="25.5" x14ac:dyDescent="0.2">
      <c r="A47" s="22" t="s">
        <v>51</v>
      </c>
      <c r="B47" s="54" t="s">
        <v>52</v>
      </c>
      <c r="C47" s="34">
        <f>[11]С2.1!E19</f>
        <v>-38</v>
      </c>
    </row>
    <row r="48" spans="1:3" ht="25.5" x14ac:dyDescent="0.2">
      <c r="A48" s="22" t="s">
        <v>53</v>
      </c>
      <c r="B48" s="54" t="s">
        <v>54</v>
      </c>
      <c r="C48" s="34" t="str">
        <f>[11]С2.1!E22</f>
        <v>нет</v>
      </c>
    </row>
    <row r="49" spans="1:3" ht="38.25" x14ac:dyDescent="0.2">
      <c r="A49" s="22" t="s">
        <v>55</v>
      </c>
      <c r="B49" s="55" t="s">
        <v>56</v>
      </c>
      <c r="C49" s="34">
        <f>[11]С2.2!E10</f>
        <v>1287</v>
      </c>
    </row>
    <row r="50" spans="1:3" ht="25.5" x14ac:dyDescent="0.2">
      <c r="A50" s="22" t="s">
        <v>57</v>
      </c>
      <c r="B50" s="56" t="s">
        <v>58</v>
      </c>
      <c r="C50" s="34">
        <f>[11]С2.2!E12</f>
        <v>5.97</v>
      </c>
    </row>
    <row r="51" spans="1:3" ht="52.5" x14ac:dyDescent="0.2">
      <c r="A51" s="22" t="s">
        <v>59</v>
      </c>
      <c r="B51" s="57" t="s">
        <v>60</v>
      </c>
      <c r="C51" s="34">
        <f>[11]С2.2!E13</f>
        <v>1</v>
      </c>
    </row>
    <row r="52" spans="1:3" ht="27.75" x14ac:dyDescent="0.2">
      <c r="A52" s="22" t="s">
        <v>61</v>
      </c>
      <c r="B52" s="56" t="s">
        <v>62</v>
      </c>
      <c r="C52" s="34">
        <f>[11]С2.2!E14</f>
        <v>12104</v>
      </c>
    </row>
    <row r="53" spans="1:3" ht="25.5" x14ac:dyDescent="0.2">
      <c r="A53" s="22" t="s">
        <v>63</v>
      </c>
      <c r="B53" s="57" t="s">
        <v>64</v>
      </c>
      <c r="C53" s="35">
        <f>[11]С2.2!E15</f>
        <v>4.8000000000000001E-2</v>
      </c>
    </row>
    <row r="54" spans="1:3" x14ac:dyDescent="0.2">
      <c r="A54" s="22" t="s">
        <v>65</v>
      </c>
      <c r="B54" s="57" t="s">
        <v>66</v>
      </c>
      <c r="C54" s="34">
        <f>[11]С2.2!E16</f>
        <v>1</v>
      </c>
    </row>
    <row r="55" spans="1:3" ht="15.75" x14ac:dyDescent="0.2">
      <c r="A55" s="22" t="s">
        <v>67</v>
      </c>
      <c r="B55" s="58" t="s">
        <v>68</v>
      </c>
      <c r="C55" s="34">
        <f>[11]С2!F21</f>
        <v>1</v>
      </c>
    </row>
    <row r="56" spans="1:3" ht="30" x14ac:dyDescent="0.2">
      <c r="A56" s="59" t="s">
        <v>69</v>
      </c>
      <c r="B56" s="33" t="s">
        <v>70</v>
      </c>
      <c r="C56" s="34">
        <f>[11]С2!F13</f>
        <v>203708.97017230222</v>
      </c>
    </row>
    <row r="57" spans="1:3" ht="30" x14ac:dyDescent="0.2">
      <c r="A57" s="59" t="s">
        <v>71</v>
      </c>
      <c r="B57" s="58" t="s">
        <v>72</v>
      </c>
      <c r="C57" s="34">
        <f>[11]С2!F14</f>
        <v>113455</v>
      </c>
    </row>
    <row r="58" spans="1:3" ht="15.75" x14ac:dyDescent="0.2">
      <c r="A58" s="59" t="s">
        <v>73</v>
      </c>
      <c r="B58" s="60" t="s">
        <v>74</v>
      </c>
      <c r="C58" s="40">
        <f>[11]С2!F15</f>
        <v>1.071</v>
      </c>
    </row>
    <row r="59" spans="1:3" ht="15.75" x14ac:dyDescent="0.2">
      <c r="A59" s="59" t="s">
        <v>75</v>
      </c>
      <c r="B59" s="60" t="s">
        <v>76</v>
      </c>
      <c r="C59" s="40">
        <f>[11]С2!F16</f>
        <v>1</v>
      </c>
    </row>
    <row r="60" spans="1:3" ht="17.25" x14ac:dyDescent="0.2">
      <c r="A60" s="59" t="s">
        <v>77</v>
      </c>
      <c r="B60" s="58" t="s">
        <v>78</v>
      </c>
      <c r="C60" s="34">
        <f>[11]С2!F17</f>
        <v>1.01</v>
      </c>
    </row>
    <row r="61" spans="1:3" s="63" customFormat="1" ht="14.25" x14ac:dyDescent="0.2">
      <c r="A61" s="59" t="s">
        <v>79</v>
      </c>
      <c r="B61" s="61" t="s">
        <v>80</v>
      </c>
      <c r="C61" s="62">
        <f>[11]С2!F33</f>
        <v>10</v>
      </c>
    </row>
    <row r="62" spans="1:3" ht="30" x14ac:dyDescent="0.2">
      <c r="A62" s="59" t="s">
        <v>81</v>
      </c>
      <c r="B62" s="64" t="s">
        <v>82</v>
      </c>
      <c r="C62" s="34">
        <f>[11]С2!F26</f>
        <v>1349.309862285194</v>
      </c>
    </row>
    <row r="63" spans="1:3" ht="17.25" x14ac:dyDescent="0.2">
      <c r="A63" s="59" t="s">
        <v>83</v>
      </c>
      <c r="B63" s="53" t="s">
        <v>84</v>
      </c>
      <c r="C63" s="34">
        <f>[11]С2!F27</f>
        <v>0.19354712999999998</v>
      </c>
    </row>
    <row r="64" spans="1:3" ht="17.25" x14ac:dyDescent="0.2">
      <c r="A64" s="59" t="s">
        <v>85</v>
      </c>
      <c r="B64" s="58" t="s">
        <v>86</v>
      </c>
      <c r="C64" s="62">
        <f>[11]С2!F28</f>
        <v>4200</v>
      </c>
    </row>
    <row r="65" spans="1:3" ht="42.75" x14ac:dyDescent="0.2">
      <c r="A65" s="59" t="s">
        <v>87</v>
      </c>
      <c r="B65" s="33" t="s">
        <v>88</v>
      </c>
      <c r="C65" s="34">
        <f>[11]С2!F22</f>
        <v>42890.921752741691</v>
      </c>
    </row>
    <row r="66" spans="1:3" ht="30" x14ac:dyDescent="0.2">
      <c r="A66" s="59" t="s">
        <v>89</v>
      </c>
      <c r="B66" s="60" t="s">
        <v>90</v>
      </c>
      <c r="C66" s="34">
        <f>[11]С2!F23</f>
        <v>1990</v>
      </c>
    </row>
    <row r="67" spans="1:3" ht="30" x14ac:dyDescent="0.2">
      <c r="A67" s="59" t="s">
        <v>91</v>
      </c>
      <c r="B67" s="53" t="s">
        <v>92</v>
      </c>
      <c r="C67" s="34">
        <f>[11]С2.1!E27</f>
        <v>14307.876789999998</v>
      </c>
    </row>
    <row r="68" spans="1:3" ht="38.25" x14ac:dyDescent="0.2">
      <c r="A68" s="59" t="s">
        <v>93</v>
      </c>
      <c r="B68" s="65" t="s">
        <v>94</v>
      </c>
      <c r="C68" s="52">
        <f>[11]С2.3!E21</f>
        <v>0</v>
      </c>
    </row>
    <row r="69" spans="1:3" ht="25.5" x14ac:dyDescent="0.2">
      <c r="A69" s="59" t="s">
        <v>95</v>
      </c>
      <c r="B69" s="66" t="s">
        <v>96</v>
      </c>
      <c r="C69" s="67">
        <f>[11]С2.3!E11</f>
        <v>9.89</v>
      </c>
    </row>
    <row r="70" spans="1:3" ht="25.5" x14ac:dyDescent="0.2">
      <c r="A70" s="59" t="s">
        <v>97</v>
      </c>
      <c r="B70" s="66" t="s">
        <v>98</v>
      </c>
      <c r="C70" s="62">
        <f>[11]С2.3!E13</f>
        <v>300</v>
      </c>
    </row>
    <row r="71" spans="1:3" ht="25.5" x14ac:dyDescent="0.2">
      <c r="A71" s="59" t="s">
        <v>99</v>
      </c>
      <c r="B71" s="65" t="s">
        <v>100</v>
      </c>
      <c r="C71" s="68">
        <f>IF([11]С2.3!E22&gt;0,[11]С2.3!E22,[11]С2.3!E14)</f>
        <v>61211</v>
      </c>
    </row>
    <row r="72" spans="1:3" ht="38.25" x14ac:dyDescent="0.2">
      <c r="A72" s="59" t="s">
        <v>101</v>
      </c>
      <c r="B72" s="65" t="s">
        <v>102</v>
      </c>
      <c r="C72" s="68">
        <f>IF([11]С2.3!E23&gt;0,[11]С2.3!E23,[11]С2.3!E15)</f>
        <v>45675</v>
      </c>
    </row>
    <row r="73" spans="1:3" ht="30" x14ac:dyDescent="0.2">
      <c r="A73" s="59" t="s">
        <v>103</v>
      </c>
      <c r="B73" s="53" t="s">
        <v>104</v>
      </c>
      <c r="C73" s="34">
        <f>[11]С2.1!E28</f>
        <v>9541.9567200000001</v>
      </c>
    </row>
    <row r="74" spans="1:3" ht="38.25" x14ac:dyDescent="0.2">
      <c r="A74" s="59" t="s">
        <v>105</v>
      </c>
      <c r="B74" s="65" t="s">
        <v>106</v>
      </c>
      <c r="C74" s="52">
        <f>[11]С2.3!E25</f>
        <v>0</v>
      </c>
    </row>
    <row r="75" spans="1:3" ht="25.5" x14ac:dyDescent="0.2">
      <c r="A75" s="59" t="s">
        <v>107</v>
      </c>
      <c r="B75" s="66" t="s">
        <v>108</v>
      </c>
      <c r="C75" s="67">
        <f>[11]С2.3!E12</f>
        <v>0.56000000000000005</v>
      </c>
    </row>
    <row r="76" spans="1:3" ht="25.5" x14ac:dyDescent="0.2">
      <c r="A76" s="59" t="s">
        <v>109</v>
      </c>
      <c r="B76" s="66" t="s">
        <v>98</v>
      </c>
      <c r="C76" s="62">
        <f>[11]С2.3!E13</f>
        <v>300</v>
      </c>
    </row>
    <row r="77" spans="1:3" ht="25.5" x14ac:dyDescent="0.2">
      <c r="A77" s="59" t="s">
        <v>110</v>
      </c>
      <c r="B77" s="69" t="s">
        <v>111</v>
      </c>
      <c r="C77" s="68">
        <f>IF([11]С2.3!E26&gt;0,[11]С2.3!E26,[11]С2.3!E16)</f>
        <v>65637</v>
      </c>
    </row>
    <row r="78" spans="1:3" ht="38.25" x14ac:dyDescent="0.2">
      <c r="A78" s="59" t="s">
        <v>112</v>
      </c>
      <c r="B78" s="69" t="s">
        <v>113</v>
      </c>
      <c r="C78" s="68">
        <f>IF([11]С2.3!E27&gt;0,[11]С2.3!E27,[11]С2.3!E17)</f>
        <v>31684</v>
      </c>
    </row>
    <row r="79" spans="1:3" ht="17.25" x14ac:dyDescent="0.2">
      <c r="A79" s="59" t="s">
        <v>114</v>
      </c>
      <c r="B79" s="33" t="s">
        <v>115</v>
      </c>
      <c r="C79" s="35">
        <f>[11]С2!F29</f>
        <v>0.17804631770487722</v>
      </c>
    </row>
    <row r="80" spans="1:3" ht="30" x14ac:dyDescent="0.2">
      <c r="A80" s="59" t="s">
        <v>116</v>
      </c>
      <c r="B80" s="53" t="s">
        <v>117</v>
      </c>
      <c r="C80" s="70">
        <f>[11]С2!F30</f>
        <v>0.1652189781021898</v>
      </c>
    </row>
    <row r="81" spans="1:3" ht="17.25" x14ac:dyDescent="0.2">
      <c r="A81" s="59" t="s">
        <v>118</v>
      </c>
      <c r="B81" s="71" t="s">
        <v>119</v>
      </c>
      <c r="C81" s="35">
        <f>[11]С2!F31</f>
        <v>0.13880000000000001</v>
      </c>
    </row>
    <row r="82" spans="1:3" s="63" customFormat="1" ht="18" thickBot="1" x14ac:dyDescent="0.25">
      <c r="A82" s="72" t="s">
        <v>120</v>
      </c>
      <c r="B82" s="73" t="s">
        <v>121</v>
      </c>
      <c r="C82" s="74">
        <f>[11]С2!F32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[11]С3!F14</f>
        <v>14784.578474435859</v>
      </c>
    </row>
    <row r="86" spans="1:3" s="63" customFormat="1" ht="42.75" x14ac:dyDescent="0.2">
      <c r="A86" s="77" t="s">
        <v>126</v>
      </c>
      <c r="B86" s="53" t="s">
        <v>127</v>
      </c>
      <c r="C86" s="78">
        <f>[11]С3!F15</f>
        <v>0.25</v>
      </c>
    </row>
    <row r="87" spans="1:3" s="63" customFormat="1" ht="14.25" x14ac:dyDescent="0.2">
      <c r="A87" s="77" t="s">
        <v>128</v>
      </c>
      <c r="B87" s="79" t="s">
        <v>129</v>
      </c>
      <c r="C87" s="62">
        <f>[11]С3!F18</f>
        <v>15</v>
      </c>
    </row>
    <row r="88" spans="1:3" s="63" customFormat="1" ht="17.25" x14ac:dyDescent="0.2">
      <c r="A88" s="77" t="s">
        <v>130</v>
      </c>
      <c r="B88" s="33" t="s">
        <v>131</v>
      </c>
      <c r="C88" s="34">
        <f>[11]С3!F19</f>
        <v>4187.478806422544</v>
      </c>
    </row>
    <row r="89" spans="1:3" s="63" customFormat="1" ht="55.5" x14ac:dyDescent="0.2">
      <c r="A89" s="77" t="s">
        <v>132</v>
      </c>
      <c r="B89" s="53" t="s">
        <v>133</v>
      </c>
      <c r="C89" s="80">
        <f>[11]С3!F20</f>
        <v>2.1999999999999999E-2</v>
      </c>
    </row>
    <row r="90" spans="1:3" s="63" customFormat="1" ht="14.25" x14ac:dyDescent="0.2">
      <c r="A90" s="77" t="s">
        <v>134</v>
      </c>
      <c r="B90" s="58" t="s">
        <v>80</v>
      </c>
      <c r="C90" s="62">
        <f>[11]С3!F21</f>
        <v>10</v>
      </c>
    </row>
    <row r="91" spans="1:3" s="63" customFormat="1" ht="17.25" x14ac:dyDescent="0.2">
      <c r="A91" s="77" t="s">
        <v>135</v>
      </c>
      <c r="B91" s="33" t="s">
        <v>136</v>
      </c>
      <c r="C91" s="34">
        <f>[11]С3!F22</f>
        <v>4.0479295868555818</v>
      </c>
    </row>
    <row r="92" spans="1:3" s="63" customFormat="1" ht="55.5" x14ac:dyDescent="0.2">
      <c r="A92" s="77" t="s">
        <v>137</v>
      </c>
      <c r="B92" s="53" t="s">
        <v>138</v>
      </c>
      <c r="C92" s="80">
        <f>[11]С3!F23</f>
        <v>3.0000000000000001E-3</v>
      </c>
    </row>
    <row r="93" spans="1:3" s="63" customFormat="1" ht="27.75" thickBot="1" x14ac:dyDescent="0.25">
      <c r="A93" s="81" t="s">
        <v>139</v>
      </c>
      <c r="B93" s="82" t="s">
        <v>140</v>
      </c>
      <c r="C93" s="83">
        <f>[11]С3!F24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[11]С4!F16</f>
        <v>1652.5</v>
      </c>
    </row>
    <row r="97" spans="1:3" ht="30" x14ac:dyDescent="0.2">
      <c r="A97" s="59" t="s">
        <v>145</v>
      </c>
      <c r="B97" s="58" t="s">
        <v>146</v>
      </c>
      <c r="C97" s="34">
        <f>[11]С4!F17</f>
        <v>73547</v>
      </c>
    </row>
    <row r="98" spans="1:3" ht="17.25" x14ac:dyDescent="0.2">
      <c r="A98" s="59" t="s">
        <v>147</v>
      </c>
      <c r="B98" s="58" t="s">
        <v>148</v>
      </c>
      <c r="C98" s="40">
        <f>[11]С4!F18</f>
        <v>0.02</v>
      </c>
    </row>
    <row r="99" spans="1:3" ht="30" x14ac:dyDescent="0.2">
      <c r="A99" s="59" t="s">
        <v>149</v>
      </c>
      <c r="B99" s="58" t="s">
        <v>150</v>
      </c>
      <c r="C99" s="34">
        <f>[11]С4!F19</f>
        <v>12104</v>
      </c>
    </row>
    <row r="100" spans="1:3" ht="31.5" x14ac:dyDescent="0.2">
      <c r="A100" s="59" t="s">
        <v>151</v>
      </c>
      <c r="B100" s="58" t="s">
        <v>152</v>
      </c>
      <c r="C100" s="40">
        <f>[11]С4!F20</f>
        <v>1.4999999999999999E-2</v>
      </c>
    </row>
    <row r="101" spans="1:3" ht="30" x14ac:dyDescent="0.2">
      <c r="A101" s="59" t="s">
        <v>153</v>
      </c>
      <c r="B101" s="33" t="s">
        <v>154</v>
      </c>
      <c r="C101" s="34">
        <f>[11]С4!F21</f>
        <v>1933.1949342509995</v>
      </c>
    </row>
    <row r="102" spans="1:3" ht="24" customHeight="1" x14ac:dyDescent="0.2">
      <c r="A102" s="59" t="s">
        <v>155</v>
      </c>
      <c r="B102" s="53" t="s">
        <v>156</v>
      </c>
      <c r="C102" s="85">
        <f>IF([11]С4.2!F8="да",[11]С4.2!D21,[11]С4.2!D15)</f>
        <v>0</v>
      </c>
    </row>
    <row r="103" spans="1:3" ht="68.25" x14ac:dyDescent="0.2">
      <c r="A103" s="59" t="s">
        <v>157</v>
      </c>
      <c r="B103" s="53" t="s">
        <v>158</v>
      </c>
      <c r="C103" s="34">
        <f>[11]С4!F22</f>
        <v>3.6112641666666665</v>
      </c>
    </row>
    <row r="104" spans="1:3" ht="30" x14ac:dyDescent="0.2">
      <c r="A104" s="59" t="s">
        <v>159</v>
      </c>
      <c r="B104" s="58" t="s">
        <v>160</v>
      </c>
      <c r="C104" s="34">
        <f>[11]С4!F23</f>
        <v>180</v>
      </c>
    </row>
    <row r="105" spans="1:3" ht="14.25" x14ac:dyDescent="0.2">
      <c r="A105" s="59" t="s">
        <v>161</v>
      </c>
      <c r="B105" s="53" t="s">
        <v>162</v>
      </c>
      <c r="C105" s="34">
        <f>[11]С4!F24</f>
        <v>8497.1999999999989</v>
      </c>
    </row>
    <row r="106" spans="1:3" ht="14.25" x14ac:dyDescent="0.2">
      <c r="A106" s="59" t="s">
        <v>163</v>
      </c>
      <c r="B106" s="58" t="s">
        <v>164</v>
      </c>
      <c r="C106" s="40">
        <f>[11]С4!F25</f>
        <v>0.35</v>
      </c>
    </row>
    <row r="107" spans="1:3" ht="17.25" x14ac:dyDescent="0.2">
      <c r="A107" s="59" t="s">
        <v>165</v>
      </c>
      <c r="B107" s="33" t="s">
        <v>166</v>
      </c>
      <c r="C107" s="34">
        <f>[11]С4!F26</f>
        <v>38.802630000000001</v>
      </c>
    </row>
    <row r="108" spans="1:3" ht="25.5" x14ac:dyDescent="0.2">
      <c r="A108" s="59" t="s">
        <v>167</v>
      </c>
      <c r="B108" s="53" t="s">
        <v>94</v>
      </c>
      <c r="C108" s="85">
        <f>[11]С4.3!E16</f>
        <v>0</v>
      </c>
    </row>
    <row r="109" spans="1:3" ht="25.5" x14ac:dyDescent="0.2">
      <c r="A109" s="59" t="s">
        <v>168</v>
      </c>
      <c r="B109" s="53" t="s">
        <v>169</v>
      </c>
      <c r="C109" s="34">
        <f>[11]С4.3!E17</f>
        <v>10.09</v>
      </c>
    </row>
    <row r="110" spans="1:3" ht="38.25" x14ac:dyDescent="0.2">
      <c r="A110" s="59" t="s">
        <v>170</v>
      </c>
      <c r="B110" s="53" t="s">
        <v>106</v>
      </c>
      <c r="C110" s="85">
        <f>[11]С4.3!E18</f>
        <v>0</v>
      </c>
    </row>
    <row r="111" spans="1:3" x14ac:dyDescent="0.2">
      <c r="A111" s="59" t="s">
        <v>171</v>
      </c>
      <c r="B111" s="53" t="s">
        <v>172</v>
      </c>
      <c r="C111" s="34">
        <f>[11]С4.3!E19</f>
        <v>16.75</v>
      </c>
    </row>
    <row r="112" spans="1:3" x14ac:dyDescent="0.2">
      <c r="A112" s="59" t="s">
        <v>173</v>
      </c>
      <c r="B112" s="58" t="s">
        <v>174</v>
      </c>
      <c r="C112" s="34">
        <f>[11]С4.3!E11</f>
        <v>1871</v>
      </c>
    </row>
    <row r="113" spans="1:3" x14ac:dyDescent="0.2">
      <c r="A113" s="59" t="s">
        <v>175</v>
      </c>
      <c r="B113" s="58" t="s">
        <v>176</v>
      </c>
      <c r="C113" s="52">
        <f>[11]С4.3!E12</f>
        <v>1636</v>
      </c>
    </row>
    <row r="114" spans="1:3" x14ac:dyDescent="0.2">
      <c r="A114" s="59" t="s">
        <v>177</v>
      </c>
      <c r="B114" s="58" t="s">
        <v>178</v>
      </c>
      <c r="C114" s="52">
        <f>[11]С4.3!E13</f>
        <v>204</v>
      </c>
    </row>
    <row r="115" spans="1:3" ht="30" x14ac:dyDescent="0.2">
      <c r="A115" s="59" t="s">
        <v>179</v>
      </c>
      <c r="B115" s="33" t="s">
        <v>180</v>
      </c>
      <c r="C115" s="34">
        <f>[11]С4!F27</f>
        <v>1291.2863994686898</v>
      </c>
    </row>
    <row r="116" spans="1:3" ht="25.5" x14ac:dyDescent="0.2">
      <c r="A116" s="59" t="s">
        <v>181</v>
      </c>
      <c r="B116" s="53" t="s">
        <v>182</v>
      </c>
      <c r="C116" s="34">
        <f>[11]С4!F28</f>
        <v>991.77142816335618</v>
      </c>
    </row>
    <row r="117" spans="1:3" ht="42.75" x14ac:dyDescent="0.2">
      <c r="A117" s="59" t="s">
        <v>183</v>
      </c>
      <c r="B117" s="53" t="s">
        <v>184</v>
      </c>
      <c r="C117" s="34">
        <f>[11]С4!F29</f>
        <v>299.51497130533357</v>
      </c>
    </row>
    <row r="118" spans="1:3" ht="30" x14ac:dyDescent="0.2">
      <c r="A118" s="59" t="s">
        <v>185</v>
      </c>
      <c r="B118" s="39" t="s">
        <v>186</v>
      </c>
      <c r="C118" s="34">
        <f>[11]С4!F30</f>
        <v>2560.9041680914443</v>
      </c>
    </row>
    <row r="119" spans="1:3" ht="42.75" x14ac:dyDescent="0.2">
      <c r="A119" s="59" t="s">
        <v>187</v>
      </c>
      <c r="B119" s="86" t="s">
        <v>188</v>
      </c>
      <c r="C119" s="34">
        <f>[11]С4!F33</f>
        <v>1364.5624971003986</v>
      </c>
    </row>
    <row r="120" spans="1:3" ht="30" x14ac:dyDescent="0.2">
      <c r="A120" s="59" t="s">
        <v>189</v>
      </c>
      <c r="B120" s="87" t="s">
        <v>190</v>
      </c>
      <c r="C120" s="34">
        <f>[11]С4!F35</f>
        <v>17.040680999999999</v>
      </c>
    </row>
    <row r="121" spans="1:3" ht="14.25" x14ac:dyDescent="0.2">
      <c r="A121" s="59" t="s">
        <v>191</v>
      </c>
      <c r="B121" s="56" t="s">
        <v>192</v>
      </c>
      <c r="C121" s="34">
        <f>[11]С4!F36</f>
        <v>14319.9</v>
      </c>
    </row>
    <row r="122" spans="1:3" ht="28.5" thickBot="1" x14ac:dyDescent="0.25">
      <c r="A122" s="72" t="s">
        <v>193</v>
      </c>
      <c r="B122" s="88" t="s">
        <v>194</v>
      </c>
      <c r="C122" s="83">
        <f>[11]С4!F37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[11]С5!F17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[11]С2!F37</f>
        <v>20.818139999999996</v>
      </c>
    </row>
    <row r="136" spans="1:3" ht="14.25" x14ac:dyDescent="0.2">
      <c r="A136" s="59" t="s">
        <v>216</v>
      </c>
      <c r="B136" s="101" t="s">
        <v>217</v>
      </c>
      <c r="C136" s="34">
        <f>[11]С2!F38</f>
        <v>7</v>
      </c>
    </row>
    <row r="137" spans="1:3" ht="17.25" x14ac:dyDescent="0.2">
      <c r="A137" s="59" t="s">
        <v>218</v>
      </c>
      <c r="B137" s="101" t="s">
        <v>219</v>
      </c>
      <c r="C137" s="34">
        <f>[11]С2!F40</f>
        <v>0.97</v>
      </c>
    </row>
    <row r="138" spans="1:3" ht="15" thickBot="1" x14ac:dyDescent="0.25">
      <c r="A138" s="72" t="s">
        <v>220</v>
      </c>
      <c r="B138" s="102" t="s">
        <v>221</v>
      </c>
      <c r="C138" s="46">
        <f>[11]С2!F42</f>
        <v>0.35</v>
      </c>
    </row>
    <row r="139" spans="1:3" s="89" customFormat="1" ht="13.5" thickBot="1" x14ac:dyDescent="0.25">
      <c r="A139" s="47"/>
      <c r="B139" s="75"/>
      <c r="C139" s="15"/>
    </row>
    <row r="140" spans="1:3" ht="30" x14ac:dyDescent="0.2">
      <c r="A140" s="84" t="s">
        <v>222</v>
      </c>
      <c r="B140" s="103" t="s">
        <v>223</v>
      </c>
      <c r="C140" s="104">
        <f>[11]С2!F35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[11]С2.5!$E$11</f>
        <v>-2.9000000000000026E-2</v>
      </c>
    </row>
    <row r="144" spans="1:3" x14ac:dyDescent="0.2">
      <c r="A144" s="105"/>
      <c r="B144" s="110">
        <f>B143+1</f>
        <v>2021</v>
      </c>
      <c r="C144" s="111">
        <f>[11]С2.5!$F$11</f>
        <v>0.245</v>
      </c>
    </row>
    <row r="145" spans="1:3" x14ac:dyDescent="0.2">
      <c r="A145" s="105"/>
      <c r="B145" s="110">
        <f t="shared" ref="B145:B208" si="0">B144+1</f>
        <v>2022</v>
      </c>
      <c r="C145" s="111">
        <f>[11]С2.5!$G$11</f>
        <v>0.114</v>
      </c>
    </row>
    <row r="146" spans="1:3" ht="13.5" thickBot="1" x14ac:dyDescent="0.25">
      <c r="A146" s="105"/>
      <c r="B146" s="112">
        <f t="shared" si="0"/>
        <v>2023</v>
      </c>
      <c r="C146" s="113">
        <f>[11]С2.5!$H$11</f>
        <v>0.04</v>
      </c>
    </row>
    <row r="147" spans="1:3" x14ac:dyDescent="0.2">
      <c r="A147" s="105"/>
      <c r="B147" s="114">
        <f t="shared" si="0"/>
        <v>2024</v>
      </c>
      <c r="C147" s="115">
        <f>[11]С2.5!$I$11</f>
        <v>0.11700000000000001</v>
      </c>
    </row>
    <row r="148" spans="1:3" x14ac:dyDescent="0.2">
      <c r="A148" s="105"/>
      <c r="B148" s="110">
        <f t="shared" si="0"/>
        <v>2025</v>
      </c>
      <c r="C148" s="111">
        <f>[11]С2.5!$J$11</f>
        <v>6.0999999999999999E-2</v>
      </c>
    </row>
    <row r="149" spans="1:3" hidden="1" x14ac:dyDescent="0.2">
      <c r="A149" s="105"/>
      <c r="B149" s="110">
        <f t="shared" si="0"/>
        <v>2026</v>
      </c>
      <c r="C149" s="111">
        <f>[11]С2.5!$K$11</f>
        <v>3.5813361771260002E-2</v>
      </c>
    </row>
    <row r="150" spans="1:3" hidden="1" x14ac:dyDescent="0.2">
      <c r="A150" s="105"/>
      <c r="B150" s="110">
        <f t="shared" si="0"/>
        <v>2027</v>
      </c>
      <c r="C150" s="111">
        <f>[11]С2.5!$L$11</f>
        <v>3.2682303599220003E-2</v>
      </c>
    </row>
    <row r="151" spans="1:3" hidden="1" x14ac:dyDescent="0.2">
      <c r="A151" s="105"/>
      <c r="B151" s="110">
        <f t="shared" si="0"/>
        <v>2028</v>
      </c>
      <c r="C151" s="111">
        <f>[11]С2.5!$M$11</f>
        <v>0</v>
      </c>
    </row>
    <row r="152" spans="1:3" hidden="1" x14ac:dyDescent="0.2">
      <c r="A152" s="105"/>
      <c r="B152" s="110">
        <f t="shared" si="0"/>
        <v>2029</v>
      </c>
      <c r="C152" s="111">
        <f>[11]С2.5!$N$11</f>
        <v>0</v>
      </c>
    </row>
    <row r="153" spans="1:3" hidden="1" x14ac:dyDescent="0.2">
      <c r="A153" s="105"/>
      <c r="B153" s="110">
        <f t="shared" si="0"/>
        <v>2030</v>
      </c>
      <c r="C153" s="111">
        <f>[11]С2.5!$O$11</f>
        <v>0</v>
      </c>
    </row>
    <row r="154" spans="1:3" hidden="1" x14ac:dyDescent="0.2">
      <c r="A154" s="105"/>
      <c r="B154" s="110">
        <f t="shared" si="0"/>
        <v>2031</v>
      </c>
      <c r="C154" s="111">
        <f>[11]С2.5!$P$11</f>
        <v>0</v>
      </c>
    </row>
    <row r="155" spans="1:3" hidden="1" x14ac:dyDescent="0.2">
      <c r="A155" s="89"/>
      <c r="B155" s="110">
        <f t="shared" si="0"/>
        <v>2032</v>
      </c>
      <c r="C155" s="111">
        <f>[11]С2.5!$Q$11</f>
        <v>0</v>
      </c>
    </row>
    <row r="156" spans="1:3" hidden="1" x14ac:dyDescent="0.2">
      <c r="A156" s="89"/>
      <c r="B156" s="110">
        <f t="shared" si="0"/>
        <v>2033</v>
      </c>
      <c r="C156" s="111">
        <f>[11]С2.5!$R$11</f>
        <v>0</v>
      </c>
    </row>
    <row r="157" spans="1:3" hidden="1" x14ac:dyDescent="0.2">
      <c r="B157" s="110">
        <f t="shared" si="0"/>
        <v>2034</v>
      </c>
      <c r="C157" s="111">
        <f>[11]С2.5!$S$11</f>
        <v>0</v>
      </c>
    </row>
    <row r="158" spans="1:3" hidden="1" x14ac:dyDescent="0.2">
      <c r="B158" s="110">
        <f t="shared" si="0"/>
        <v>2035</v>
      </c>
      <c r="C158" s="111">
        <f>[11]С2.5!$T$11</f>
        <v>0</v>
      </c>
    </row>
    <row r="159" spans="1:3" hidden="1" x14ac:dyDescent="0.2">
      <c r="B159" s="110">
        <f t="shared" si="0"/>
        <v>2036</v>
      </c>
      <c r="C159" s="111">
        <f>[11]С2.5!$U$11</f>
        <v>0</v>
      </c>
    </row>
    <row r="160" spans="1:3" hidden="1" x14ac:dyDescent="0.2">
      <c r="B160" s="110">
        <f t="shared" si="0"/>
        <v>2037</v>
      </c>
      <c r="C160" s="111">
        <f>[11]С2.5!$V$11</f>
        <v>0</v>
      </c>
    </row>
    <row r="161" spans="2:3" hidden="1" x14ac:dyDescent="0.2">
      <c r="B161" s="110">
        <f t="shared" si="0"/>
        <v>2038</v>
      </c>
      <c r="C161" s="111">
        <f>[11]С2.5!$W$11</f>
        <v>0</v>
      </c>
    </row>
    <row r="162" spans="2:3" hidden="1" x14ac:dyDescent="0.2">
      <c r="B162" s="110">
        <f t="shared" si="0"/>
        <v>2039</v>
      </c>
      <c r="C162" s="111">
        <f>[11]С2.5!$X$11</f>
        <v>0</v>
      </c>
    </row>
    <row r="163" spans="2:3" hidden="1" x14ac:dyDescent="0.2">
      <c r="B163" s="110">
        <f t="shared" si="0"/>
        <v>2040</v>
      </c>
      <c r="C163" s="111">
        <f>[11]С2.5!$Y$11</f>
        <v>0</v>
      </c>
    </row>
    <row r="164" spans="2:3" hidden="1" x14ac:dyDescent="0.2">
      <c r="B164" s="110">
        <f t="shared" si="0"/>
        <v>2041</v>
      </c>
      <c r="C164" s="111">
        <f>[11]С2.5!$Z$11</f>
        <v>0</v>
      </c>
    </row>
    <row r="165" spans="2:3" hidden="1" x14ac:dyDescent="0.2">
      <c r="B165" s="110">
        <f t="shared" si="0"/>
        <v>2042</v>
      </c>
      <c r="C165" s="111">
        <f>[11]С2.5!$AA$11</f>
        <v>0</v>
      </c>
    </row>
    <row r="166" spans="2:3" hidden="1" x14ac:dyDescent="0.2">
      <c r="B166" s="110">
        <f t="shared" si="0"/>
        <v>2043</v>
      </c>
      <c r="C166" s="111">
        <f>[11]С2.5!$AB$11</f>
        <v>0</v>
      </c>
    </row>
    <row r="167" spans="2:3" hidden="1" x14ac:dyDescent="0.2">
      <c r="B167" s="110">
        <f t="shared" si="0"/>
        <v>2044</v>
      </c>
      <c r="C167" s="111">
        <f>[11]С2.5!$AC$11</f>
        <v>0</v>
      </c>
    </row>
    <row r="168" spans="2:3" hidden="1" x14ac:dyDescent="0.2">
      <c r="B168" s="110">
        <f t="shared" si="0"/>
        <v>2045</v>
      </c>
      <c r="C168" s="111">
        <f>[11]С2.5!$AD$11</f>
        <v>0</v>
      </c>
    </row>
    <row r="169" spans="2:3" hidden="1" x14ac:dyDescent="0.2">
      <c r="B169" s="110">
        <f t="shared" si="0"/>
        <v>2046</v>
      </c>
      <c r="C169" s="111">
        <f>[11]С2.5!$AE$11</f>
        <v>0</v>
      </c>
    </row>
    <row r="170" spans="2:3" hidden="1" x14ac:dyDescent="0.2">
      <c r="B170" s="110">
        <f t="shared" si="0"/>
        <v>2047</v>
      </c>
      <c r="C170" s="111">
        <f>[11]С2.5!$AF$11</f>
        <v>0</v>
      </c>
    </row>
    <row r="171" spans="2:3" hidden="1" x14ac:dyDescent="0.2">
      <c r="B171" s="110">
        <f t="shared" si="0"/>
        <v>2048</v>
      </c>
      <c r="C171" s="111">
        <f>[11]С2.5!$AG$11</f>
        <v>0</v>
      </c>
    </row>
    <row r="172" spans="2:3" hidden="1" x14ac:dyDescent="0.2">
      <c r="B172" s="110">
        <f t="shared" si="0"/>
        <v>2049</v>
      </c>
      <c r="C172" s="111">
        <f>[11]С2.5!$AH$11</f>
        <v>0</v>
      </c>
    </row>
    <row r="173" spans="2:3" hidden="1" x14ac:dyDescent="0.2">
      <c r="B173" s="110">
        <f t="shared" si="0"/>
        <v>2050</v>
      </c>
      <c r="C173" s="111">
        <f>[11]С2.5!$AI$11</f>
        <v>0</v>
      </c>
    </row>
    <row r="174" spans="2:3" hidden="1" x14ac:dyDescent="0.2">
      <c r="B174" s="110">
        <f t="shared" si="0"/>
        <v>2051</v>
      </c>
      <c r="C174" s="111">
        <f>[11]С2.5!$AJ$11</f>
        <v>0</v>
      </c>
    </row>
    <row r="175" spans="2:3" hidden="1" x14ac:dyDescent="0.2">
      <c r="B175" s="110">
        <f t="shared" si="0"/>
        <v>2052</v>
      </c>
      <c r="C175" s="111">
        <f>[11]С2.5!$AK$11</f>
        <v>0</v>
      </c>
    </row>
    <row r="176" spans="2:3" hidden="1" x14ac:dyDescent="0.2">
      <c r="B176" s="110">
        <f t="shared" si="0"/>
        <v>2053</v>
      </c>
      <c r="C176" s="111">
        <f>[11]С2.5!$AL$11</f>
        <v>0</v>
      </c>
    </row>
    <row r="177" spans="2:3" hidden="1" x14ac:dyDescent="0.2">
      <c r="B177" s="110">
        <f t="shared" si="0"/>
        <v>2054</v>
      </c>
      <c r="C177" s="111">
        <f>[11]С2.5!$AM$11</f>
        <v>0</v>
      </c>
    </row>
    <row r="178" spans="2:3" hidden="1" x14ac:dyDescent="0.2">
      <c r="B178" s="110">
        <f t="shared" si="0"/>
        <v>2055</v>
      </c>
      <c r="C178" s="111">
        <f>[11]С2.5!$AN$11</f>
        <v>0</v>
      </c>
    </row>
    <row r="179" spans="2:3" hidden="1" x14ac:dyDescent="0.2">
      <c r="B179" s="110">
        <f t="shared" si="0"/>
        <v>2056</v>
      </c>
      <c r="C179" s="111">
        <f>[11]С2.5!$AO$11</f>
        <v>0</v>
      </c>
    </row>
    <row r="180" spans="2:3" hidden="1" x14ac:dyDescent="0.2">
      <c r="B180" s="110">
        <f t="shared" si="0"/>
        <v>2057</v>
      </c>
      <c r="C180" s="111">
        <f>[11]С2.5!$AP$11</f>
        <v>0</v>
      </c>
    </row>
    <row r="181" spans="2:3" hidden="1" x14ac:dyDescent="0.2">
      <c r="B181" s="110">
        <f t="shared" si="0"/>
        <v>2058</v>
      </c>
      <c r="C181" s="111">
        <f>[11]С2.5!$AQ$11</f>
        <v>0</v>
      </c>
    </row>
    <row r="182" spans="2:3" hidden="1" x14ac:dyDescent="0.2">
      <c r="B182" s="110">
        <f t="shared" si="0"/>
        <v>2059</v>
      </c>
      <c r="C182" s="111">
        <f>[11]С2.5!$AR$11</f>
        <v>0</v>
      </c>
    </row>
    <row r="183" spans="2:3" hidden="1" x14ac:dyDescent="0.2">
      <c r="B183" s="110">
        <f t="shared" si="0"/>
        <v>2060</v>
      </c>
      <c r="C183" s="111">
        <f>[11]С2.5!$AS$11</f>
        <v>0</v>
      </c>
    </row>
    <row r="184" spans="2:3" hidden="1" x14ac:dyDescent="0.2">
      <c r="B184" s="110">
        <f t="shared" si="0"/>
        <v>2061</v>
      </c>
      <c r="C184" s="111">
        <f>[11]С2.5!$AT$11</f>
        <v>0</v>
      </c>
    </row>
    <row r="185" spans="2:3" hidden="1" x14ac:dyDescent="0.2">
      <c r="B185" s="110">
        <f t="shared" si="0"/>
        <v>2062</v>
      </c>
      <c r="C185" s="111">
        <f>[11]С2.5!$AU$11</f>
        <v>0</v>
      </c>
    </row>
    <row r="186" spans="2:3" hidden="1" x14ac:dyDescent="0.2">
      <c r="B186" s="110">
        <f t="shared" si="0"/>
        <v>2063</v>
      </c>
      <c r="C186" s="111">
        <f>[11]С2.5!$AV$11</f>
        <v>0</v>
      </c>
    </row>
    <row r="187" spans="2:3" hidden="1" x14ac:dyDescent="0.2">
      <c r="B187" s="110">
        <f t="shared" si="0"/>
        <v>2064</v>
      </c>
      <c r="C187" s="111">
        <f>[11]С2.5!$AW$11</f>
        <v>0</v>
      </c>
    </row>
    <row r="188" spans="2:3" hidden="1" x14ac:dyDescent="0.2">
      <c r="B188" s="110">
        <f t="shared" si="0"/>
        <v>2065</v>
      </c>
      <c r="C188" s="111">
        <f>[11]С2.5!$AX$11</f>
        <v>0</v>
      </c>
    </row>
    <row r="189" spans="2:3" hidden="1" x14ac:dyDescent="0.2">
      <c r="B189" s="110">
        <f t="shared" si="0"/>
        <v>2066</v>
      </c>
      <c r="C189" s="111">
        <f>[11]С2.5!$AY$11</f>
        <v>0</v>
      </c>
    </row>
    <row r="190" spans="2:3" hidden="1" x14ac:dyDescent="0.2">
      <c r="B190" s="110">
        <f t="shared" si="0"/>
        <v>2067</v>
      </c>
      <c r="C190" s="111">
        <f>[11]С2.5!$AZ$11</f>
        <v>0</v>
      </c>
    </row>
    <row r="191" spans="2:3" hidden="1" x14ac:dyDescent="0.2">
      <c r="B191" s="110">
        <f t="shared" si="0"/>
        <v>2068</v>
      </c>
      <c r="C191" s="111">
        <f>[11]С2.5!$BA$11</f>
        <v>0</v>
      </c>
    </row>
    <row r="192" spans="2:3" hidden="1" x14ac:dyDescent="0.2">
      <c r="B192" s="110">
        <f t="shared" si="0"/>
        <v>2069</v>
      </c>
      <c r="C192" s="111">
        <f>[11]С2.5!$BB$11</f>
        <v>0</v>
      </c>
    </row>
    <row r="193" spans="2:3" hidden="1" x14ac:dyDescent="0.2">
      <c r="B193" s="110">
        <f t="shared" si="0"/>
        <v>2070</v>
      </c>
      <c r="C193" s="111">
        <f>[11]С2.5!$BC$11</f>
        <v>0</v>
      </c>
    </row>
    <row r="194" spans="2:3" hidden="1" x14ac:dyDescent="0.2">
      <c r="B194" s="110">
        <f t="shared" si="0"/>
        <v>2071</v>
      </c>
      <c r="C194" s="111">
        <f>[11]С2.5!$BD$11</f>
        <v>0</v>
      </c>
    </row>
    <row r="195" spans="2:3" hidden="1" x14ac:dyDescent="0.2">
      <c r="B195" s="110">
        <f t="shared" si="0"/>
        <v>2072</v>
      </c>
      <c r="C195" s="111">
        <f>[11]С2.5!$BE$11</f>
        <v>0</v>
      </c>
    </row>
    <row r="196" spans="2:3" hidden="1" x14ac:dyDescent="0.2">
      <c r="B196" s="110">
        <f t="shared" si="0"/>
        <v>2073</v>
      </c>
      <c r="C196" s="111">
        <f>[11]С2.5!$BF$11</f>
        <v>0</v>
      </c>
    </row>
    <row r="197" spans="2:3" hidden="1" x14ac:dyDescent="0.2">
      <c r="B197" s="110">
        <f t="shared" si="0"/>
        <v>2074</v>
      </c>
      <c r="C197" s="111">
        <f>[11]С2.5!$BG$11</f>
        <v>0</v>
      </c>
    </row>
    <row r="198" spans="2:3" hidden="1" x14ac:dyDescent="0.2">
      <c r="B198" s="110">
        <f t="shared" si="0"/>
        <v>2075</v>
      </c>
      <c r="C198" s="111">
        <f>[11]С2.5!$BH$11</f>
        <v>0</v>
      </c>
    </row>
    <row r="199" spans="2:3" hidden="1" x14ac:dyDescent="0.2">
      <c r="B199" s="110">
        <f t="shared" si="0"/>
        <v>2076</v>
      </c>
      <c r="C199" s="111">
        <f>[11]С2.5!$BI$11</f>
        <v>0</v>
      </c>
    </row>
    <row r="200" spans="2:3" hidden="1" x14ac:dyDescent="0.2">
      <c r="B200" s="110">
        <f t="shared" si="0"/>
        <v>2077</v>
      </c>
      <c r="C200" s="111">
        <f>[11]С2.5!$BJ$11</f>
        <v>0</v>
      </c>
    </row>
    <row r="201" spans="2:3" hidden="1" x14ac:dyDescent="0.2">
      <c r="B201" s="110">
        <f t="shared" si="0"/>
        <v>2078</v>
      </c>
      <c r="C201" s="111">
        <f>[11]С2.5!$BK$11</f>
        <v>0</v>
      </c>
    </row>
    <row r="202" spans="2:3" hidden="1" x14ac:dyDescent="0.2">
      <c r="B202" s="110">
        <f t="shared" si="0"/>
        <v>2079</v>
      </c>
      <c r="C202" s="111">
        <f>[11]С2.5!$BL$11</f>
        <v>0</v>
      </c>
    </row>
    <row r="203" spans="2:3" hidden="1" x14ac:dyDescent="0.2">
      <c r="B203" s="110">
        <f t="shared" si="0"/>
        <v>2080</v>
      </c>
      <c r="C203" s="111">
        <f>[11]С2.5!$BM$11</f>
        <v>0</v>
      </c>
    </row>
    <row r="204" spans="2:3" hidden="1" x14ac:dyDescent="0.2">
      <c r="B204" s="110">
        <f t="shared" si="0"/>
        <v>2081</v>
      </c>
      <c r="C204" s="111">
        <f>[11]С2.5!$BN$11</f>
        <v>0</v>
      </c>
    </row>
    <row r="205" spans="2:3" hidden="1" x14ac:dyDescent="0.2">
      <c r="B205" s="110">
        <f t="shared" si="0"/>
        <v>2082</v>
      </c>
      <c r="C205" s="111">
        <f>[11]С2.5!$BO$11</f>
        <v>0</v>
      </c>
    </row>
    <row r="206" spans="2:3" hidden="1" x14ac:dyDescent="0.2">
      <c r="B206" s="110">
        <f t="shared" si="0"/>
        <v>2083</v>
      </c>
      <c r="C206" s="111">
        <f>[11]С2.5!$BP$11</f>
        <v>0</v>
      </c>
    </row>
    <row r="207" spans="2:3" hidden="1" x14ac:dyDescent="0.2">
      <c r="B207" s="110">
        <f t="shared" si="0"/>
        <v>2084</v>
      </c>
      <c r="C207" s="111">
        <f>[11]С2.5!$BQ$11</f>
        <v>0</v>
      </c>
    </row>
    <row r="208" spans="2:3" hidden="1" x14ac:dyDescent="0.2">
      <c r="B208" s="110">
        <f t="shared" si="0"/>
        <v>2085</v>
      </c>
      <c r="C208" s="111">
        <f>[11]С2.5!$BR$11</f>
        <v>0</v>
      </c>
    </row>
    <row r="209" spans="2:3" hidden="1" x14ac:dyDescent="0.2">
      <c r="B209" s="110">
        <f t="shared" ref="B209:B223" si="1">B208+1</f>
        <v>2086</v>
      </c>
      <c r="C209" s="111">
        <f>[11]С2.5!$BS$11</f>
        <v>0</v>
      </c>
    </row>
    <row r="210" spans="2:3" hidden="1" x14ac:dyDescent="0.2">
      <c r="B210" s="110">
        <f t="shared" si="1"/>
        <v>2087</v>
      </c>
      <c r="C210" s="111">
        <f>[11]С2.5!$BT$11</f>
        <v>0</v>
      </c>
    </row>
    <row r="211" spans="2:3" hidden="1" x14ac:dyDescent="0.2">
      <c r="B211" s="110">
        <f t="shared" si="1"/>
        <v>2088</v>
      </c>
      <c r="C211" s="111">
        <f>[11]С2.5!$BU$11</f>
        <v>0</v>
      </c>
    </row>
    <row r="212" spans="2:3" hidden="1" x14ac:dyDescent="0.2">
      <c r="B212" s="110">
        <f t="shared" si="1"/>
        <v>2089</v>
      </c>
      <c r="C212" s="111">
        <f>[11]С2.5!$BV$11</f>
        <v>0</v>
      </c>
    </row>
    <row r="213" spans="2:3" hidden="1" x14ac:dyDescent="0.2">
      <c r="B213" s="110">
        <f t="shared" si="1"/>
        <v>2090</v>
      </c>
      <c r="C213" s="111">
        <f>[11]С2.5!$BW$11</f>
        <v>0</v>
      </c>
    </row>
    <row r="214" spans="2:3" hidden="1" x14ac:dyDescent="0.2">
      <c r="B214" s="110">
        <f t="shared" si="1"/>
        <v>2091</v>
      </c>
      <c r="C214" s="111">
        <f>[11]С2.5!$BX$11</f>
        <v>0</v>
      </c>
    </row>
    <row r="215" spans="2:3" hidden="1" x14ac:dyDescent="0.2">
      <c r="B215" s="110">
        <f t="shared" si="1"/>
        <v>2092</v>
      </c>
      <c r="C215" s="111">
        <f>[11]С2.5!$BY$11</f>
        <v>0</v>
      </c>
    </row>
    <row r="216" spans="2:3" hidden="1" x14ac:dyDescent="0.2">
      <c r="B216" s="110">
        <f t="shared" si="1"/>
        <v>2093</v>
      </c>
      <c r="C216" s="111">
        <f>[11]С2.5!$BZ$11</f>
        <v>0</v>
      </c>
    </row>
    <row r="217" spans="2:3" hidden="1" x14ac:dyDescent="0.2">
      <c r="B217" s="110">
        <f t="shared" si="1"/>
        <v>2094</v>
      </c>
      <c r="C217" s="111">
        <f>[11]С2.5!$CA$11</f>
        <v>0</v>
      </c>
    </row>
    <row r="218" spans="2:3" hidden="1" x14ac:dyDescent="0.2">
      <c r="B218" s="110">
        <f t="shared" si="1"/>
        <v>2095</v>
      </c>
      <c r="C218" s="111">
        <f>[11]С2.5!$CB$11</f>
        <v>0</v>
      </c>
    </row>
    <row r="219" spans="2:3" hidden="1" x14ac:dyDescent="0.2">
      <c r="B219" s="110">
        <f t="shared" si="1"/>
        <v>2096</v>
      </c>
      <c r="C219" s="111">
        <f>[11]С2.5!$CC$11</f>
        <v>0</v>
      </c>
    </row>
    <row r="220" spans="2:3" hidden="1" x14ac:dyDescent="0.2">
      <c r="B220" s="110">
        <f t="shared" si="1"/>
        <v>2097</v>
      </c>
      <c r="C220" s="111">
        <f>[11]С2.5!$CD$11</f>
        <v>0</v>
      </c>
    </row>
    <row r="221" spans="2:3" hidden="1" x14ac:dyDescent="0.2">
      <c r="B221" s="110">
        <f t="shared" si="1"/>
        <v>2098</v>
      </c>
      <c r="C221" s="111">
        <f>[11]С2.5!$CE$11</f>
        <v>0</v>
      </c>
    </row>
    <row r="222" spans="2:3" hidden="1" x14ac:dyDescent="0.2">
      <c r="B222" s="110">
        <f t="shared" si="1"/>
        <v>2099</v>
      </c>
      <c r="C222" s="111">
        <f>[11]С2.5!$CF$11</f>
        <v>0</v>
      </c>
    </row>
    <row r="223" spans="2:3" ht="13.5" hidden="1" thickBot="1" x14ac:dyDescent="0.25">
      <c r="B223" s="112">
        <f t="shared" si="1"/>
        <v>2100</v>
      </c>
      <c r="C223" s="113">
        <f>[11]С2.5!$CG$11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[12]И1!D13</f>
        <v>Субъект Российской Федерации</v>
      </c>
      <c r="C4" s="10" t="str">
        <f>[12]И1!E13</f>
        <v>Новосибирская область</v>
      </c>
    </row>
    <row r="5" spans="1:3" ht="46.9" customHeight="1" x14ac:dyDescent="0.2">
      <c r="A5" s="8"/>
      <c r="B5" s="9" t="str">
        <f>[12]И1!D14</f>
        <v>Тип муниципального образования (выберите из списка)</v>
      </c>
      <c r="C5" s="10" t="str">
        <f>[12]И1!E14</f>
        <v>село Мохнатый Лог, Краснозерский муниципальный район</v>
      </c>
    </row>
    <row r="6" spans="1:3" x14ac:dyDescent="0.2">
      <c r="A6" s="8"/>
      <c r="B6" s="9" t="str">
        <f>IF([12]И1!E15="","",[12]И1!D15)</f>
        <v/>
      </c>
      <c r="C6" s="10" t="str">
        <f>IF([12]И1!E15="","",[12]И1!E15)</f>
        <v/>
      </c>
    </row>
    <row r="7" spans="1:3" x14ac:dyDescent="0.2">
      <c r="A7" s="8"/>
      <c r="B7" s="9" t="str">
        <f>[12]И1!D16</f>
        <v>Код ОКТМО</v>
      </c>
      <c r="C7" s="11" t="str">
        <f>[12]И1!E16</f>
        <v xml:space="preserve"> (50627425101)</v>
      </c>
    </row>
    <row r="8" spans="1:3" x14ac:dyDescent="0.2">
      <c r="A8" s="8"/>
      <c r="B8" s="12" t="str">
        <f>[12]И1!D17</f>
        <v>Система теплоснабжения</v>
      </c>
      <c r="C8" s="13">
        <f>[12]И1!E17</f>
        <v>0</v>
      </c>
    </row>
    <row r="9" spans="1:3" x14ac:dyDescent="0.2">
      <c r="A9" s="8"/>
      <c r="B9" s="9" t="str">
        <f>[12]И1!D8</f>
        <v>Период регулирования (i)-й</v>
      </c>
      <c r="C9" s="14">
        <f>[12]И1!E8</f>
        <v>2025</v>
      </c>
    </row>
    <row r="10" spans="1:3" x14ac:dyDescent="0.2">
      <c r="A10" s="8"/>
      <c r="B10" s="9" t="str">
        <f>[12]И1!D9</f>
        <v>Период регулирования (i-1)-й</v>
      </c>
      <c r="C10" s="14">
        <f>[12]И1!E9</f>
        <v>2024</v>
      </c>
    </row>
    <row r="11" spans="1:3" x14ac:dyDescent="0.2">
      <c r="A11" s="8"/>
      <c r="B11" s="9" t="str">
        <f>[12]И1!D10</f>
        <v>Период регулирования (i-2)-й</v>
      </c>
      <c r="C11" s="14">
        <f>[12]И1!E10</f>
        <v>2023</v>
      </c>
    </row>
    <row r="12" spans="1:3" x14ac:dyDescent="0.2">
      <c r="A12" s="8"/>
      <c r="B12" s="9" t="str">
        <f>[12]И1!D11</f>
        <v>Базовый год (б)</v>
      </c>
      <c r="C12" s="14">
        <f>[12]И1!E11</f>
        <v>2019</v>
      </c>
    </row>
    <row r="13" spans="1:3" ht="38.25" x14ac:dyDescent="0.2">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5112.1060790574547</v>
      </c>
    </row>
    <row r="18" spans="1:3" ht="42.75" x14ac:dyDescent="0.2">
      <c r="A18" s="22" t="s">
        <v>8</v>
      </c>
      <c r="B18" s="25" t="s">
        <v>9</v>
      </c>
      <c r="C18" s="26">
        <f>[12]С1!F12</f>
        <v>563.62250490830445</v>
      </c>
    </row>
    <row r="19" spans="1:3" ht="42.75" x14ac:dyDescent="0.2">
      <c r="A19" s="22" t="s">
        <v>10</v>
      </c>
      <c r="B19" s="25" t="s">
        <v>11</v>
      </c>
      <c r="C19" s="26">
        <f>[12]С2!F12</f>
        <v>3044.8315746726421</v>
      </c>
    </row>
    <row r="20" spans="1:3" ht="30" x14ac:dyDescent="0.2">
      <c r="A20" s="22" t="s">
        <v>12</v>
      </c>
      <c r="B20" s="25" t="s">
        <v>13</v>
      </c>
      <c r="C20" s="26">
        <f>[12]С3!F12</f>
        <v>911.5178018038722</v>
      </c>
    </row>
    <row r="21" spans="1:3" ht="42.75" x14ac:dyDescent="0.2">
      <c r="A21" s="22" t="s">
        <v>14</v>
      </c>
      <c r="B21" s="25" t="s">
        <v>15</v>
      </c>
      <c r="C21" s="26">
        <f>[12]С4!F12</f>
        <v>491.89682357347021</v>
      </c>
    </row>
    <row r="22" spans="1:3" ht="30" x14ac:dyDescent="0.2">
      <c r="A22" s="22" t="s">
        <v>16</v>
      </c>
      <c r="B22" s="25" t="s">
        <v>17</v>
      </c>
      <c r="C22" s="26">
        <f>[12]С5!F12</f>
        <v>100.23737409916578</v>
      </c>
    </row>
    <row r="23" spans="1:3" ht="43.5" thickBot="1" x14ac:dyDescent="0.25">
      <c r="A23" s="27" t="s">
        <v>18</v>
      </c>
      <c r="B23" s="117" t="s">
        <v>19</v>
      </c>
      <c r="C23" s="28" t="str">
        <f>[12]С6!F12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[12]С1.1!E16</f>
        <v>5100</v>
      </c>
    </row>
    <row r="29" spans="1:3" ht="42.75" x14ac:dyDescent="0.2">
      <c r="A29" s="22" t="s">
        <v>10</v>
      </c>
      <c r="B29" s="33" t="s">
        <v>22</v>
      </c>
      <c r="C29" s="34">
        <f>[12]С1.1!E27</f>
        <v>2033.13</v>
      </c>
    </row>
    <row r="30" spans="1:3" ht="17.25" x14ac:dyDescent="0.2">
      <c r="A30" s="22" t="s">
        <v>12</v>
      </c>
      <c r="B30" s="33" t="s">
        <v>23</v>
      </c>
      <c r="C30" s="35">
        <f>[12]С1.1!E19</f>
        <v>1.4E-2</v>
      </c>
    </row>
    <row r="31" spans="1:3" ht="17.25" x14ac:dyDescent="0.2">
      <c r="A31" s="22" t="s">
        <v>14</v>
      </c>
      <c r="B31" s="33" t="s">
        <v>24</v>
      </c>
      <c r="C31" s="35">
        <f>[12]С1.1!E20</f>
        <v>0.04</v>
      </c>
    </row>
    <row r="32" spans="1:3" ht="30" x14ac:dyDescent="0.2">
      <c r="A32" s="22" t="s">
        <v>16</v>
      </c>
      <c r="B32" s="36" t="s">
        <v>25</v>
      </c>
      <c r="C32" s="37">
        <f>[12]С1!F13</f>
        <v>176.4</v>
      </c>
    </row>
    <row r="33" spans="1:3" x14ac:dyDescent="0.2">
      <c r="A33" s="22" t="s">
        <v>18</v>
      </c>
      <c r="B33" s="36" t="s">
        <v>26</v>
      </c>
      <c r="C33" s="38">
        <f>[12]С1!F16</f>
        <v>7000</v>
      </c>
    </row>
    <row r="34" spans="1:3" ht="14.25" x14ac:dyDescent="0.2">
      <c r="A34" s="22" t="s">
        <v>27</v>
      </c>
      <c r="B34" s="39" t="s">
        <v>28</v>
      </c>
      <c r="C34" s="40">
        <f>[12]С1!F17</f>
        <v>0.72857142857142854</v>
      </c>
    </row>
    <row r="35" spans="1:3" ht="15.75" x14ac:dyDescent="0.2">
      <c r="A35" s="41" t="s">
        <v>29</v>
      </c>
      <c r="B35" s="42" t="s">
        <v>30</v>
      </c>
      <c r="C35" s="40">
        <f>[12]С1!F20</f>
        <v>21.588411179999994</v>
      </c>
    </row>
    <row r="36" spans="1:3" ht="15.75" x14ac:dyDescent="0.2">
      <c r="A36" s="41" t="s">
        <v>31</v>
      </c>
      <c r="B36" s="43" t="s">
        <v>32</v>
      </c>
      <c r="C36" s="40">
        <f>[12]С1!F21</f>
        <v>20.818139999999996</v>
      </c>
    </row>
    <row r="37" spans="1:3" ht="14.25" x14ac:dyDescent="0.2">
      <c r="A37" s="41" t="s">
        <v>33</v>
      </c>
      <c r="B37" s="44" t="s">
        <v>34</v>
      </c>
      <c r="C37" s="40">
        <f>[12]С1!F22</f>
        <v>1.0369999999999999</v>
      </c>
    </row>
    <row r="38" spans="1:3" ht="53.25" thickBot="1" x14ac:dyDescent="0.25">
      <c r="A38" s="27" t="s">
        <v>35</v>
      </c>
      <c r="B38" s="45" t="s">
        <v>36</v>
      </c>
      <c r="C38" s="46">
        <f>[12]С1!F23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[12]С2.1!E12</f>
        <v>V</v>
      </c>
    </row>
    <row r="42" spans="1:3" ht="25.5" x14ac:dyDescent="0.2">
      <c r="A42" s="22" t="s">
        <v>41</v>
      </c>
      <c r="B42" s="33" t="s">
        <v>42</v>
      </c>
      <c r="C42" s="51" t="str">
        <f>[12]С2.1!E13</f>
        <v>6 и менее баллов</v>
      </c>
    </row>
    <row r="43" spans="1:3" ht="25.5" x14ac:dyDescent="0.2">
      <c r="A43" s="22" t="s">
        <v>43</v>
      </c>
      <c r="B43" s="33" t="s">
        <v>44</v>
      </c>
      <c r="C43" s="51" t="str">
        <f>[12]С2.1!E14</f>
        <v>от 200 до 500</v>
      </c>
    </row>
    <row r="44" spans="1:3" ht="25.5" x14ac:dyDescent="0.2">
      <c r="A44" s="22" t="s">
        <v>45</v>
      </c>
      <c r="B44" s="33" t="s">
        <v>46</v>
      </c>
      <c r="C44" s="52" t="str">
        <f>[12]С2.1!E15</f>
        <v>нет</v>
      </c>
    </row>
    <row r="45" spans="1:3" ht="30" x14ac:dyDescent="0.2">
      <c r="A45" s="22" t="s">
        <v>47</v>
      </c>
      <c r="B45" s="33" t="s">
        <v>48</v>
      </c>
      <c r="C45" s="34">
        <f>[12]С2!F18</f>
        <v>38910.02669467502</v>
      </c>
    </row>
    <row r="46" spans="1:3" ht="30" x14ac:dyDescent="0.2">
      <c r="A46" s="22" t="s">
        <v>49</v>
      </c>
      <c r="B46" s="53" t="s">
        <v>50</v>
      </c>
      <c r="C46" s="34">
        <f>IF([12]С2!F19&gt;0,[12]С2!F19,[12]С2!F20)</f>
        <v>23441.524932855718</v>
      </c>
    </row>
    <row r="47" spans="1:3" ht="25.5" x14ac:dyDescent="0.2">
      <c r="A47" s="22" t="s">
        <v>51</v>
      </c>
      <c r="B47" s="54" t="s">
        <v>52</v>
      </c>
      <c r="C47" s="34">
        <f>[12]С2.1!E19</f>
        <v>-38</v>
      </c>
    </row>
    <row r="48" spans="1:3" ht="25.5" x14ac:dyDescent="0.2">
      <c r="A48" s="22" t="s">
        <v>53</v>
      </c>
      <c r="B48" s="54" t="s">
        <v>54</v>
      </c>
      <c r="C48" s="34" t="str">
        <f>[12]С2.1!E22</f>
        <v>нет</v>
      </c>
    </row>
    <row r="49" spans="1:3" ht="38.25" x14ac:dyDescent="0.2">
      <c r="A49" s="22" t="s">
        <v>55</v>
      </c>
      <c r="B49" s="55" t="s">
        <v>56</v>
      </c>
      <c r="C49" s="34">
        <f>[12]С2.2!E10</f>
        <v>1287</v>
      </c>
    </row>
    <row r="50" spans="1:3" ht="25.5" x14ac:dyDescent="0.2">
      <c r="A50" s="22" t="s">
        <v>57</v>
      </c>
      <c r="B50" s="56" t="s">
        <v>58</v>
      </c>
      <c r="C50" s="34">
        <f>[12]С2.2!E12</f>
        <v>5.97</v>
      </c>
    </row>
    <row r="51" spans="1:3" ht="52.5" x14ac:dyDescent="0.2">
      <c r="A51" s="22" t="s">
        <v>59</v>
      </c>
      <c r="B51" s="57" t="s">
        <v>60</v>
      </c>
      <c r="C51" s="34">
        <f>[12]С2.2!E13</f>
        <v>1</v>
      </c>
    </row>
    <row r="52" spans="1:3" ht="27.75" x14ac:dyDescent="0.2">
      <c r="A52" s="22" t="s">
        <v>61</v>
      </c>
      <c r="B52" s="56" t="s">
        <v>62</v>
      </c>
      <c r="C52" s="34">
        <f>[12]С2.2!E14</f>
        <v>12104</v>
      </c>
    </row>
    <row r="53" spans="1:3" ht="25.5" x14ac:dyDescent="0.2">
      <c r="A53" s="22" t="s">
        <v>63</v>
      </c>
      <c r="B53" s="57" t="s">
        <v>64</v>
      </c>
      <c r="C53" s="35">
        <f>[12]С2.2!E15</f>
        <v>4.8000000000000001E-2</v>
      </c>
    </row>
    <row r="54" spans="1:3" x14ac:dyDescent="0.2">
      <c r="A54" s="22" t="s">
        <v>65</v>
      </c>
      <c r="B54" s="57" t="s">
        <v>66</v>
      </c>
      <c r="C54" s="34">
        <f>[12]С2.2!E16</f>
        <v>1</v>
      </c>
    </row>
    <row r="55" spans="1:3" ht="15.75" x14ac:dyDescent="0.2">
      <c r="A55" s="22" t="s">
        <v>67</v>
      </c>
      <c r="B55" s="58" t="s">
        <v>68</v>
      </c>
      <c r="C55" s="34">
        <f>[12]С2!F21</f>
        <v>1</v>
      </c>
    </row>
    <row r="56" spans="1:3" ht="30" x14ac:dyDescent="0.2">
      <c r="A56" s="59" t="s">
        <v>69</v>
      </c>
      <c r="B56" s="33" t="s">
        <v>70</v>
      </c>
      <c r="C56" s="34">
        <f>[12]С2!F13</f>
        <v>203708.97017230222</v>
      </c>
    </row>
    <row r="57" spans="1:3" ht="30" x14ac:dyDescent="0.2">
      <c r="A57" s="59" t="s">
        <v>71</v>
      </c>
      <c r="B57" s="58" t="s">
        <v>72</v>
      </c>
      <c r="C57" s="34">
        <f>[12]С2!F14</f>
        <v>113455</v>
      </c>
    </row>
    <row r="58" spans="1:3" ht="15.75" x14ac:dyDescent="0.2">
      <c r="A58" s="59" t="s">
        <v>73</v>
      </c>
      <c r="B58" s="60" t="s">
        <v>74</v>
      </c>
      <c r="C58" s="40">
        <f>[12]С2!F15</f>
        <v>1.071</v>
      </c>
    </row>
    <row r="59" spans="1:3" ht="15.75" x14ac:dyDescent="0.2">
      <c r="A59" s="59" t="s">
        <v>75</v>
      </c>
      <c r="B59" s="60" t="s">
        <v>76</v>
      </c>
      <c r="C59" s="40">
        <f>[12]С2!F16</f>
        <v>1</v>
      </c>
    </row>
    <row r="60" spans="1:3" ht="17.25" x14ac:dyDescent="0.2">
      <c r="A60" s="59" t="s">
        <v>77</v>
      </c>
      <c r="B60" s="58" t="s">
        <v>78</v>
      </c>
      <c r="C60" s="34">
        <f>[12]С2!F17</f>
        <v>1.01</v>
      </c>
    </row>
    <row r="61" spans="1:3" s="63" customFormat="1" ht="14.25" x14ac:dyDescent="0.2">
      <c r="A61" s="59" t="s">
        <v>79</v>
      </c>
      <c r="B61" s="61" t="s">
        <v>80</v>
      </c>
      <c r="C61" s="62">
        <f>[12]С2!F33</f>
        <v>10</v>
      </c>
    </row>
    <row r="62" spans="1:3" ht="30" x14ac:dyDescent="0.2">
      <c r="A62" s="59" t="s">
        <v>81</v>
      </c>
      <c r="B62" s="64" t="s">
        <v>82</v>
      </c>
      <c r="C62" s="34">
        <f>[12]С2!F26</f>
        <v>1349.309862285194</v>
      </c>
    </row>
    <row r="63" spans="1:3" ht="17.25" x14ac:dyDescent="0.2">
      <c r="A63" s="59" t="s">
        <v>83</v>
      </c>
      <c r="B63" s="53" t="s">
        <v>84</v>
      </c>
      <c r="C63" s="34">
        <f>[12]С2!F27</f>
        <v>0.19354712999999998</v>
      </c>
    </row>
    <row r="64" spans="1:3" ht="17.25" x14ac:dyDescent="0.2">
      <c r="A64" s="59" t="s">
        <v>85</v>
      </c>
      <c r="B64" s="58" t="s">
        <v>86</v>
      </c>
      <c r="C64" s="62">
        <f>[12]С2!F28</f>
        <v>4200</v>
      </c>
    </row>
    <row r="65" spans="1:3" ht="42.75" x14ac:dyDescent="0.2">
      <c r="A65" s="59" t="s">
        <v>87</v>
      </c>
      <c r="B65" s="33" t="s">
        <v>88</v>
      </c>
      <c r="C65" s="34">
        <f>[12]С2!F22</f>
        <v>42890.921752741691</v>
      </c>
    </row>
    <row r="66" spans="1:3" ht="30" x14ac:dyDescent="0.2">
      <c r="A66" s="59" t="s">
        <v>89</v>
      </c>
      <c r="B66" s="60" t="s">
        <v>90</v>
      </c>
      <c r="C66" s="34">
        <f>[12]С2!F23</f>
        <v>1990</v>
      </c>
    </row>
    <row r="67" spans="1:3" ht="30" x14ac:dyDescent="0.2">
      <c r="A67" s="59" t="s">
        <v>91</v>
      </c>
      <c r="B67" s="53" t="s">
        <v>92</v>
      </c>
      <c r="C67" s="34">
        <f>[12]С2.1!E27</f>
        <v>14307.876789999998</v>
      </c>
    </row>
    <row r="68" spans="1:3" ht="38.25" x14ac:dyDescent="0.2">
      <c r="A68" s="59" t="s">
        <v>93</v>
      </c>
      <c r="B68" s="65" t="s">
        <v>94</v>
      </c>
      <c r="C68" s="52">
        <f>[12]С2.3!E21</f>
        <v>0</v>
      </c>
    </row>
    <row r="69" spans="1:3" ht="25.5" x14ac:dyDescent="0.2">
      <c r="A69" s="59" t="s">
        <v>95</v>
      </c>
      <c r="B69" s="66" t="s">
        <v>96</v>
      </c>
      <c r="C69" s="67">
        <f>[12]С2.3!E11</f>
        <v>9.89</v>
      </c>
    </row>
    <row r="70" spans="1:3" ht="25.5" x14ac:dyDescent="0.2">
      <c r="A70" s="59" t="s">
        <v>97</v>
      </c>
      <c r="B70" s="66" t="s">
        <v>98</v>
      </c>
      <c r="C70" s="62">
        <f>[12]С2.3!E13</f>
        <v>300</v>
      </c>
    </row>
    <row r="71" spans="1:3" ht="25.5" x14ac:dyDescent="0.2">
      <c r="A71" s="59" t="s">
        <v>99</v>
      </c>
      <c r="B71" s="65" t="s">
        <v>100</v>
      </c>
      <c r="C71" s="68">
        <f>IF([12]С2.3!E22&gt;0,[12]С2.3!E22,[12]С2.3!E14)</f>
        <v>61211</v>
      </c>
    </row>
    <row r="72" spans="1:3" ht="38.25" x14ac:dyDescent="0.2">
      <c r="A72" s="59" t="s">
        <v>101</v>
      </c>
      <c r="B72" s="65" t="s">
        <v>102</v>
      </c>
      <c r="C72" s="68">
        <f>IF([12]С2.3!E23&gt;0,[12]С2.3!E23,[12]С2.3!E15)</f>
        <v>45675</v>
      </c>
    </row>
    <row r="73" spans="1:3" ht="30" x14ac:dyDescent="0.2">
      <c r="A73" s="59" t="s">
        <v>103</v>
      </c>
      <c r="B73" s="53" t="s">
        <v>104</v>
      </c>
      <c r="C73" s="34">
        <f>[12]С2.1!E28</f>
        <v>9541.9567200000001</v>
      </c>
    </row>
    <row r="74" spans="1:3" ht="38.25" x14ac:dyDescent="0.2">
      <c r="A74" s="59" t="s">
        <v>105</v>
      </c>
      <c r="B74" s="65" t="s">
        <v>106</v>
      </c>
      <c r="C74" s="52">
        <f>[12]С2.3!E25</f>
        <v>0</v>
      </c>
    </row>
    <row r="75" spans="1:3" ht="25.5" x14ac:dyDescent="0.2">
      <c r="A75" s="59" t="s">
        <v>107</v>
      </c>
      <c r="B75" s="66" t="s">
        <v>108</v>
      </c>
      <c r="C75" s="67">
        <f>[12]С2.3!E12</f>
        <v>0.56000000000000005</v>
      </c>
    </row>
    <row r="76" spans="1:3" ht="25.5" x14ac:dyDescent="0.2">
      <c r="A76" s="59" t="s">
        <v>109</v>
      </c>
      <c r="B76" s="66" t="s">
        <v>98</v>
      </c>
      <c r="C76" s="62">
        <f>[12]С2.3!E13</f>
        <v>300</v>
      </c>
    </row>
    <row r="77" spans="1:3" ht="25.5" x14ac:dyDescent="0.2">
      <c r="A77" s="59" t="s">
        <v>110</v>
      </c>
      <c r="B77" s="69" t="s">
        <v>111</v>
      </c>
      <c r="C77" s="68">
        <f>IF([12]С2.3!E26&gt;0,[12]С2.3!E26,[12]С2.3!E16)</f>
        <v>65637</v>
      </c>
    </row>
    <row r="78" spans="1:3" ht="38.25" x14ac:dyDescent="0.2">
      <c r="A78" s="59" t="s">
        <v>112</v>
      </c>
      <c r="B78" s="69" t="s">
        <v>113</v>
      </c>
      <c r="C78" s="68">
        <f>IF([12]С2.3!E27&gt;0,[12]С2.3!E27,[12]С2.3!E17)</f>
        <v>31684</v>
      </c>
    </row>
    <row r="79" spans="1:3" ht="17.25" x14ac:dyDescent="0.2">
      <c r="A79" s="59" t="s">
        <v>114</v>
      </c>
      <c r="B79" s="33" t="s">
        <v>115</v>
      </c>
      <c r="C79" s="35">
        <f>[12]С2!F29</f>
        <v>0.17804631770487722</v>
      </c>
    </row>
    <row r="80" spans="1:3" ht="30" x14ac:dyDescent="0.2">
      <c r="A80" s="59" t="s">
        <v>116</v>
      </c>
      <c r="B80" s="53" t="s">
        <v>117</v>
      </c>
      <c r="C80" s="70">
        <f>[12]С2!F30</f>
        <v>0.1652189781021898</v>
      </c>
    </row>
    <row r="81" spans="1:3" ht="17.25" x14ac:dyDescent="0.2">
      <c r="A81" s="59" t="s">
        <v>118</v>
      </c>
      <c r="B81" s="71" t="s">
        <v>119</v>
      </c>
      <c r="C81" s="35">
        <f>[12]С2!F31</f>
        <v>0.13880000000000001</v>
      </c>
    </row>
    <row r="82" spans="1:3" s="63" customFormat="1" ht="18" thickBot="1" x14ac:dyDescent="0.25">
      <c r="A82" s="72" t="s">
        <v>120</v>
      </c>
      <c r="B82" s="73" t="s">
        <v>121</v>
      </c>
      <c r="C82" s="74">
        <f>[12]С2!F32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[12]С3!F14</f>
        <v>14784.578474435859</v>
      </c>
    </row>
    <row r="86" spans="1:3" s="63" customFormat="1" ht="42.75" x14ac:dyDescent="0.2">
      <c r="A86" s="77" t="s">
        <v>126</v>
      </c>
      <c r="B86" s="53" t="s">
        <v>127</v>
      </c>
      <c r="C86" s="78">
        <f>[12]С3!F15</f>
        <v>0.25</v>
      </c>
    </row>
    <row r="87" spans="1:3" s="63" customFormat="1" ht="14.25" x14ac:dyDescent="0.2">
      <c r="A87" s="77" t="s">
        <v>128</v>
      </c>
      <c r="B87" s="79" t="s">
        <v>129</v>
      </c>
      <c r="C87" s="62">
        <f>[12]С3!F18</f>
        <v>15</v>
      </c>
    </row>
    <row r="88" spans="1:3" s="63" customFormat="1" ht="17.25" x14ac:dyDescent="0.2">
      <c r="A88" s="77" t="s">
        <v>130</v>
      </c>
      <c r="B88" s="33" t="s">
        <v>131</v>
      </c>
      <c r="C88" s="34">
        <f>[12]С3!F19</f>
        <v>4187.478806422544</v>
      </c>
    </row>
    <row r="89" spans="1:3" s="63" customFormat="1" ht="55.5" x14ac:dyDescent="0.2">
      <c r="A89" s="77" t="s">
        <v>132</v>
      </c>
      <c r="B89" s="53" t="s">
        <v>133</v>
      </c>
      <c r="C89" s="80">
        <f>[12]С3!F20</f>
        <v>2.1999999999999999E-2</v>
      </c>
    </row>
    <row r="90" spans="1:3" s="63" customFormat="1" ht="14.25" x14ac:dyDescent="0.2">
      <c r="A90" s="77" t="s">
        <v>134</v>
      </c>
      <c r="B90" s="58" t="s">
        <v>80</v>
      </c>
      <c r="C90" s="62">
        <f>[12]С3!F21</f>
        <v>10</v>
      </c>
    </row>
    <row r="91" spans="1:3" s="63" customFormat="1" ht="17.25" x14ac:dyDescent="0.2">
      <c r="A91" s="77" t="s">
        <v>135</v>
      </c>
      <c r="B91" s="33" t="s">
        <v>136</v>
      </c>
      <c r="C91" s="34">
        <f>[12]С3!F22</f>
        <v>4.0479295868555818</v>
      </c>
    </row>
    <row r="92" spans="1:3" s="63" customFormat="1" ht="55.5" x14ac:dyDescent="0.2">
      <c r="A92" s="77" t="s">
        <v>137</v>
      </c>
      <c r="B92" s="53" t="s">
        <v>138</v>
      </c>
      <c r="C92" s="80">
        <f>[12]С3!F23</f>
        <v>3.0000000000000001E-3</v>
      </c>
    </row>
    <row r="93" spans="1:3" s="63" customFormat="1" ht="27.75" thickBot="1" x14ac:dyDescent="0.25">
      <c r="A93" s="81" t="s">
        <v>139</v>
      </c>
      <c r="B93" s="82" t="s">
        <v>140</v>
      </c>
      <c r="C93" s="83">
        <f>[12]С3!F24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[12]С4!F16</f>
        <v>1652.5</v>
      </c>
    </row>
    <row r="97" spans="1:3" ht="30" x14ac:dyDescent="0.2">
      <c r="A97" s="59" t="s">
        <v>145</v>
      </c>
      <c r="B97" s="58" t="s">
        <v>146</v>
      </c>
      <c r="C97" s="34">
        <f>[12]С4!F17</f>
        <v>73547</v>
      </c>
    </row>
    <row r="98" spans="1:3" ht="17.25" x14ac:dyDescent="0.2">
      <c r="A98" s="59" t="s">
        <v>147</v>
      </c>
      <c r="B98" s="58" t="s">
        <v>148</v>
      </c>
      <c r="C98" s="40">
        <f>[12]С4!F18</f>
        <v>0.02</v>
      </c>
    </row>
    <row r="99" spans="1:3" ht="30" x14ac:dyDescent="0.2">
      <c r="A99" s="59" t="s">
        <v>149</v>
      </c>
      <c r="B99" s="58" t="s">
        <v>150</v>
      </c>
      <c r="C99" s="34">
        <f>[12]С4!F19</f>
        <v>12104</v>
      </c>
    </row>
    <row r="100" spans="1:3" ht="31.5" x14ac:dyDescent="0.2">
      <c r="A100" s="59" t="s">
        <v>151</v>
      </c>
      <c r="B100" s="58" t="s">
        <v>152</v>
      </c>
      <c r="C100" s="40">
        <f>[12]С4!F20</f>
        <v>1.4999999999999999E-2</v>
      </c>
    </row>
    <row r="101" spans="1:3" ht="30" x14ac:dyDescent="0.2">
      <c r="A101" s="59" t="s">
        <v>153</v>
      </c>
      <c r="B101" s="33" t="s">
        <v>154</v>
      </c>
      <c r="C101" s="34">
        <f>[12]С4!F21</f>
        <v>1933.1949342509995</v>
      </c>
    </row>
    <row r="102" spans="1:3" ht="24" customHeight="1" x14ac:dyDescent="0.2">
      <c r="A102" s="59" t="s">
        <v>155</v>
      </c>
      <c r="B102" s="53" t="s">
        <v>156</v>
      </c>
      <c r="C102" s="85">
        <f>IF([12]С4.2!F8="да",[12]С4.2!D21,[12]С4.2!D15)</f>
        <v>0</v>
      </c>
    </row>
    <row r="103" spans="1:3" ht="68.25" x14ac:dyDescent="0.2">
      <c r="A103" s="59" t="s">
        <v>157</v>
      </c>
      <c r="B103" s="53" t="s">
        <v>158</v>
      </c>
      <c r="C103" s="34">
        <f>[12]С4!F22</f>
        <v>3.6112641666666665</v>
      </c>
    </row>
    <row r="104" spans="1:3" ht="30" x14ac:dyDescent="0.2">
      <c r="A104" s="59" t="s">
        <v>159</v>
      </c>
      <c r="B104" s="58" t="s">
        <v>160</v>
      </c>
      <c r="C104" s="34">
        <f>[12]С4!F23</f>
        <v>180</v>
      </c>
    </row>
    <row r="105" spans="1:3" ht="14.25" x14ac:dyDescent="0.2">
      <c r="A105" s="59" t="s">
        <v>161</v>
      </c>
      <c r="B105" s="53" t="s">
        <v>162</v>
      </c>
      <c r="C105" s="34">
        <f>[12]С4!F24</f>
        <v>8497.1999999999989</v>
      </c>
    </row>
    <row r="106" spans="1:3" ht="14.25" x14ac:dyDescent="0.2">
      <c r="A106" s="59" t="s">
        <v>163</v>
      </c>
      <c r="B106" s="58" t="s">
        <v>164</v>
      </c>
      <c r="C106" s="40">
        <f>[12]С4!F25</f>
        <v>0.35</v>
      </c>
    </row>
    <row r="107" spans="1:3" ht="17.25" x14ac:dyDescent="0.2">
      <c r="A107" s="59" t="s">
        <v>165</v>
      </c>
      <c r="B107" s="33" t="s">
        <v>166</v>
      </c>
      <c r="C107" s="34">
        <f>[12]С4!F26</f>
        <v>65.225875000000002</v>
      </c>
    </row>
    <row r="108" spans="1:3" ht="25.5" x14ac:dyDescent="0.2">
      <c r="A108" s="59" t="s">
        <v>167</v>
      </c>
      <c r="B108" s="53" t="s">
        <v>94</v>
      </c>
      <c r="C108" s="85">
        <f>[12]С4.3!E16</f>
        <v>0</v>
      </c>
    </row>
    <row r="109" spans="1:3" ht="25.5" x14ac:dyDescent="0.2">
      <c r="A109" s="59" t="s">
        <v>168</v>
      </c>
      <c r="B109" s="53" t="s">
        <v>169</v>
      </c>
      <c r="C109" s="34">
        <f>[12]С4.3!E17</f>
        <v>17.225000000000001</v>
      </c>
    </row>
    <row r="110" spans="1:3" ht="38.25" x14ac:dyDescent="0.2">
      <c r="A110" s="59" t="s">
        <v>170</v>
      </c>
      <c r="B110" s="53" t="s">
        <v>106</v>
      </c>
      <c r="C110" s="85">
        <f>[12]С4.3!E18</f>
        <v>0</v>
      </c>
    </row>
    <row r="111" spans="1:3" x14ac:dyDescent="0.2">
      <c r="A111" s="59" t="s">
        <v>171</v>
      </c>
      <c r="B111" s="53" t="s">
        <v>172</v>
      </c>
      <c r="C111" s="34">
        <f>[12]С4.3!E19</f>
        <v>23.616666666666667</v>
      </c>
    </row>
    <row r="112" spans="1:3" x14ac:dyDescent="0.2">
      <c r="A112" s="59" t="s">
        <v>173</v>
      </c>
      <c r="B112" s="58" t="s">
        <v>174</v>
      </c>
      <c r="C112" s="34">
        <f>[12]С4.3!E11</f>
        <v>1871</v>
      </c>
    </row>
    <row r="113" spans="1:3" x14ac:dyDescent="0.2">
      <c r="A113" s="59" t="s">
        <v>175</v>
      </c>
      <c r="B113" s="58" t="s">
        <v>176</v>
      </c>
      <c r="C113" s="52">
        <f>[12]С4.3!E12</f>
        <v>1636</v>
      </c>
    </row>
    <row r="114" spans="1:3" x14ac:dyDescent="0.2">
      <c r="A114" s="59" t="s">
        <v>177</v>
      </c>
      <c r="B114" s="58" t="s">
        <v>178</v>
      </c>
      <c r="C114" s="52">
        <f>[12]С4.3!E13</f>
        <v>204</v>
      </c>
    </row>
    <row r="115" spans="1:3" ht="30" x14ac:dyDescent="0.2">
      <c r="A115" s="59" t="s">
        <v>179</v>
      </c>
      <c r="B115" s="33" t="s">
        <v>180</v>
      </c>
      <c r="C115" s="34">
        <f>[12]С4!F27</f>
        <v>1291.2863994686898</v>
      </c>
    </row>
    <row r="116" spans="1:3" ht="25.5" x14ac:dyDescent="0.2">
      <c r="A116" s="59" t="s">
        <v>181</v>
      </c>
      <c r="B116" s="53" t="s">
        <v>182</v>
      </c>
      <c r="C116" s="34">
        <f>[12]С4!F28</f>
        <v>991.77142816335618</v>
      </c>
    </row>
    <row r="117" spans="1:3" ht="42.75" x14ac:dyDescent="0.2">
      <c r="A117" s="59" t="s">
        <v>183</v>
      </c>
      <c r="B117" s="53" t="s">
        <v>184</v>
      </c>
      <c r="C117" s="34">
        <f>[12]С4!F29</f>
        <v>299.51497130533357</v>
      </c>
    </row>
    <row r="118" spans="1:3" ht="30" x14ac:dyDescent="0.2">
      <c r="A118" s="59" t="s">
        <v>185</v>
      </c>
      <c r="B118" s="39" t="s">
        <v>186</v>
      </c>
      <c r="C118" s="34">
        <f>[12]С4!F30</f>
        <v>2036.9253726209827</v>
      </c>
    </row>
    <row r="119" spans="1:3" ht="42.75" x14ac:dyDescent="0.2">
      <c r="A119" s="59" t="s">
        <v>187</v>
      </c>
      <c r="B119" s="86" t="s">
        <v>188</v>
      </c>
      <c r="C119" s="34">
        <f>[12]С4!F33</f>
        <v>838.39073600322365</v>
      </c>
    </row>
    <row r="120" spans="1:3" ht="30" x14ac:dyDescent="0.2">
      <c r="A120" s="59" t="s">
        <v>189</v>
      </c>
      <c r="B120" s="87" t="s">
        <v>190</v>
      </c>
      <c r="C120" s="34">
        <f>[12]С4!F35</f>
        <v>17.040680999999999</v>
      </c>
    </row>
    <row r="121" spans="1:3" ht="14.25" x14ac:dyDescent="0.2">
      <c r="A121" s="59" t="s">
        <v>191</v>
      </c>
      <c r="B121" s="56" t="s">
        <v>192</v>
      </c>
      <c r="C121" s="34">
        <f>[12]С4!F36</f>
        <v>14319.9</v>
      </c>
    </row>
    <row r="122" spans="1:3" ht="28.5" thickBot="1" x14ac:dyDescent="0.25">
      <c r="A122" s="72" t="s">
        <v>193</v>
      </c>
      <c r="B122" s="88" t="s">
        <v>194</v>
      </c>
      <c r="C122" s="83">
        <f>[12]С4!F37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[12]С5!F17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[12]С2!F37</f>
        <v>20.818139999999996</v>
      </c>
    </row>
    <row r="136" spans="1:3" ht="14.25" x14ac:dyDescent="0.2">
      <c r="A136" s="59" t="s">
        <v>216</v>
      </c>
      <c r="B136" s="101" t="s">
        <v>217</v>
      </c>
      <c r="C136" s="34">
        <f>[12]С2!F38</f>
        <v>7</v>
      </c>
    </row>
    <row r="137" spans="1:3" ht="17.25" x14ac:dyDescent="0.2">
      <c r="A137" s="59" t="s">
        <v>218</v>
      </c>
      <c r="B137" s="101" t="s">
        <v>219</v>
      </c>
      <c r="C137" s="34">
        <f>[12]С2!F40</f>
        <v>0.97</v>
      </c>
    </row>
    <row r="138" spans="1:3" ht="15" thickBot="1" x14ac:dyDescent="0.25">
      <c r="A138" s="72" t="s">
        <v>220</v>
      </c>
      <c r="B138" s="102" t="s">
        <v>221</v>
      </c>
      <c r="C138" s="46">
        <f>[12]С2!F42</f>
        <v>0.35</v>
      </c>
    </row>
    <row r="139" spans="1:3" s="89" customFormat="1" ht="13.5" thickBot="1" x14ac:dyDescent="0.25">
      <c r="A139" s="47"/>
      <c r="B139" s="75"/>
      <c r="C139" s="15"/>
    </row>
    <row r="140" spans="1:3" ht="30" x14ac:dyDescent="0.2">
      <c r="A140" s="84" t="s">
        <v>222</v>
      </c>
      <c r="B140" s="103" t="s">
        <v>223</v>
      </c>
      <c r="C140" s="104">
        <f>[12]С2!F35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[12]С2.5!$E$11</f>
        <v>-2.9000000000000026E-2</v>
      </c>
    </row>
    <row r="144" spans="1:3" x14ac:dyDescent="0.2">
      <c r="A144" s="105"/>
      <c r="B144" s="110">
        <f>B143+1</f>
        <v>2021</v>
      </c>
      <c r="C144" s="111">
        <f>[12]С2.5!$F$11</f>
        <v>0.245</v>
      </c>
    </row>
    <row r="145" spans="1:3" x14ac:dyDescent="0.2">
      <c r="A145" s="105"/>
      <c r="B145" s="110">
        <f t="shared" ref="B145:B208" si="0">B144+1</f>
        <v>2022</v>
      </c>
      <c r="C145" s="111">
        <f>[12]С2.5!$G$11</f>
        <v>0.114</v>
      </c>
    </row>
    <row r="146" spans="1:3" ht="13.5" thickBot="1" x14ac:dyDescent="0.25">
      <c r="A146" s="105"/>
      <c r="B146" s="112">
        <f t="shared" si="0"/>
        <v>2023</v>
      </c>
      <c r="C146" s="113">
        <f>[12]С2.5!$H$11</f>
        <v>0.04</v>
      </c>
    </row>
    <row r="147" spans="1:3" x14ac:dyDescent="0.2">
      <c r="A147" s="105"/>
      <c r="B147" s="114">
        <f t="shared" si="0"/>
        <v>2024</v>
      </c>
      <c r="C147" s="115">
        <f>[12]С2.5!$I$11</f>
        <v>0.11700000000000001</v>
      </c>
    </row>
    <row r="148" spans="1:3" x14ac:dyDescent="0.2">
      <c r="A148" s="105"/>
      <c r="B148" s="110">
        <f t="shared" si="0"/>
        <v>2025</v>
      </c>
      <c r="C148" s="111">
        <f>[12]С2.5!$J$11</f>
        <v>6.0999999999999999E-2</v>
      </c>
    </row>
    <row r="149" spans="1:3" hidden="1" x14ac:dyDescent="0.2">
      <c r="A149" s="105"/>
      <c r="B149" s="110">
        <f t="shared" si="0"/>
        <v>2026</v>
      </c>
      <c r="C149" s="111">
        <f>[12]С2.5!$K$11</f>
        <v>3.5813361771260002E-2</v>
      </c>
    </row>
    <row r="150" spans="1:3" hidden="1" x14ac:dyDescent="0.2">
      <c r="A150" s="105"/>
      <c r="B150" s="110">
        <f t="shared" si="0"/>
        <v>2027</v>
      </c>
      <c r="C150" s="111">
        <f>[12]С2.5!$L$11</f>
        <v>3.2682303599220003E-2</v>
      </c>
    </row>
    <row r="151" spans="1:3" hidden="1" x14ac:dyDescent="0.2">
      <c r="A151" s="105"/>
      <c r="B151" s="110">
        <f t="shared" si="0"/>
        <v>2028</v>
      </c>
      <c r="C151" s="111">
        <f>[12]С2.5!$M$11</f>
        <v>0</v>
      </c>
    </row>
    <row r="152" spans="1:3" hidden="1" x14ac:dyDescent="0.2">
      <c r="A152" s="105"/>
      <c r="B152" s="110">
        <f t="shared" si="0"/>
        <v>2029</v>
      </c>
      <c r="C152" s="111">
        <f>[12]С2.5!$N$11</f>
        <v>0</v>
      </c>
    </row>
    <row r="153" spans="1:3" hidden="1" x14ac:dyDescent="0.2">
      <c r="A153" s="105"/>
      <c r="B153" s="110">
        <f t="shared" si="0"/>
        <v>2030</v>
      </c>
      <c r="C153" s="111">
        <f>[12]С2.5!$O$11</f>
        <v>0</v>
      </c>
    </row>
    <row r="154" spans="1:3" hidden="1" x14ac:dyDescent="0.2">
      <c r="A154" s="105"/>
      <c r="B154" s="110">
        <f t="shared" si="0"/>
        <v>2031</v>
      </c>
      <c r="C154" s="111">
        <f>[12]С2.5!$P$11</f>
        <v>0</v>
      </c>
    </row>
    <row r="155" spans="1:3" hidden="1" x14ac:dyDescent="0.2">
      <c r="A155" s="89"/>
      <c r="B155" s="110">
        <f t="shared" si="0"/>
        <v>2032</v>
      </c>
      <c r="C155" s="111">
        <f>[12]С2.5!$Q$11</f>
        <v>0</v>
      </c>
    </row>
    <row r="156" spans="1:3" hidden="1" x14ac:dyDescent="0.2">
      <c r="A156" s="89"/>
      <c r="B156" s="110">
        <f t="shared" si="0"/>
        <v>2033</v>
      </c>
      <c r="C156" s="111">
        <f>[12]С2.5!$R$11</f>
        <v>0</v>
      </c>
    </row>
    <row r="157" spans="1:3" hidden="1" x14ac:dyDescent="0.2">
      <c r="B157" s="110">
        <f t="shared" si="0"/>
        <v>2034</v>
      </c>
      <c r="C157" s="111">
        <f>[12]С2.5!$S$11</f>
        <v>0</v>
      </c>
    </row>
    <row r="158" spans="1:3" hidden="1" x14ac:dyDescent="0.2">
      <c r="B158" s="110">
        <f t="shared" si="0"/>
        <v>2035</v>
      </c>
      <c r="C158" s="111">
        <f>[12]С2.5!$T$11</f>
        <v>0</v>
      </c>
    </row>
    <row r="159" spans="1:3" hidden="1" x14ac:dyDescent="0.2">
      <c r="B159" s="110">
        <f t="shared" si="0"/>
        <v>2036</v>
      </c>
      <c r="C159" s="111">
        <f>[12]С2.5!$U$11</f>
        <v>0</v>
      </c>
    </row>
    <row r="160" spans="1:3" hidden="1" x14ac:dyDescent="0.2">
      <c r="B160" s="110">
        <f t="shared" si="0"/>
        <v>2037</v>
      </c>
      <c r="C160" s="111">
        <f>[12]С2.5!$V$11</f>
        <v>0</v>
      </c>
    </row>
    <row r="161" spans="2:3" hidden="1" x14ac:dyDescent="0.2">
      <c r="B161" s="110">
        <f t="shared" si="0"/>
        <v>2038</v>
      </c>
      <c r="C161" s="111">
        <f>[12]С2.5!$W$11</f>
        <v>0</v>
      </c>
    </row>
    <row r="162" spans="2:3" hidden="1" x14ac:dyDescent="0.2">
      <c r="B162" s="110">
        <f t="shared" si="0"/>
        <v>2039</v>
      </c>
      <c r="C162" s="111">
        <f>[12]С2.5!$X$11</f>
        <v>0</v>
      </c>
    </row>
    <row r="163" spans="2:3" hidden="1" x14ac:dyDescent="0.2">
      <c r="B163" s="110">
        <f t="shared" si="0"/>
        <v>2040</v>
      </c>
      <c r="C163" s="111">
        <f>[12]С2.5!$Y$11</f>
        <v>0</v>
      </c>
    </row>
    <row r="164" spans="2:3" hidden="1" x14ac:dyDescent="0.2">
      <c r="B164" s="110">
        <f t="shared" si="0"/>
        <v>2041</v>
      </c>
      <c r="C164" s="111">
        <f>[12]С2.5!$Z$11</f>
        <v>0</v>
      </c>
    </row>
    <row r="165" spans="2:3" hidden="1" x14ac:dyDescent="0.2">
      <c r="B165" s="110">
        <f t="shared" si="0"/>
        <v>2042</v>
      </c>
      <c r="C165" s="111">
        <f>[12]С2.5!$AA$11</f>
        <v>0</v>
      </c>
    </row>
    <row r="166" spans="2:3" hidden="1" x14ac:dyDescent="0.2">
      <c r="B166" s="110">
        <f t="shared" si="0"/>
        <v>2043</v>
      </c>
      <c r="C166" s="111">
        <f>[12]С2.5!$AB$11</f>
        <v>0</v>
      </c>
    </row>
    <row r="167" spans="2:3" hidden="1" x14ac:dyDescent="0.2">
      <c r="B167" s="110">
        <f t="shared" si="0"/>
        <v>2044</v>
      </c>
      <c r="C167" s="111">
        <f>[12]С2.5!$AC$11</f>
        <v>0</v>
      </c>
    </row>
    <row r="168" spans="2:3" hidden="1" x14ac:dyDescent="0.2">
      <c r="B168" s="110">
        <f t="shared" si="0"/>
        <v>2045</v>
      </c>
      <c r="C168" s="111">
        <f>[12]С2.5!$AD$11</f>
        <v>0</v>
      </c>
    </row>
    <row r="169" spans="2:3" hidden="1" x14ac:dyDescent="0.2">
      <c r="B169" s="110">
        <f t="shared" si="0"/>
        <v>2046</v>
      </c>
      <c r="C169" s="111">
        <f>[12]С2.5!$AE$11</f>
        <v>0</v>
      </c>
    </row>
    <row r="170" spans="2:3" hidden="1" x14ac:dyDescent="0.2">
      <c r="B170" s="110">
        <f t="shared" si="0"/>
        <v>2047</v>
      </c>
      <c r="C170" s="111">
        <f>[12]С2.5!$AF$11</f>
        <v>0</v>
      </c>
    </row>
    <row r="171" spans="2:3" hidden="1" x14ac:dyDescent="0.2">
      <c r="B171" s="110">
        <f t="shared" si="0"/>
        <v>2048</v>
      </c>
      <c r="C171" s="111">
        <f>[12]С2.5!$AG$11</f>
        <v>0</v>
      </c>
    </row>
    <row r="172" spans="2:3" hidden="1" x14ac:dyDescent="0.2">
      <c r="B172" s="110">
        <f t="shared" si="0"/>
        <v>2049</v>
      </c>
      <c r="C172" s="111">
        <f>[12]С2.5!$AH$11</f>
        <v>0</v>
      </c>
    </row>
    <row r="173" spans="2:3" hidden="1" x14ac:dyDescent="0.2">
      <c r="B173" s="110">
        <f t="shared" si="0"/>
        <v>2050</v>
      </c>
      <c r="C173" s="111">
        <f>[12]С2.5!$AI$11</f>
        <v>0</v>
      </c>
    </row>
    <row r="174" spans="2:3" hidden="1" x14ac:dyDescent="0.2">
      <c r="B174" s="110">
        <f t="shared" si="0"/>
        <v>2051</v>
      </c>
      <c r="C174" s="111">
        <f>[12]С2.5!$AJ$11</f>
        <v>0</v>
      </c>
    </row>
    <row r="175" spans="2:3" hidden="1" x14ac:dyDescent="0.2">
      <c r="B175" s="110">
        <f t="shared" si="0"/>
        <v>2052</v>
      </c>
      <c r="C175" s="111">
        <f>[12]С2.5!$AK$11</f>
        <v>0</v>
      </c>
    </row>
    <row r="176" spans="2:3" hidden="1" x14ac:dyDescent="0.2">
      <c r="B176" s="110">
        <f t="shared" si="0"/>
        <v>2053</v>
      </c>
      <c r="C176" s="111">
        <f>[12]С2.5!$AL$11</f>
        <v>0</v>
      </c>
    </row>
    <row r="177" spans="2:3" hidden="1" x14ac:dyDescent="0.2">
      <c r="B177" s="110">
        <f t="shared" si="0"/>
        <v>2054</v>
      </c>
      <c r="C177" s="111">
        <f>[12]С2.5!$AM$11</f>
        <v>0</v>
      </c>
    </row>
    <row r="178" spans="2:3" hidden="1" x14ac:dyDescent="0.2">
      <c r="B178" s="110">
        <f t="shared" si="0"/>
        <v>2055</v>
      </c>
      <c r="C178" s="111">
        <f>[12]С2.5!$AN$11</f>
        <v>0</v>
      </c>
    </row>
    <row r="179" spans="2:3" hidden="1" x14ac:dyDescent="0.2">
      <c r="B179" s="110">
        <f t="shared" si="0"/>
        <v>2056</v>
      </c>
      <c r="C179" s="111">
        <f>[12]С2.5!$AO$11</f>
        <v>0</v>
      </c>
    </row>
    <row r="180" spans="2:3" hidden="1" x14ac:dyDescent="0.2">
      <c r="B180" s="110">
        <f t="shared" si="0"/>
        <v>2057</v>
      </c>
      <c r="C180" s="111">
        <f>[12]С2.5!$AP$11</f>
        <v>0</v>
      </c>
    </row>
    <row r="181" spans="2:3" hidden="1" x14ac:dyDescent="0.2">
      <c r="B181" s="110">
        <f t="shared" si="0"/>
        <v>2058</v>
      </c>
      <c r="C181" s="111">
        <f>[12]С2.5!$AQ$11</f>
        <v>0</v>
      </c>
    </row>
    <row r="182" spans="2:3" hidden="1" x14ac:dyDescent="0.2">
      <c r="B182" s="110">
        <f t="shared" si="0"/>
        <v>2059</v>
      </c>
      <c r="C182" s="111">
        <f>[12]С2.5!$AR$11</f>
        <v>0</v>
      </c>
    </row>
    <row r="183" spans="2:3" hidden="1" x14ac:dyDescent="0.2">
      <c r="B183" s="110">
        <f t="shared" si="0"/>
        <v>2060</v>
      </c>
      <c r="C183" s="111">
        <f>[12]С2.5!$AS$11</f>
        <v>0</v>
      </c>
    </row>
    <row r="184" spans="2:3" hidden="1" x14ac:dyDescent="0.2">
      <c r="B184" s="110">
        <f t="shared" si="0"/>
        <v>2061</v>
      </c>
      <c r="C184" s="111">
        <f>[12]С2.5!$AT$11</f>
        <v>0</v>
      </c>
    </row>
    <row r="185" spans="2:3" hidden="1" x14ac:dyDescent="0.2">
      <c r="B185" s="110">
        <f t="shared" si="0"/>
        <v>2062</v>
      </c>
      <c r="C185" s="111">
        <f>[12]С2.5!$AU$11</f>
        <v>0</v>
      </c>
    </row>
    <row r="186" spans="2:3" hidden="1" x14ac:dyDescent="0.2">
      <c r="B186" s="110">
        <f t="shared" si="0"/>
        <v>2063</v>
      </c>
      <c r="C186" s="111">
        <f>[12]С2.5!$AV$11</f>
        <v>0</v>
      </c>
    </row>
    <row r="187" spans="2:3" hidden="1" x14ac:dyDescent="0.2">
      <c r="B187" s="110">
        <f t="shared" si="0"/>
        <v>2064</v>
      </c>
      <c r="C187" s="111">
        <f>[12]С2.5!$AW$11</f>
        <v>0</v>
      </c>
    </row>
    <row r="188" spans="2:3" hidden="1" x14ac:dyDescent="0.2">
      <c r="B188" s="110">
        <f t="shared" si="0"/>
        <v>2065</v>
      </c>
      <c r="C188" s="111">
        <f>[12]С2.5!$AX$11</f>
        <v>0</v>
      </c>
    </row>
    <row r="189" spans="2:3" hidden="1" x14ac:dyDescent="0.2">
      <c r="B189" s="110">
        <f t="shared" si="0"/>
        <v>2066</v>
      </c>
      <c r="C189" s="111">
        <f>[12]С2.5!$AY$11</f>
        <v>0</v>
      </c>
    </row>
    <row r="190" spans="2:3" hidden="1" x14ac:dyDescent="0.2">
      <c r="B190" s="110">
        <f t="shared" si="0"/>
        <v>2067</v>
      </c>
      <c r="C190" s="111">
        <f>[12]С2.5!$AZ$11</f>
        <v>0</v>
      </c>
    </row>
    <row r="191" spans="2:3" hidden="1" x14ac:dyDescent="0.2">
      <c r="B191" s="110">
        <f t="shared" si="0"/>
        <v>2068</v>
      </c>
      <c r="C191" s="111">
        <f>[12]С2.5!$BA$11</f>
        <v>0</v>
      </c>
    </row>
    <row r="192" spans="2:3" hidden="1" x14ac:dyDescent="0.2">
      <c r="B192" s="110">
        <f t="shared" si="0"/>
        <v>2069</v>
      </c>
      <c r="C192" s="111">
        <f>[12]С2.5!$BB$11</f>
        <v>0</v>
      </c>
    </row>
    <row r="193" spans="2:3" hidden="1" x14ac:dyDescent="0.2">
      <c r="B193" s="110">
        <f t="shared" si="0"/>
        <v>2070</v>
      </c>
      <c r="C193" s="111">
        <f>[12]С2.5!$BC$11</f>
        <v>0</v>
      </c>
    </row>
    <row r="194" spans="2:3" hidden="1" x14ac:dyDescent="0.2">
      <c r="B194" s="110">
        <f t="shared" si="0"/>
        <v>2071</v>
      </c>
      <c r="C194" s="111">
        <f>[12]С2.5!$BD$11</f>
        <v>0</v>
      </c>
    </row>
    <row r="195" spans="2:3" hidden="1" x14ac:dyDescent="0.2">
      <c r="B195" s="110">
        <f t="shared" si="0"/>
        <v>2072</v>
      </c>
      <c r="C195" s="111">
        <f>[12]С2.5!$BE$11</f>
        <v>0</v>
      </c>
    </row>
    <row r="196" spans="2:3" hidden="1" x14ac:dyDescent="0.2">
      <c r="B196" s="110">
        <f t="shared" si="0"/>
        <v>2073</v>
      </c>
      <c r="C196" s="111">
        <f>[12]С2.5!$BF$11</f>
        <v>0</v>
      </c>
    </row>
    <row r="197" spans="2:3" hidden="1" x14ac:dyDescent="0.2">
      <c r="B197" s="110">
        <f t="shared" si="0"/>
        <v>2074</v>
      </c>
      <c r="C197" s="111">
        <f>[12]С2.5!$BG$11</f>
        <v>0</v>
      </c>
    </row>
    <row r="198" spans="2:3" hidden="1" x14ac:dyDescent="0.2">
      <c r="B198" s="110">
        <f t="shared" si="0"/>
        <v>2075</v>
      </c>
      <c r="C198" s="111">
        <f>[12]С2.5!$BH$11</f>
        <v>0</v>
      </c>
    </row>
    <row r="199" spans="2:3" hidden="1" x14ac:dyDescent="0.2">
      <c r="B199" s="110">
        <f t="shared" si="0"/>
        <v>2076</v>
      </c>
      <c r="C199" s="111">
        <f>[12]С2.5!$BI$11</f>
        <v>0</v>
      </c>
    </row>
    <row r="200" spans="2:3" hidden="1" x14ac:dyDescent="0.2">
      <c r="B200" s="110">
        <f t="shared" si="0"/>
        <v>2077</v>
      </c>
      <c r="C200" s="111">
        <f>[12]С2.5!$BJ$11</f>
        <v>0</v>
      </c>
    </row>
    <row r="201" spans="2:3" hidden="1" x14ac:dyDescent="0.2">
      <c r="B201" s="110">
        <f t="shared" si="0"/>
        <v>2078</v>
      </c>
      <c r="C201" s="111">
        <f>[12]С2.5!$BK$11</f>
        <v>0</v>
      </c>
    </row>
    <row r="202" spans="2:3" hidden="1" x14ac:dyDescent="0.2">
      <c r="B202" s="110">
        <f t="shared" si="0"/>
        <v>2079</v>
      </c>
      <c r="C202" s="111">
        <f>[12]С2.5!$BL$11</f>
        <v>0</v>
      </c>
    </row>
    <row r="203" spans="2:3" hidden="1" x14ac:dyDescent="0.2">
      <c r="B203" s="110">
        <f t="shared" si="0"/>
        <v>2080</v>
      </c>
      <c r="C203" s="111">
        <f>[12]С2.5!$BM$11</f>
        <v>0</v>
      </c>
    </row>
    <row r="204" spans="2:3" hidden="1" x14ac:dyDescent="0.2">
      <c r="B204" s="110">
        <f t="shared" si="0"/>
        <v>2081</v>
      </c>
      <c r="C204" s="111">
        <f>[12]С2.5!$BN$11</f>
        <v>0</v>
      </c>
    </row>
    <row r="205" spans="2:3" hidden="1" x14ac:dyDescent="0.2">
      <c r="B205" s="110">
        <f t="shared" si="0"/>
        <v>2082</v>
      </c>
      <c r="C205" s="111">
        <f>[12]С2.5!$BO$11</f>
        <v>0</v>
      </c>
    </row>
    <row r="206" spans="2:3" hidden="1" x14ac:dyDescent="0.2">
      <c r="B206" s="110">
        <f t="shared" si="0"/>
        <v>2083</v>
      </c>
      <c r="C206" s="111">
        <f>[12]С2.5!$BP$11</f>
        <v>0</v>
      </c>
    </row>
    <row r="207" spans="2:3" hidden="1" x14ac:dyDescent="0.2">
      <c r="B207" s="110">
        <f t="shared" si="0"/>
        <v>2084</v>
      </c>
      <c r="C207" s="111">
        <f>[12]С2.5!$BQ$11</f>
        <v>0</v>
      </c>
    </row>
    <row r="208" spans="2:3" hidden="1" x14ac:dyDescent="0.2">
      <c r="B208" s="110">
        <f t="shared" si="0"/>
        <v>2085</v>
      </c>
      <c r="C208" s="111">
        <f>[12]С2.5!$BR$11</f>
        <v>0</v>
      </c>
    </row>
    <row r="209" spans="2:3" hidden="1" x14ac:dyDescent="0.2">
      <c r="B209" s="110">
        <f t="shared" ref="B209:B223" si="1">B208+1</f>
        <v>2086</v>
      </c>
      <c r="C209" s="111">
        <f>[12]С2.5!$BS$11</f>
        <v>0</v>
      </c>
    </row>
    <row r="210" spans="2:3" hidden="1" x14ac:dyDescent="0.2">
      <c r="B210" s="110">
        <f t="shared" si="1"/>
        <v>2087</v>
      </c>
      <c r="C210" s="111">
        <f>[12]С2.5!$BT$11</f>
        <v>0</v>
      </c>
    </row>
    <row r="211" spans="2:3" hidden="1" x14ac:dyDescent="0.2">
      <c r="B211" s="110">
        <f t="shared" si="1"/>
        <v>2088</v>
      </c>
      <c r="C211" s="111">
        <f>[12]С2.5!$BU$11</f>
        <v>0</v>
      </c>
    </row>
    <row r="212" spans="2:3" hidden="1" x14ac:dyDescent="0.2">
      <c r="B212" s="110">
        <f t="shared" si="1"/>
        <v>2089</v>
      </c>
      <c r="C212" s="111">
        <f>[12]С2.5!$BV$11</f>
        <v>0</v>
      </c>
    </row>
    <row r="213" spans="2:3" hidden="1" x14ac:dyDescent="0.2">
      <c r="B213" s="110">
        <f t="shared" si="1"/>
        <v>2090</v>
      </c>
      <c r="C213" s="111">
        <f>[12]С2.5!$BW$11</f>
        <v>0</v>
      </c>
    </row>
    <row r="214" spans="2:3" hidden="1" x14ac:dyDescent="0.2">
      <c r="B214" s="110">
        <f t="shared" si="1"/>
        <v>2091</v>
      </c>
      <c r="C214" s="111">
        <f>[12]С2.5!$BX$11</f>
        <v>0</v>
      </c>
    </row>
    <row r="215" spans="2:3" hidden="1" x14ac:dyDescent="0.2">
      <c r="B215" s="110">
        <f t="shared" si="1"/>
        <v>2092</v>
      </c>
      <c r="C215" s="111">
        <f>[12]С2.5!$BY$11</f>
        <v>0</v>
      </c>
    </row>
    <row r="216" spans="2:3" hidden="1" x14ac:dyDescent="0.2">
      <c r="B216" s="110">
        <f t="shared" si="1"/>
        <v>2093</v>
      </c>
      <c r="C216" s="111">
        <f>[12]С2.5!$BZ$11</f>
        <v>0</v>
      </c>
    </row>
    <row r="217" spans="2:3" hidden="1" x14ac:dyDescent="0.2">
      <c r="B217" s="110">
        <f t="shared" si="1"/>
        <v>2094</v>
      </c>
      <c r="C217" s="111">
        <f>[12]С2.5!$CA$11</f>
        <v>0</v>
      </c>
    </row>
    <row r="218" spans="2:3" hidden="1" x14ac:dyDescent="0.2">
      <c r="B218" s="110">
        <f t="shared" si="1"/>
        <v>2095</v>
      </c>
      <c r="C218" s="111">
        <f>[12]С2.5!$CB$11</f>
        <v>0</v>
      </c>
    </row>
    <row r="219" spans="2:3" hidden="1" x14ac:dyDescent="0.2">
      <c r="B219" s="110">
        <f t="shared" si="1"/>
        <v>2096</v>
      </c>
      <c r="C219" s="111">
        <f>[12]С2.5!$CC$11</f>
        <v>0</v>
      </c>
    </row>
    <row r="220" spans="2:3" hidden="1" x14ac:dyDescent="0.2">
      <c r="B220" s="110">
        <f t="shared" si="1"/>
        <v>2097</v>
      </c>
      <c r="C220" s="111">
        <f>[12]С2.5!$CD$11</f>
        <v>0</v>
      </c>
    </row>
    <row r="221" spans="2:3" hidden="1" x14ac:dyDescent="0.2">
      <c r="B221" s="110">
        <f t="shared" si="1"/>
        <v>2098</v>
      </c>
      <c r="C221" s="111">
        <f>[12]С2.5!$CE$11</f>
        <v>0</v>
      </c>
    </row>
    <row r="222" spans="2:3" hidden="1" x14ac:dyDescent="0.2">
      <c r="B222" s="110">
        <f t="shared" si="1"/>
        <v>2099</v>
      </c>
      <c r="C222" s="111">
        <f>[12]С2.5!$CF$11</f>
        <v>0</v>
      </c>
    </row>
    <row r="223" spans="2:3" ht="13.5" hidden="1" thickBot="1" x14ac:dyDescent="0.25">
      <c r="B223" s="112">
        <f t="shared" si="1"/>
        <v>2100</v>
      </c>
      <c r="C223" s="113">
        <f>[12]С2.5!$CG$11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[13]И1!D13</f>
        <v>Субъект Российской Федерации</v>
      </c>
      <c r="C4" s="10" t="str">
        <f>[13]И1!E13</f>
        <v>Новосибирская область</v>
      </c>
    </row>
    <row r="5" spans="1:3" ht="46.9" customHeight="1" x14ac:dyDescent="0.2">
      <c r="A5" s="8"/>
      <c r="B5" s="9" t="str">
        <f>[13]И1!D14</f>
        <v>Тип муниципального образования (выберите из списка)</v>
      </c>
      <c r="C5" s="10" t="str">
        <f>[13]И1!E14</f>
        <v>село Нижнечеремошное, Краснозерский муниципальный район</v>
      </c>
    </row>
    <row r="6" spans="1:3" ht="51" x14ac:dyDescent="0.2">
      <c r="A6" s="8"/>
      <c r="B6" s="9" t="str">
        <f>IF([13]И1!E15="","",[13]И1!D15)</f>
        <v/>
      </c>
      <c r="C6" s="10" t="str">
        <f>IF([13]И1!E15="","",[13]И1!E15)</f>
        <v>село Нижнечеремошное, Краснозерский муниципальный район</v>
      </c>
    </row>
    <row r="7" spans="1:3" x14ac:dyDescent="0.2">
      <c r="A7" s="8"/>
      <c r="B7" s="9" t="str">
        <f>[13]И1!D16</f>
        <v>Код ОКТМО</v>
      </c>
      <c r="C7" s="11" t="str">
        <f>[13]И1!E16</f>
        <v xml:space="preserve"> (50627428101)</v>
      </c>
    </row>
    <row r="8" spans="1:3" x14ac:dyDescent="0.2">
      <c r="A8" s="8"/>
      <c r="B8" s="12" t="str">
        <f>[13]И1!D17</f>
        <v>Система теплоснабжения</v>
      </c>
      <c r="C8" s="13">
        <f>[13]И1!E17</f>
        <v>0</v>
      </c>
    </row>
    <row r="9" spans="1:3" x14ac:dyDescent="0.2">
      <c r="A9" s="8"/>
      <c r="B9" s="9" t="str">
        <f>[13]И1!D8</f>
        <v>Период регулирования (i)-й</v>
      </c>
      <c r="C9" s="14">
        <f>[13]И1!E8</f>
        <v>2025</v>
      </c>
    </row>
    <row r="10" spans="1:3" x14ac:dyDescent="0.2">
      <c r="A10" s="8"/>
      <c r="B10" s="9" t="str">
        <f>[13]И1!D9</f>
        <v>Период регулирования (i-1)-й</v>
      </c>
      <c r="C10" s="14">
        <f>[13]И1!E9</f>
        <v>2024</v>
      </c>
    </row>
    <row r="11" spans="1:3" x14ac:dyDescent="0.2">
      <c r="A11" s="8"/>
      <c r="B11" s="9" t="str">
        <f>[13]И1!D10</f>
        <v>Период регулирования (i-2)-й</v>
      </c>
      <c r="C11" s="14">
        <f>[13]И1!E10</f>
        <v>2023</v>
      </c>
    </row>
    <row r="12" spans="1:3" x14ac:dyDescent="0.2">
      <c r="A12" s="8"/>
      <c r="B12" s="9" t="str">
        <f>[13]И1!D11</f>
        <v>Базовый год (б)</v>
      </c>
      <c r="C12" s="14">
        <f>[13]И1!E11</f>
        <v>2019</v>
      </c>
    </row>
    <row r="13" spans="1:3" ht="38.25" x14ac:dyDescent="0.2">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5680.7867948943376</v>
      </c>
    </row>
    <row r="18" spans="1:3" ht="42.75" x14ac:dyDescent="0.2">
      <c r="A18" s="22" t="s">
        <v>8</v>
      </c>
      <c r="B18" s="25" t="s">
        <v>9</v>
      </c>
      <c r="C18" s="26">
        <f>[13]С1!F12</f>
        <v>1087.2418290907776</v>
      </c>
    </row>
    <row r="19" spans="1:3" ht="42.75" x14ac:dyDescent="0.2">
      <c r="A19" s="22" t="s">
        <v>10</v>
      </c>
      <c r="B19" s="25" t="s">
        <v>11</v>
      </c>
      <c r="C19" s="26">
        <f>[13]С2!F12</f>
        <v>3044.8315746726421</v>
      </c>
    </row>
    <row r="20" spans="1:3" ht="30" x14ac:dyDescent="0.2">
      <c r="A20" s="22" t="s">
        <v>12</v>
      </c>
      <c r="B20" s="25" t="s">
        <v>13</v>
      </c>
      <c r="C20" s="26">
        <f>[13]С3!F12</f>
        <v>911.5178018038722</v>
      </c>
    </row>
    <row r="21" spans="1:3" ht="42.75" x14ac:dyDescent="0.2">
      <c r="A21" s="22" t="s">
        <v>14</v>
      </c>
      <c r="B21" s="25" t="s">
        <v>15</v>
      </c>
      <c r="C21" s="26">
        <f>[13]С4!F12</f>
        <v>525.80761295656896</v>
      </c>
    </row>
    <row r="22" spans="1:3" ht="30" x14ac:dyDescent="0.2">
      <c r="A22" s="22" t="s">
        <v>16</v>
      </c>
      <c r="B22" s="25" t="s">
        <v>17</v>
      </c>
      <c r="C22" s="26">
        <f>[13]С5!F12</f>
        <v>111.3879763704772</v>
      </c>
    </row>
    <row r="23" spans="1:3" ht="43.5" thickBot="1" x14ac:dyDescent="0.25">
      <c r="A23" s="27" t="s">
        <v>18</v>
      </c>
      <c r="B23" s="117" t="s">
        <v>19</v>
      </c>
      <c r="C23" s="28" t="str">
        <f>[13]С6!F12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[13]С1.1!E16</f>
        <v>5100</v>
      </c>
    </row>
    <row r="29" spans="1:3" ht="42.75" x14ac:dyDescent="0.2">
      <c r="A29" s="22" t="s">
        <v>10</v>
      </c>
      <c r="B29" s="33" t="s">
        <v>22</v>
      </c>
      <c r="C29" s="34">
        <f>[13]С1.1!E27</f>
        <v>3921.9583333333339</v>
      </c>
    </row>
    <row r="30" spans="1:3" ht="17.25" x14ac:dyDescent="0.2">
      <c r="A30" s="22" t="s">
        <v>12</v>
      </c>
      <c r="B30" s="33" t="s">
        <v>23</v>
      </c>
      <c r="C30" s="35">
        <f>[13]С1.1!E19</f>
        <v>1.4E-2</v>
      </c>
    </row>
    <row r="31" spans="1:3" ht="17.25" x14ac:dyDescent="0.2">
      <c r="A31" s="22" t="s">
        <v>14</v>
      </c>
      <c r="B31" s="33" t="s">
        <v>24</v>
      </c>
      <c r="C31" s="35">
        <f>[13]С1.1!E20</f>
        <v>0.04</v>
      </c>
    </row>
    <row r="32" spans="1:3" ht="30" x14ac:dyDescent="0.2">
      <c r="A32" s="22" t="s">
        <v>16</v>
      </c>
      <c r="B32" s="36" t="s">
        <v>25</v>
      </c>
      <c r="C32" s="37">
        <f>[13]С1!F13</f>
        <v>176.4</v>
      </c>
    </row>
    <row r="33" spans="1:3" x14ac:dyDescent="0.2">
      <c r="A33" s="22" t="s">
        <v>18</v>
      </c>
      <c r="B33" s="36" t="s">
        <v>26</v>
      </c>
      <c r="C33" s="38">
        <f>[13]С1!F16</f>
        <v>7000</v>
      </c>
    </row>
    <row r="34" spans="1:3" ht="14.25" x14ac:dyDescent="0.2">
      <c r="A34" s="22" t="s">
        <v>27</v>
      </c>
      <c r="B34" s="39" t="s">
        <v>28</v>
      </c>
      <c r="C34" s="40">
        <f>[13]С1!F17</f>
        <v>0.72857142857142854</v>
      </c>
    </row>
    <row r="35" spans="1:3" ht="15.75" x14ac:dyDescent="0.2">
      <c r="A35" s="41" t="s">
        <v>29</v>
      </c>
      <c r="B35" s="42" t="s">
        <v>30</v>
      </c>
      <c r="C35" s="40">
        <f>[13]С1!F20</f>
        <v>21.588411179999994</v>
      </c>
    </row>
    <row r="36" spans="1:3" ht="15.75" x14ac:dyDescent="0.2">
      <c r="A36" s="41" t="s">
        <v>31</v>
      </c>
      <c r="B36" s="43" t="s">
        <v>32</v>
      </c>
      <c r="C36" s="40">
        <f>[13]С1!F21</f>
        <v>20.818139999999996</v>
      </c>
    </row>
    <row r="37" spans="1:3" ht="14.25" x14ac:dyDescent="0.2">
      <c r="A37" s="41" t="s">
        <v>33</v>
      </c>
      <c r="B37" s="44" t="s">
        <v>34</v>
      </c>
      <c r="C37" s="40">
        <f>[13]С1!F22</f>
        <v>1.0369999999999999</v>
      </c>
    </row>
    <row r="38" spans="1:3" ht="53.25" thickBot="1" x14ac:dyDescent="0.25">
      <c r="A38" s="27" t="s">
        <v>35</v>
      </c>
      <c r="B38" s="45" t="s">
        <v>36</v>
      </c>
      <c r="C38" s="46">
        <f>[13]С1!F23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[13]С2.1!E12</f>
        <v>V</v>
      </c>
    </row>
    <row r="42" spans="1:3" ht="25.5" x14ac:dyDescent="0.2">
      <c r="A42" s="22" t="s">
        <v>41</v>
      </c>
      <c r="B42" s="33" t="s">
        <v>42</v>
      </c>
      <c r="C42" s="51" t="str">
        <f>[13]С2.1!E13</f>
        <v>6 и менее баллов</v>
      </c>
    </row>
    <row r="43" spans="1:3" ht="25.5" x14ac:dyDescent="0.2">
      <c r="A43" s="22" t="s">
        <v>43</v>
      </c>
      <c r="B43" s="33" t="s">
        <v>44</v>
      </c>
      <c r="C43" s="51" t="str">
        <f>[13]С2.1!E14</f>
        <v>от 200 до 500</v>
      </c>
    </row>
    <row r="44" spans="1:3" ht="25.5" x14ac:dyDescent="0.2">
      <c r="A44" s="22" t="s">
        <v>45</v>
      </c>
      <c r="B44" s="33" t="s">
        <v>46</v>
      </c>
      <c r="C44" s="52" t="str">
        <f>[13]С2.1!E15</f>
        <v>нет</v>
      </c>
    </row>
    <row r="45" spans="1:3" ht="30" x14ac:dyDescent="0.2">
      <c r="A45" s="22" t="s">
        <v>47</v>
      </c>
      <c r="B45" s="33" t="s">
        <v>48</v>
      </c>
      <c r="C45" s="34">
        <f>[13]С2!F18</f>
        <v>38910.02669467502</v>
      </c>
    </row>
    <row r="46" spans="1:3" ht="30" x14ac:dyDescent="0.2">
      <c r="A46" s="22" t="s">
        <v>49</v>
      </c>
      <c r="B46" s="53" t="s">
        <v>50</v>
      </c>
      <c r="C46" s="34">
        <f>IF([13]С2!F19&gt;0,[13]С2!F19,[13]С2!F20)</f>
        <v>23441.524932855718</v>
      </c>
    </row>
    <row r="47" spans="1:3" ht="25.5" x14ac:dyDescent="0.2">
      <c r="A47" s="22" t="s">
        <v>51</v>
      </c>
      <c r="B47" s="54" t="s">
        <v>52</v>
      </c>
      <c r="C47" s="34">
        <f>[13]С2.1!E19</f>
        <v>-38</v>
      </c>
    </row>
    <row r="48" spans="1:3" ht="25.5" x14ac:dyDescent="0.2">
      <c r="A48" s="22" t="s">
        <v>53</v>
      </c>
      <c r="B48" s="54" t="s">
        <v>54</v>
      </c>
      <c r="C48" s="34" t="str">
        <f>[13]С2.1!E22</f>
        <v>нет</v>
      </c>
    </row>
    <row r="49" spans="1:3" ht="38.25" x14ac:dyDescent="0.2">
      <c r="A49" s="22" t="s">
        <v>55</v>
      </c>
      <c r="B49" s="55" t="s">
        <v>56</v>
      </c>
      <c r="C49" s="34">
        <f>[13]С2.2!E10</f>
        <v>1287</v>
      </c>
    </row>
    <row r="50" spans="1:3" ht="25.5" x14ac:dyDescent="0.2">
      <c r="A50" s="22" t="s">
        <v>57</v>
      </c>
      <c r="B50" s="56" t="s">
        <v>58</v>
      </c>
      <c r="C50" s="34">
        <f>[13]С2.2!E12</f>
        <v>5.97</v>
      </c>
    </row>
    <row r="51" spans="1:3" ht="52.5" x14ac:dyDescent="0.2">
      <c r="A51" s="22" t="s">
        <v>59</v>
      </c>
      <c r="B51" s="57" t="s">
        <v>60</v>
      </c>
      <c r="C51" s="34">
        <f>[13]С2.2!E13</f>
        <v>1</v>
      </c>
    </row>
    <row r="52" spans="1:3" ht="27.75" x14ac:dyDescent="0.2">
      <c r="A52" s="22" t="s">
        <v>61</v>
      </c>
      <c r="B52" s="56" t="s">
        <v>62</v>
      </c>
      <c r="C52" s="34">
        <f>[13]С2.2!E14</f>
        <v>12104</v>
      </c>
    </row>
    <row r="53" spans="1:3" ht="25.5" x14ac:dyDescent="0.2">
      <c r="A53" s="22" t="s">
        <v>63</v>
      </c>
      <c r="B53" s="57" t="s">
        <v>64</v>
      </c>
      <c r="C53" s="35">
        <f>[13]С2.2!E15</f>
        <v>4.8000000000000001E-2</v>
      </c>
    </row>
    <row r="54" spans="1:3" x14ac:dyDescent="0.2">
      <c r="A54" s="22" t="s">
        <v>65</v>
      </c>
      <c r="B54" s="57" t="s">
        <v>66</v>
      </c>
      <c r="C54" s="34">
        <f>[13]С2.2!E16</f>
        <v>1</v>
      </c>
    </row>
    <row r="55" spans="1:3" ht="15.75" x14ac:dyDescent="0.2">
      <c r="A55" s="22" t="s">
        <v>67</v>
      </c>
      <c r="B55" s="58" t="s">
        <v>68</v>
      </c>
      <c r="C55" s="34">
        <f>[13]С2!F21</f>
        <v>1</v>
      </c>
    </row>
    <row r="56" spans="1:3" ht="30" x14ac:dyDescent="0.2">
      <c r="A56" s="59" t="s">
        <v>69</v>
      </c>
      <c r="B56" s="33" t="s">
        <v>70</v>
      </c>
      <c r="C56" s="34">
        <f>[13]С2!F13</f>
        <v>203708.97017230222</v>
      </c>
    </row>
    <row r="57" spans="1:3" ht="30" x14ac:dyDescent="0.2">
      <c r="A57" s="59" t="s">
        <v>71</v>
      </c>
      <c r="B57" s="58" t="s">
        <v>72</v>
      </c>
      <c r="C57" s="34">
        <f>[13]С2!F14</f>
        <v>113455</v>
      </c>
    </row>
    <row r="58" spans="1:3" ht="15.75" x14ac:dyDescent="0.2">
      <c r="A58" s="59" t="s">
        <v>73</v>
      </c>
      <c r="B58" s="60" t="s">
        <v>74</v>
      </c>
      <c r="C58" s="40">
        <f>[13]С2!F15</f>
        <v>1.071</v>
      </c>
    </row>
    <row r="59" spans="1:3" ht="15.75" x14ac:dyDescent="0.2">
      <c r="A59" s="59" t="s">
        <v>75</v>
      </c>
      <c r="B59" s="60" t="s">
        <v>76</v>
      </c>
      <c r="C59" s="40">
        <f>[13]С2!F16</f>
        <v>1</v>
      </c>
    </row>
    <row r="60" spans="1:3" ht="17.25" x14ac:dyDescent="0.2">
      <c r="A60" s="59" t="s">
        <v>77</v>
      </c>
      <c r="B60" s="58" t="s">
        <v>78</v>
      </c>
      <c r="C60" s="34">
        <f>[13]С2!F17</f>
        <v>1.01</v>
      </c>
    </row>
    <row r="61" spans="1:3" s="63" customFormat="1" ht="14.25" x14ac:dyDescent="0.2">
      <c r="A61" s="59" t="s">
        <v>79</v>
      </c>
      <c r="B61" s="61" t="s">
        <v>80</v>
      </c>
      <c r="C61" s="62">
        <f>[13]С2!F33</f>
        <v>10</v>
      </c>
    </row>
    <row r="62" spans="1:3" ht="30" x14ac:dyDescent="0.2">
      <c r="A62" s="59" t="s">
        <v>81</v>
      </c>
      <c r="B62" s="64" t="s">
        <v>82</v>
      </c>
      <c r="C62" s="34">
        <f>[13]С2!F26</f>
        <v>1349.309862285194</v>
      </c>
    </row>
    <row r="63" spans="1:3" ht="17.25" x14ac:dyDescent="0.2">
      <c r="A63" s="59" t="s">
        <v>83</v>
      </c>
      <c r="B63" s="53" t="s">
        <v>84</v>
      </c>
      <c r="C63" s="34">
        <f>[13]С2!F27</f>
        <v>0.19354712999999998</v>
      </c>
    </row>
    <row r="64" spans="1:3" ht="17.25" x14ac:dyDescent="0.2">
      <c r="A64" s="59" t="s">
        <v>85</v>
      </c>
      <c r="B64" s="58" t="s">
        <v>86</v>
      </c>
      <c r="C64" s="62">
        <f>[13]С2!F28</f>
        <v>4200</v>
      </c>
    </row>
    <row r="65" spans="1:3" ht="42.75" x14ac:dyDescent="0.2">
      <c r="A65" s="59" t="s">
        <v>87</v>
      </c>
      <c r="B65" s="33" t="s">
        <v>88</v>
      </c>
      <c r="C65" s="34">
        <f>[13]С2!F22</f>
        <v>42890.921752741691</v>
      </c>
    </row>
    <row r="66" spans="1:3" ht="30" x14ac:dyDescent="0.2">
      <c r="A66" s="59" t="s">
        <v>89</v>
      </c>
      <c r="B66" s="60" t="s">
        <v>90</v>
      </c>
      <c r="C66" s="34">
        <f>[13]С2!F23</f>
        <v>1990</v>
      </c>
    </row>
    <row r="67" spans="1:3" ht="30" x14ac:dyDescent="0.2">
      <c r="A67" s="59" t="s">
        <v>91</v>
      </c>
      <c r="B67" s="53" t="s">
        <v>92</v>
      </c>
      <c r="C67" s="34">
        <f>[13]С2.1!E27</f>
        <v>14307.876789999998</v>
      </c>
    </row>
    <row r="68" spans="1:3" ht="38.25" x14ac:dyDescent="0.2">
      <c r="A68" s="59" t="s">
        <v>93</v>
      </c>
      <c r="B68" s="65" t="s">
        <v>94</v>
      </c>
      <c r="C68" s="52">
        <f>[13]С2.3!E21</f>
        <v>0</v>
      </c>
    </row>
    <row r="69" spans="1:3" ht="25.5" x14ac:dyDescent="0.2">
      <c r="A69" s="59" t="s">
        <v>95</v>
      </c>
      <c r="B69" s="66" t="s">
        <v>96</v>
      </c>
      <c r="C69" s="67">
        <f>[13]С2.3!E11</f>
        <v>9.89</v>
      </c>
    </row>
    <row r="70" spans="1:3" ht="25.5" x14ac:dyDescent="0.2">
      <c r="A70" s="59" t="s">
        <v>97</v>
      </c>
      <c r="B70" s="66" t="s">
        <v>98</v>
      </c>
      <c r="C70" s="62">
        <f>[13]С2.3!E13</f>
        <v>300</v>
      </c>
    </row>
    <row r="71" spans="1:3" ht="25.5" x14ac:dyDescent="0.2">
      <c r="A71" s="59" t="s">
        <v>99</v>
      </c>
      <c r="B71" s="65" t="s">
        <v>100</v>
      </c>
      <c r="C71" s="68">
        <f>IF([13]С2.3!E22&gt;0,[13]С2.3!E22,[13]С2.3!E14)</f>
        <v>61211</v>
      </c>
    </row>
    <row r="72" spans="1:3" ht="38.25" x14ac:dyDescent="0.2">
      <c r="A72" s="59" t="s">
        <v>101</v>
      </c>
      <c r="B72" s="65" t="s">
        <v>102</v>
      </c>
      <c r="C72" s="68">
        <f>IF([13]С2.3!E23&gt;0,[13]С2.3!E23,[13]С2.3!E15)</f>
        <v>45675</v>
      </c>
    </row>
    <row r="73" spans="1:3" ht="30" x14ac:dyDescent="0.2">
      <c r="A73" s="59" t="s">
        <v>103</v>
      </c>
      <c r="B73" s="53" t="s">
        <v>104</v>
      </c>
      <c r="C73" s="34">
        <f>[13]С2.1!E28</f>
        <v>9541.9567200000001</v>
      </c>
    </row>
    <row r="74" spans="1:3" ht="38.25" x14ac:dyDescent="0.2">
      <c r="A74" s="59" t="s">
        <v>105</v>
      </c>
      <c r="B74" s="65" t="s">
        <v>106</v>
      </c>
      <c r="C74" s="52">
        <f>[13]С2.3!E25</f>
        <v>0</v>
      </c>
    </row>
    <row r="75" spans="1:3" ht="25.5" x14ac:dyDescent="0.2">
      <c r="A75" s="59" t="s">
        <v>107</v>
      </c>
      <c r="B75" s="66" t="s">
        <v>108</v>
      </c>
      <c r="C75" s="67">
        <f>[13]С2.3!E12</f>
        <v>0.56000000000000005</v>
      </c>
    </row>
    <row r="76" spans="1:3" ht="25.5" x14ac:dyDescent="0.2">
      <c r="A76" s="59" t="s">
        <v>109</v>
      </c>
      <c r="B76" s="66" t="s">
        <v>98</v>
      </c>
      <c r="C76" s="62">
        <f>[13]С2.3!E13</f>
        <v>300</v>
      </c>
    </row>
    <row r="77" spans="1:3" ht="25.5" x14ac:dyDescent="0.2">
      <c r="A77" s="59" t="s">
        <v>110</v>
      </c>
      <c r="B77" s="69" t="s">
        <v>111</v>
      </c>
      <c r="C77" s="68">
        <f>IF([13]С2.3!E26&gt;0,[13]С2.3!E26,[13]С2.3!E16)</f>
        <v>65637</v>
      </c>
    </row>
    <row r="78" spans="1:3" ht="38.25" x14ac:dyDescent="0.2">
      <c r="A78" s="59" t="s">
        <v>112</v>
      </c>
      <c r="B78" s="69" t="s">
        <v>113</v>
      </c>
      <c r="C78" s="68">
        <f>IF([13]С2.3!E27&gt;0,[13]С2.3!E27,[13]С2.3!E17)</f>
        <v>31684</v>
      </c>
    </row>
    <row r="79" spans="1:3" ht="17.25" x14ac:dyDescent="0.2">
      <c r="A79" s="59" t="s">
        <v>114</v>
      </c>
      <c r="B79" s="33" t="s">
        <v>115</v>
      </c>
      <c r="C79" s="35">
        <f>[13]С2!F29</f>
        <v>0.17804631770487722</v>
      </c>
    </row>
    <row r="80" spans="1:3" ht="30" x14ac:dyDescent="0.2">
      <c r="A80" s="59" t="s">
        <v>116</v>
      </c>
      <c r="B80" s="53" t="s">
        <v>117</v>
      </c>
      <c r="C80" s="70">
        <f>[13]С2!F30</f>
        <v>0.1652189781021898</v>
      </c>
    </row>
    <row r="81" spans="1:3" ht="17.25" x14ac:dyDescent="0.2">
      <c r="A81" s="59" t="s">
        <v>118</v>
      </c>
      <c r="B81" s="71" t="s">
        <v>119</v>
      </c>
      <c r="C81" s="35">
        <f>[13]С2!F31</f>
        <v>0.13880000000000001</v>
      </c>
    </row>
    <row r="82" spans="1:3" s="63" customFormat="1" ht="18" thickBot="1" x14ac:dyDescent="0.25">
      <c r="A82" s="72" t="s">
        <v>120</v>
      </c>
      <c r="B82" s="73" t="s">
        <v>121</v>
      </c>
      <c r="C82" s="74">
        <f>[13]С2!F32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[13]С3!F14</f>
        <v>14784.578474435859</v>
      </c>
    </row>
    <row r="86" spans="1:3" s="63" customFormat="1" ht="42.75" x14ac:dyDescent="0.2">
      <c r="A86" s="77" t="s">
        <v>126</v>
      </c>
      <c r="B86" s="53" t="s">
        <v>127</v>
      </c>
      <c r="C86" s="78">
        <f>[13]С3!F15</f>
        <v>0.25</v>
      </c>
    </row>
    <row r="87" spans="1:3" s="63" customFormat="1" ht="14.25" x14ac:dyDescent="0.2">
      <c r="A87" s="77" t="s">
        <v>128</v>
      </c>
      <c r="B87" s="79" t="s">
        <v>129</v>
      </c>
      <c r="C87" s="62">
        <f>[13]С3!F18</f>
        <v>15</v>
      </c>
    </row>
    <row r="88" spans="1:3" s="63" customFormat="1" ht="17.25" x14ac:dyDescent="0.2">
      <c r="A88" s="77" t="s">
        <v>130</v>
      </c>
      <c r="B88" s="33" t="s">
        <v>131</v>
      </c>
      <c r="C88" s="34">
        <f>[13]С3!F19</f>
        <v>4187.478806422544</v>
      </c>
    </row>
    <row r="89" spans="1:3" s="63" customFormat="1" ht="55.5" x14ac:dyDescent="0.2">
      <c r="A89" s="77" t="s">
        <v>132</v>
      </c>
      <c r="B89" s="53" t="s">
        <v>133</v>
      </c>
      <c r="C89" s="80">
        <f>[13]С3!F20</f>
        <v>2.1999999999999999E-2</v>
      </c>
    </row>
    <row r="90" spans="1:3" s="63" customFormat="1" ht="14.25" x14ac:dyDescent="0.2">
      <c r="A90" s="77" t="s">
        <v>134</v>
      </c>
      <c r="B90" s="58" t="s">
        <v>80</v>
      </c>
      <c r="C90" s="62">
        <f>[13]С3!F21</f>
        <v>10</v>
      </c>
    </row>
    <row r="91" spans="1:3" s="63" customFormat="1" ht="17.25" x14ac:dyDescent="0.2">
      <c r="A91" s="77" t="s">
        <v>135</v>
      </c>
      <c r="B91" s="33" t="s">
        <v>136</v>
      </c>
      <c r="C91" s="34">
        <f>[13]С3!F22</f>
        <v>4.0479295868555818</v>
      </c>
    </row>
    <row r="92" spans="1:3" s="63" customFormat="1" ht="55.5" x14ac:dyDescent="0.2">
      <c r="A92" s="77" t="s">
        <v>137</v>
      </c>
      <c r="B92" s="53" t="s">
        <v>138</v>
      </c>
      <c r="C92" s="80">
        <f>[13]С3!F23</f>
        <v>3.0000000000000001E-3</v>
      </c>
    </row>
    <row r="93" spans="1:3" s="63" customFormat="1" ht="27.75" thickBot="1" x14ac:dyDescent="0.25">
      <c r="A93" s="81" t="s">
        <v>139</v>
      </c>
      <c r="B93" s="82" t="s">
        <v>140</v>
      </c>
      <c r="C93" s="83">
        <f>[13]С3!F24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[13]С4!F16</f>
        <v>1652.5</v>
      </c>
    </row>
    <row r="97" spans="1:3" ht="30" x14ac:dyDescent="0.2">
      <c r="A97" s="59" t="s">
        <v>145</v>
      </c>
      <c r="B97" s="58" t="s">
        <v>146</v>
      </c>
      <c r="C97" s="34">
        <f>[13]С4!F17</f>
        <v>73547</v>
      </c>
    </row>
    <row r="98" spans="1:3" ht="17.25" x14ac:dyDescent="0.2">
      <c r="A98" s="59" t="s">
        <v>147</v>
      </c>
      <c r="B98" s="58" t="s">
        <v>148</v>
      </c>
      <c r="C98" s="40">
        <f>[13]С4!F18</f>
        <v>0.02</v>
      </c>
    </row>
    <row r="99" spans="1:3" ht="30" x14ac:dyDescent="0.2">
      <c r="A99" s="59" t="s">
        <v>149</v>
      </c>
      <c r="B99" s="58" t="s">
        <v>150</v>
      </c>
      <c r="C99" s="34">
        <f>[13]С4!F19</f>
        <v>12104</v>
      </c>
    </row>
    <row r="100" spans="1:3" ht="31.5" x14ac:dyDescent="0.2">
      <c r="A100" s="59" t="s">
        <v>151</v>
      </c>
      <c r="B100" s="58" t="s">
        <v>152</v>
      </c>
      <c r="C100" s="40">
        <f>[13]С4!F20</f>
        <v>1.4999999999999999E-2</v>
      </c>
    </row>
    <row r="101" spans="1:3" ht="30" x14ac:dyDescent="0.2">
      <c r="A101" s="59" t="s">
        <v>153</v>
      </c>
      <c r="B101" s="33" t="s">
        <v>154</v>
      </c>
      <c r="C101" s="34">
        <f>[13]С4!F21</f>
        <v>1933.1949342509995</v>
      </c>
    </row>
    <row r="102" spans="1:3" ht="24" customHeight="1" x14ac:dyDescent="0.2">
      <c r="A102" s="59" t="s">
        <v>155</v>
      </c>
      <c r="B102" s="53" t="s">
        <v>156</v>
      </c>
      <c r="C102" s="85">
        <f>IF([13]С4.2!F8="да",[13]С4.2!D21,[13]С4.2!D15)</f>
        <v>0</v>
      </c>
    </row>
    <row r="103" spans="1:3" ht="68.25" x14ac:dyDescent="0.2">
      <c r="A103" s="59" t="s">
        <v>157</v>
      </c>
      <c r="B103" s="53" t="s">
        <v>158</v>
      </c>
      <c r="C103" s="34">
        <f>[13]С4!F22</f>
        <v>3.6112641666666665</v>
      </c>
    </row>
    <row r="104" spans="1:3" ht="30" x14ac:dyDescent="0.2">
      <c r="A104" s="59" t="s">
        <v>159</v>
      </c>
      <c r="B104" s="58" t="s">
        <v>160</v>
      </c>
      <c r="C104" s="34">
        <f>[13]С4!F23</f>
        <v>180</v>
      </c>
    </row>
    <row r="105" spans="1:3" ht="14.25" x14ac:dyDescent="0.2">
      <c r="A105" s="59" t="s">
        <v>161</v>
      </c>
      <c r="B105" s="53" t="s">
        <v>162</v>
      </c>
      <c r="C105" s="34">
        <f>[13]С4!F24</f>
        <v>8497.1999999999989</v>
      </c>
    </row>
    <row r="106" spans="1:3" ht="14.25" x14ac:dyDescent="0.2">
      <c r="A106" s="59" t="s">
        <v>163</v>
      </c>
      <c r="B106" s="58" t="s">
        <v>164</v>
      </c>
      <c r="C106" s="40">
        <f>[13]С4!F25</f>
        <v>0.35</v>
      </c>
    </row>
    <row r="107" spans="1:3" ht="17.25" x14ac:dyDescent="0.2">
      <c r="A107" s="59" t="s">
        <v>165</v>
      </c>
      <c r="B107" s="33" t="s">
        <v>166</v>
      </c>
      <c r="C107" s="34">
        <f>[13]С4!F26</f>
        <v>32.466650000000001</v>
      </c>
    </row>
    <row r="108" spans="1:3" ht="25.5" x14ac:dyDescent="0.2">
      <c r="A108" s="59" t="s">
        <v>167</v>
      </c>
      <c r="B108" s="53" t="s">
        <v>94</v>
      </c>
      <c r="C108" s="85">
        <f>[13]С4.3!E16</f>
        <v>0</v>
      </c>
    </row>
    <row r="109" spans="1:3" ht="25.5" x14ac:dyDescent="0.2">
      <c r="A109" s="59" t="s">
        <v>168</v>
      </c>
      <c r="B109" s="53" t="s">
        <v>169</v>
      </c>
      <c r="C109" s="34">
        <f>[13]С4.3!E17</f>
        <v>8.2833333333333332</v>
      </c>
    </row>
    <row r="110" spans="1:3" ht="38.25" x14ac:dyDescent="0.2">
      <c r="A110" s="59" t="s">
        <v>170</v>
      </c>
      <c r="B110" s="53" t="s">
        <v>106</v>
      </c>
      <c r="C110" s="85">
        <f>[13]С4.3!E18</f>
        <v>0</v>
      </c>
    </row>
    <row r="111" spans="1:3" x14ac:dyDescent="0.2">
      <c r="A111" s="59" t="s">
        <v>171</v>
      </c>
      <c r="B111" s="53" t="s">
        <v>172</v>
      </c>
      <c r="C111" s="34">
        <f>[13]С4.3!E19</f>
        <v>16.75</v>
      </c>
    </row>
    <row r="112" spans="1:3" x14ac:dyDescent="0.2">
      <c r="A112" s="59" t="s">
        <v>173</v>
      </c>
      <c r="B112" s="58" t="s">
        <v>174</v>
      </c>
      <c r="C112" s="34">
        <f>[13]С4.3!E11</f>
        <v>1871</v>
      </c>
    </row>
    <row r="113" spans="1:3" x14ac:dyDescent="0.2">
      <c r="A113" s="59" t="s">
        <v>175</v>
      </c>
      <c r="B113" s="58" t="s">
        <v>176</v>
      </c>
      <c r="C113" s="52">
        <f>[13]С4.3!E12</f>
        <v>1636</v>
      </c>
    </row>
    <row r="114" spans="1:3" x14ac:dyDescent="0.2">
      <c r="A114" s="59" t="s">
        <v>177</v>
      </c>
      <c r="B114" s="58" t="s">
        <v>178</v>
      </c>
      <c r="C114" s="52">
        <f>[13]С4.3!E13</f>
        <v>204</v>
      </c>
    </row>
    <row r="115" spans="1:3" ht="30" x14ac:dyDescent="0.2">
      <c r="A115" s="59" t="s">
        <v>179</v>
      </c>
      <c r="B115" s="33" t="s">
        <v>180</v>
      </c>
      <c r="C115" s="34">
        <f>[13]С4!F27</f>
        <v>1291.2863994686898</v>
      </c>
    </row>
    <row r="116" spans="1:3" ht="25.5" x14ac:dyDescent="0.2">
      <c r="A116" s="59" t="s">
        <v>181</v>
      </c>
      <c r="B116" s="53" t="s">
        <v>182</v>
      </c>
      <c r="C116" s="34">
        <f>[13]С4!F28</f>
        <v>991.77142816335618</v>
      </c>
    </row>
    <row r="117" spans="1:3" ht="42.75" x14ac:dyDescent="0.2">
      <c r="A117" s="59" t="s">
        <v>183</v>
      </c>
      <c r="B117" s="53" t="s">
        <v>184</v>
      </c>
      <c r="C117" s="34">
        <f>[13]С4!F29</f>
        <v>299.51497130533357</v>
      </c>
    </row>
    <row r="118" spans="1:3" ht="30" x14ac:dyDescent="0.2">
      <c r="A118" s="59" t="s">
        <v>185</v>
      </c>
      <c r="B118" s="39" t="s">
        <v>186</v>
      </c>
      <c r="C118" s="34">
        <f>[13]С4!F30</f>
        <v>2797.2611877370982</v>
      </c>
    </row>
    <row r="119" spans="1:3" ht="42.75" x14ac:dyDescent="0.2">
      <c r="A119" s="59" t="s">
        <v>187</v>
      </c>
      <c r="B119" s="86" t="s">
        <v>188</v>
      </c>
      <c r="C119" s="34">
        <f>[13]С4!F33</f>
        <v>1601.4453638307516</v>
      </c>
    </row>
    <row r="120" spans="1:3" ht="30" x14ac:dyDescent="0.2">
      <c r="A120" s="59" t="s">
        <v>189</v>
      </c>
      <c r="B120" s="87" t="s">
        <v>190</v>
      </c>
      <c r="C120" s="34">
        <f>[13]С4!F35</f>
        <v>17.040680999999999</v>
      </c>
    </row>
    <row r="121" spans="1:3" ht="14.25" x14ac:dyDescent="0.2">
      <c r="A121" s="59" t="s">
        <v>191</v>
      </c>
      <c r="B121" s="56" t="s">
        <v>192</v>
      </c>
      <c r="C121" s="34">
        <f>[13]С4!F36</f>
        <v>14319.9</v>
      </c>
    </row>
    <row r="122" spans="1:3" ht="28.5" thickBot="1" x14ac:dyDescent="0.25">
      <c r="A122" s="72" t="s">
        <v>193</v>
      </c>
      <c r="B122" s="88" t="s">
        <v>194</v>
      </c>
      <c r="C122" s="83">
        <f>[13]С4!F37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[13]С5!F17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[13]С2!F37</f>
        <v>20.818139999999996</v>
      </c>
    </row>
    <row r="136" spans="1:3" ht="14.25" x14ac:dyDescent="0.2">
      <c r="A136" s="59" t="s">
        <v>216</v>
      </c>
      <c r="B136" s="101" t="s">
        <v>217</v>
      </c>
      <c r="C136" s="34">
        <f>[13]С2!F38</f>
        <v>7</v>
      </c>
    </row>
    <row r="137" spans="1:3" ht="17.25" x14ac:dyDescent="0.2">
      <c r="A137" s="59" t="s">
        <v>218</v>
      </c>
      <c r="B137" s="101" t="s">
        <v>219</v>
      </c>
      <c r="C137" s="34">
        <f>[13]С2!F40</f>
        <v>0.97</v>
      </c>
    </row>
    <row r="138" spans="1:3" ht="15" thickBot="1" x14ac:dyDescent="0.25">
      <c r="A138" s="72" t="s">
        <v>220</v>
      </c>
      <c r="B138" s="102" t="s">
        <v>221</v>
      </c>
      <c r="C138" s="46">
        <f>[13]С2!F42</f>
        <v>0.35</v>
      </c>
    </row>
    <row r="139" spans="1:3" s="89" customFormat="1" ht="13.5" thickBot="1" x14ac:dyDescent="0.25">
      <c r="A139" s="47"/>
      <c r="B139" s="75"/>
      <c r="C139" s="15"/>
    </row>
    <row r="140" spans="1:3" ht="30" x14ac:dyDescent="0.2">
      <c r="A140" s="84" t="s">
        <v>222</v>
      </c>
      <c r="B140" s="103" t="s">
        <v>223</v>
      </c>
      <c r="C140" s="104">
        <f>[13]С2!F35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[13]С2.5!$E$11</f>
        <v>-2.9000000000000026E-2</v>
      </c>
    </row>
    <row r="144" spans="1:3" x14ac:dyDescent="0.2">
      <c r="A144" s="105"/>
      <c r="B144" s="110">
        <f>B143+1</f>
        <v>2021</v>
      </c>
      <c r="C144" s="111">
        <f>[13]С2.5!$F$11</f>
        <v>0.245</v>
      </c>
    </row>
    <row r="145" spans="1:3" x14ac:dyDescent="0.2">
      <c r="A145" s="105"/>
      <c r="B145" s="110">
        <f t="shared" ref="B145:B208" si="0">B144+1</f>
        <v>2022</v>
      </c>
      <c r="C145" s="111">
        <f>[13]С2.5!$G$11</f>
        <v>0.114</v>
      </c>
    </row>
    <row r="146" spans="1:3" ht="13.5" thickBot="1" x14ac:dyDescent="0.25">
      <c r="A146" s="105"/>
      <c r="B146" s="112">
        <f t="shared" si="0"/>
        <v>2023</v>
      </c>
      <c r="C146" s="113">
        <f>[13]С2.5!$H$11</f>
        <v>0.04</v>
      </c>
    </row>
    <row r="147" spans="1:3" x14ac:dyDescent="0.2">
      <c r="A147" s="105"/>
      <c r="B147" s="114">
        <f t="shared" si="0"/>
        <v>2024</v>
      </c>
      <c r="C147" s="115">
        <f>[13]С2.5!$I$11</f>
        <v>0.11700000000000001</v>
      </c>
    </row>
    <row r="148" spans="1:3" x14ac:dyDescent="0.2">
      <c r="A148" s="105"/>
      <c r="B148" s="110">
        <f t="shared" si="0"/>
        <v>2025</v>
      </c>
      <c r="C148" s="111">
        <f>[13]С2.5!$J$11</f>
        <v>6.0999999999999999E-2</v>
      </c>
    </row>
    <row r="149" spans="1:3" hidden="1" x14ac:dyDescent="0.2">
      <c r="A149" s="105"/>
      <c r="B149" s="110">
        <f t="shared" si="0"/>
        <v>2026</v>
      </c>
      <c r="C149" s="111">
        <f>[13]С2.5!$K$11</f>
        <v>3.5813361771260002E-2</v>
      </c>
    </row>
    <row r="150" spans="1:3" hidden="1" x14ac:dyDescent="0.2">
      <c r="A150" s="105"/>
      <c r="B150" s="110">
        <f t="shared" si="0"/>
        <v>2027</v>
      </c>
      <c r="C150" s="111">
        <f>[13]С2.5!$L$11</f>
        <v>3.2682303599220003E-2</v>
      </c>
    </row>
    <row r="151" spans="1:3" hidden="1" x14ac:dyDescent="0.2">
      <c r="A151" s="105"/>
      <c r="B151" s="110">
        <f t="shared" si="0"/>
        <v>2028</v>
      </c>
      <c r="C151" s="111">
        <f>[13]С2.5!$M$11</f>
        <v>0</v>
      </c>
    </row>
    <row r="152" spans="1:3" hidden="1" x14ac:dyDescent="0.2">
      <c r="A152" s="105"/>
      <c r="B152" s="110">
        <f t="shared" si="0"/>
        <v>2029</v>
      </c>
      <c r="C152" s="111">
        <f>[13]С2.5!$N$11</f>
        <v>0</v>
      </c>
    </row>
    <row r="153" spans="1:3" hidden="1" x14ac:dyDescent="0.2">
      <c r="A153" s="105"/>
      <c r="B153" s="110">
        <f t="shared" si="0"/>
        <v>2030</v>
      </c>
      <c r="C153" s="111">
        <f>[13]С2.5!$O$11</f>
        <v>0</v>
      </c>
    </row>
    <row r="154" spans="1:3" hidden="1" x14ac:dyDescent="0.2">
      <c r="A154" s="105"/>
      <c r="B154" s="110">
        <f t="shared" si="0"/>
        <v>2031</v>
      </c>
      <c r="C154" s="111">
        <f>[13]С2.5!$P$11</f>
        <v>0</v>
      </c>
    </row>
    <row r="155" spans="1:3" hidden="1" x14ac:dyDescent="0.2">
      <c r="A155" s="89"/>
      <c r="B155" s="110">
        <f t="shared" si="0"/>
        <v>2032</v>
      </c>
      <c r="C155" s="111">
        <f>[13]С2.5!$Q$11</f>
        <v>0</v>
      </c>
    </row>
    <row r="156" spans="1:3" hidden="1" x14ac:dyDescent="0.2">
      <c r="A156" s="89"/>
      <c r="B156" s="110">
        <f t="shared" si="0"/>
        <v>2033</v>
      </c>
      <c r="C156" s="111">
        <f>[13]С2.5!$R$11</f>
        <v>0</v>
      </c>
    </row>
    <row r="157" spans="1:3" hidden="1" x14ac:dyDescent="0.2">
      <c r="B157" s="110">
        <f t="shared" si="0"/>
        <v>2034</v>
      </c>
      <c r="C157" s="111">
        <f>[13]С2.5!$S$11</f>
        <v>0</v>
      </c>
    </row>
    <row r="158" spans="1:3" hidden="1" x14ac:dyDescent="0.2">
      <c r="B158" s="110">
        <f t="shared" si="0"/>
        <v>2035</v>
      </c>
      <c r="C158" s="111">
        <f>[13]С2.5!$T$11</f>
        <v>0</v>
      </c>
    </row>
    <row r="159" spans="1:3" hidden="1" x14ac:dyDescent="0.2">
      <c r="B159" s="110">
        <f t="shared" si="0"/>
        <v>2036</v>
      </c>
      <c r="C159" s="111">
        <f>[13]С2.5!$U$11</f>
        <v>0</v>
      </c>
    </row>
    <row r="160" spans="1:3" hidden="1" x14ac:dyDescent="0.2">
      <c r="B160" s="110">
        <f t="shared" si="0"/>
        <v>2037</v>
      </c>
      <c r="C160" s="111">
        <f>[13]С2.5!$V$11</f>
        <v>0</v>
      </c>
    </row>
    <row r="161" spans="2:3" hidden="1" x14ac:dyDescent="0.2">
      <c r="B161" s="110">
        <f t="shared" si="0"/>
        <v>2038</v>
      </c>
      <c r="C161" s="111">
        <f>[13]С2.5!$W$11</f>
        <v>0</v>
      </c>
    </row>
    <row r="162" spans="2:3" hidden="1" x14ac:dyDescent="0.2">
      <c r="B162" s="110">
        <f t="shared" si="0"/>
        <v>2039</v>
      </c>
      <c r="C162" s="111">
        <f>[13]С2.5!$X$11</f>
        <v>0</v>
      </c>
    </row>
    <row r="163" spans="2:3" hidden="1" x14ac:dyDescent="0.2">
      <c r="B163" s="110">
        <f t="shared" si="0"/>
        <v>2040</v>
      </c>
      <c r="C163" s="111">
        <f>[13]С2.5!$Y$11</f>
        <v>0</v>
      </c>
    </row>
    <row r="164" spans="2:3" hidden="1" x14ac:dyDescent="0.2">
      <c r="B164" s="110">
        <f t="shared" si="0"/>
        <v>2041</v>
      </c>
      <c r="C164" s="111">
        <f>[13]С2.5!$Z$11</f>
        <v>0</v>
      </c>
    </row>
    <row r="165" spans="2:3" hidden="1" x14ac:dyDescent="0.2">
      <c r="B165" s="110">
        <f t="shared" si="0"/>
        <v>2042</v>
      </c>
      <c r="C165" s="111">
        <f>[13]С2.5!$AA$11</f>
        <v>0</v>
      </c>
    </row>
    <row r="166" spans="2:3" hidden="1" x14ac:dyDescent="0.2">
      <c r="B166" s="110">
        <f t="shared" si="0"/>
        <v>2043</v>
      </c>
      <c r="C166" s="111">
        <f>[13]С2.5!$AB$11</f>
        <v>0</v>
      </c>
    </row>
    <row r="167" spans="2:3" hidden="1" x14ac:dyDescent="0.2">
      <c r="B167" s="110">
        <f t="shared" si="0"/>
        <v>2044</v>
      </c>
      <c r="C167" s="111">
        <f>[13]С2.5!$AC$11</f>
        <v>0</v>
      </c>
    </row>
    <row r="168" spans="2:3" hidden="1" x14ac:dyDescent="0.2">
      <c r="B168" s="110">
        <f t="shared" si="0"/>
        <v>2045</v>
      </c>
      <c r="C168" s="111">
        <f>[13]С2.5!$AD$11</f>
        <v>0</v>
      </c>
    </row>
    <row r="169" spans="2:3" hidden="1" x14ac:dyDescent="0.2">
      <c r="B169" s="110">
        <f t="shared" si="0"/>
        <v>2046</v>
      </c>
      <c r="C169" s="111">
        <f>[13]С2.5!$AE$11</f>
        <v>0</v>
      </c>
    </row>
    <row r="170" spans="2:3" hidden="1" x14ac:dyDescent="0.2">
      <c r="B170" s="110">
        <f t="shared" si="0"/>
        <v>2047</v>
      </c>
      <c r="C170" s="111">
        <f>[13]С2.5!$AF$11</f>
        <v>0</v>
      </c>
    </row>
    <row r="171" spans="2:3" hidden="1" x14ac:dyDescent="0.2">
      <c r="B171" s="110">
        <f t="shared" si="0"/>
        <v>2048</v>
      </c>
      <c r="C171" s="111">
        <f>[13]С2.5!$AG$11</f>
        <v>0</v>
      </c>
    </row>
    <row r="172" spans="2:3" hidden="1" x14ac:dyDescent="0.2">
      <c r="B172" s="110">
        <f t="shared" si="0"/>
        <v>2049</v>
      </c>
      <c r="C172" s="111">
        <f>[13]С2.5!$AH$11</f>
        <v>0</v>
      </c>
    </row>
    <row r="173" spans="2:3" hidden="1" x14ac:dyDescent="0.2">
      <c r="B173" s="110">
        <f t="shared" si="0"/>
        <v>2050</v>
      </c>
      <c r="C173" s="111">
        <f>[13]С2.5!$AI$11</f>
        <v>0</v>
      </c>
    </row>
    <row r="174" spans="2:3" hidden="1" x14ac:dyDescent="0.2">
      <c r="B174" s="110">
        <f t="shared" si="0"/>
        <v>2051</v>
      </c>
      <c r="C174" s="111">
        <f>[13]С2.5!$AJ$11</f>
        <v>0</v>
      </c>
    </row>
    <row r="175" spans="2:3" hidden="1" x14ac:dyDescent="0.2">
      <c r="B175" s="110">
        <f t="shared" si="0"/>
        <v>2052</v>
      </c>
      <c r="C175" s="111">
        <f>[13]С2.5!$AK$11</f>
        <v>0</v>
      </c>
    </row>
    <row r="176" spans="2:3" hidden="1" x14ac:dyDescent="0.2">
      <c r="B176" s="110">
        <f t="shared" si="0"/>
        <v>2053</v>
      </c>
      <c r="C176" s="111">
        <f>[13]С2.5!$AL$11</f>
        <v>0</v>
      </c>
    </row>
    <row r="177" spans="2:3" hidden="1" x14ac:dyDescent="0.2">
      <c r="B177" s="110">
        <f t="shared" si="0"/>
        <v>2054</v>
      </c>
      <c r="C177" s="111">
        <f>[13]С2.5!$AM$11</f>
        <v>0</v>
      </c>
    </row>
    <row r="178" spans="2:3" hidden="1" x14ac:dyDescent="0.2">
      <c r="B178" s="110">
        <f t="shared" si="0"/>
        <v>2055</v>
      </c>
      <c r="C178" s="111">
        <f>[13]С2.5!$AN$11</f>
        <v>0</v>
      </c>
    </row>
    <row r="179" spans="2:3" hidden="1" x14ac:dyDescent="0.2">
      <c r="B179" s="110">
        <f t="shared" si="0"/>
        <v>2056</v>
      </c>
      <c r="C179" s="111">
        <f>[13]С2.5!$AO$11</f>
        <v>0</v>
      </c>
    </row>
    <row r="180" spans="2:3" hidden="1" x14ac:dyDescent="0.2">
      <c r="B180" s="110">
        <f t="shared" si="0"/>
        <v>2057</v>
      </c>
      <c r="C180" s="111">
        <f>[13]С2.5!$AP$11</f>
        <v>0</v>
      </c>
    </row>
    <row r="181" spans="2:3" hidden="1" x14ac:dyDescent="0.2">
      <c r="B181" s="110">
        <f t="shared" si="0"/>
        <v>2058</v>
      </c>
      <c r="C181" s="111">
        <f>[13]С2.5!$AQ$11</f>
        <v>0</v>
      </c>
    </row>
    <row r="182" spans="2:3" hidden="1" x14ac:dyDescent="0.2">
      <c r="B182" s="110">
        <f t="shared" si="0"/>
        <v>2059</v>
      </c>
      <c r="C182" s="111">
        <f>[13]С2.5!$AR$11</f>
        <v>0</v>
      </c>
    </row>
    <row r="183" spans="2:3" hidden="1" x14ac:dyDescent="0.2">
      <c r="B183" s="110">
        <f t="shared" si="0"/>
        <v>2060</v>
      </c>
      <c r="C183" s="111">
        <f>[13]С2.5!$AS$11</f>
        <v>0</v>
      </c>
    </row>
    <row r="184" spans="2:3" hidden="1" x14ac:dyDescent="0.2">
      <c r="B184" s="110">
        <f t="shared" si="0"/>
        <v>2061</v>
      </c>
      <c r="C184" s="111">
        <f>[13]С2.5!$AT$11</f>
        <v>0</v>
      </c>
    </row>
    <row r="185" spans="2:3" hidden="1" x14ac:dyDescent="0.2">
      <c r="B185" s="110">
        <f t="shared" si="0"/>
        <v>2062</v>
      </c>
      <c r="C185" s="111">
        <f>[13]С2.5!$AU$11</f>
        <v>0</v>
      </c>
    </row>
    <row r="186" spans="2:3" hidden="1" x14ac:dyDescent="0.2">
      <c r="B186" s="110">
        <f t="shared" si="0"/>
        <v>2063</v>
      </c>
      <c r="C186" s="111">
        <f>[13]С2.5!$AV$11</f>
        <v>0</v>
      </c>
    </row>
    <row r="187" spans="2:3" hidden="1" x14ac:dyDescent="0.2">
      <c r="B187" s="110">
        <f t="shared" si="0"/>
        <v>2064</v>
      </c>
      <c r="C187" s="111">
        <f>[13]С2.5!$AW$11</f>
        <v>0</v>
      </c>
    </row>
    <row r="188" spans="2:3" hidden="1" x14ac:dyDescent="0.2">
      <c r="B188" s="110">
        <f t="shared" si="0"/>
        <v>2065</v>
      </c>
      <c r="C188" s="111">
        <f>[13]С2.5!$AX$11</f>
        <v>0</v>
      </c>
    </row>
    <row r="189" spans="2:3" hidden="1" x14ac:dyDescent="0.2">
      <c r="B189" s="110">
        <f t="shared" si="0"/>
        <v>2066</v>
      </c>
      <c r="C189" s="111">
        <f>[13]С2.5!$AY$11</f>
        <v>0</v>
      </c>
    </row>
    <row r="190" spans="2:3" hidden="1" x14ac:dyDescent="0.2">
      <c r="B190" s="110">
        <f t="shared" si="0"/>
        <v>2067</v>
      </c>
      <c r="C190" s="111">
        <f>[13]С2.5!$AZ$11</f>
        <v>0</v>
      </c>
    </row>
    <row r="191" spans="2:3" hidden="1" x14ac:dyDescent="0.2">
      <c r="B191" s="110">
        <f t="shared" si="0"/>
        <v>2068</v>
      </c>
      <c r="C191" s="111">
        <f>[13]С2.5!$BA$11</f>
        <v>0</v>
      </c>
    </row>
    <row r="192" spans="2:3" hidden="1" x14ac:dyDescent="0.2">
      <c r="B192" s="110">
        <f t="shared" si="0"/>
        <v>2069</v>
      </c>
      <c r="C192" s="111">
        <f>[13]С2.5!$BB$11</f>
        <v>0</v>
      </c>
    </row>
    <row r="193" spans="2:3" hidden="1" x14ac:dyDescent="0.2">
      <c r="B193" s="110">
        <f t="shared" si="0"/>
        <v>2070</v>
      </c>
      <c r="C193" s="111">
        <f>[13]С2.5!$BC$11</f>
        <v>0</v>
      </c>
    </row>
    <row r="194" spans="2:3" hidden="1" x14ac:dyDescent="0.2">
      <c r="B194" s="110">
        <f t="shared" si="0"/>
        <v>2071</v>
      </c>
      <c r="C194" s="111">
        <f>[13]С2.5!$BD$11</f>
        <v>0</v>
      </c>
    </row>
    <row r="195" spans="2:3" hidden="1" x14ac:dyDescent="0.2">
      <c r="B195" s="110">
        <f t="shared" si="0"/>
        <v>2072</v>
      </c>
      <c r="C195" s="111">
        <f>[13]С2.5!$BE$11</f>
        <v>0</v>
      </c>
    </row>
    <row r="196" spans="2:3" hidden="1" x14ac:dyDescent="0.2">
      <c r="B196" s="110">
        <f t="shared" si="0"/>
        <v>2073</v>
      </c>
      <c r="C196" s="111">
        <f>[13]С2.5!$BF$11</f>
        <v>0</v>
      </c>
    </row>
    <row r="197" spans="2:3" hidden="1" x14ac:dyDescent="0.2">
      <c r="B197" s="110">
        <f t="shared" si="0"/>
        <v>2074</v>
      </c>
      <c r="C197" s="111">
        <f>[13]С2.5!$BG$11</f>
        <v>0</v>
      </c>
    </row>
    <row r="198" spans="2:3" hidden="1" x14ac:dyDescent="0.2">
      <c r="B198" s="110">
        <f t="shared" si="0"/>
        <v>2075</v>
      </c>
      <c r="C198" s="111">
        <f>[13]С2.5!$BH$11</f>
        <v>0</v>
      </c>
    </row>
    <row r="199" spans="2:3" hidden="1" x14ac:dyDescent="0.2">
      <c r="B199" s="110">
        <f t="shared" si="0"/>
        <v>2076</v>
      </c>
      <c r="C199" s="111">
        <f>[13]С2.5!$BI$11</f>
        <v>0</v>
      </c>
    </row>
    <row r="200" spans="2:3" hidden="1" x14ac:dyDescent="0.2">
      <c r="B200" s="110">
        <f t="shared" si="0"/>
        <v>2077</v>
      </c>
      <c r="C200" s="111">
        <f>[13]С2.5!$BJ$11</f>
        <v>0</v>
      </c>
    </row>
    <row r="201" spans="2:3" hidden="1" x14ac:dyDescent="0.2">
      <c r="B201" s="110">
        <f t="shared" si="0"/>
        <v>2078</v>
      </c>
      <c r="C201" s="111">
        <f>[13]С2.5!$BK$11</f>
        <v>0</v>
      </c>
    </row>
    <row r="202" spans="2:3" hidden="1" x14ac:dyDescent="0.2">
      <c r="B202" s="110">
        <f t="shared" si="0"/>
        <v>2079</v>
      </c>
      <c r="C202" s="111">
        <f>[13]С2.5!$BL$11</f>
        <v>0</v>
      </c>
    </row>
    <row r="203" spans="2:3" hidden="1" x14ac:dyDescent="0.2">
      <c r="B203" s="110">
        <f t="shared" si="0"/>
        <v>2080</v>
      </c>
      <c r="C203" s="111">
        <f>[13]С2.5!$BM$11</f>
        <v>0</v>
      </c>
    </row>
    <row r="204" spans="2:3" hidden="1" x14ac:dyDescent="0.2">
      <c r="B204" s="110">
        <f t="shared" si="0"/>
        <v>2081</v>
      </c>
      <c r="C204" s="111">
        <f>[13]С2.5!$BN$11</f>
        <v>0</v>
      </c>
    </row>
    <row r="205" spans="2:3" hidden="1" x14ac:dyDescent="0.2">
      <c r="B205" s="110">
        <f t="shared" si="0"/>
        <v>2082</v>
      </c>
      <c r="C205" s="111">
        <f>[13]С2.5!$BO$11</f>
        <v>0</v>
      </c>
    </row>
    <row r="206" spans="2:3" hidden="1" x14ac:dyDescent="0.2">
      <c r="B206" s="110">
        <f t="shared" si="0"/>
        <v>2083</v>
      </c>
      <c r="C206" s="111">
        <f>[13]С2.5!$BP$11</f>
        <v>0</v>
      </c>
    </row>
    <row r="207" spans="2:3" hidden="1" x14ac:dyDescent="0.2">
      <c r="B207" s="110">
        <f t="shared" si="0"/>
        <v>2084</v>
      </c>
      <c r="C207" s="111">
        <f>[13]С2.5!$BQ$11</f>
        <v>0</v>
      </c>
    </row>
    <row r="208" spans="2:3" hidden="1" x14ac:dyDescent="0.2">
      <c r="B208" s="110">
        <f t="shared" si="0"/>
        <v>2085</v>
      </c>
      <c r="C208" s="111">
        <f>[13]С2.5!$BR$11</f>
        <v>0</v>
      </c>
    </row>
    <row r="209" spans="2:3" hidden="1" x14ac:dyDescent="0.2">
      <c r="B209" s="110">
        <f t="shared" ref="B209:B223" si="1">B208+1</f>
        <v>2086</v>
      </c>
      <c r="C209" s="111">
        <f>[13]С2.5!$BS$11</f>
        <v>0</v>
      </c>
    </row>
    <row r="210" spans="2:3" hidden="1" x14ac:dyDescent="0.2">
      <c r="B210" s="110">
        <f t="shared" si="1"/>
        <v>2087</v>
      </c>
      <c r="C210" s="111">
        <f>[13]С2.5!$BT$11</f>
        <v>0</v>
      </c>
    </row>
    <row r="211" spans="2:3" hidden="1" x14ac:dyDescent="0.2">
      <c r="B211" s="110">
        <f t="shared" si="1"/>
        <v>2088</v>
      </c>
      <c r="C211" s="111">
        <f>[13]С2.5!$BU$11</f>
        <v>0</v>
      </c>
    </row>
    <row r="212" spans="2:3" hidden="1" x14ac:dyDescent="0.2">
      <c r="B212" s="110">
        <f t="shared" si="1"/>
        <v>2089</v>
      </c>
      <c r="C212" s="111">
        <f>[13]С2.5!$BV$11</f>
        <v>0</v>
      </c>
    </row>
    <row r="213" spans="2:3" hidden="1" x14ac:dyDescent="0.2">
      <c r="B213" s="110">
        <f t="shared" si="1"/>
        <v>2090</v>
      </c>
      <c r="C213" s="111">
        <f>[13]С2.5!$BW$11</f>
        <v>0</v>
      </c>
    </row>
    <row r="214" spans="2:3" hidden="1" x14ac:dyDescent="0.2">
      <c r="B214" s="110">
        <f t="shared" si="1"/>
        <v>2091</v>
      </c>
      <c r="C214" s="111">
        <f>[13]С2.5!$BX$11</f>
        <v>0</v>
      </c>
    </row>
    <row r="215" spans="2:3" hidden="1" x14ac:dyDescent="0.2">
      <c r="B215" s="110">
        <f t="shared" si="1"/>
        <v>2092</v>
      </c>
      <c r="C215" s="111">
        <f>[13]С2.5!$BY$11</f>
        <v>0</v>
      </c>
    </row>
    <row r="216" spans="2:3" hidden="1" x14ac:dyDescent="0.2">
      <c r="B216" s="110">
        <f t="shared" si="1"/>
        <v>2093</v>
      </c>
      <c r="C216" s="111">
        <f>[13]С2.5!$BZ$11</f>
        <v>0</v>
      </c>
    </row>
    <row r="217" spans="2:3" hidden="1" x14ac:dyDescent="0.2">
      <c r="B217" s="110">
        <f t="shared" si="1"/>
        <v>2094</v>
      </c>
      <c r="C217" s="111">
        <f>[13]С2.5!$CA$11</f>
        <v>0</v>
      </c>
    </row>
    <row r="218" spans="2:3" hidden="1" x14ac:dyDescent="0.2">
      <c r="B218" s="110">
        <f t="shared" si="1"/>
        <v>2095</v>
      </c>
      <c r="C218" s="111">
        <f>[13]С2.5!$CB$11</f>
        <v>0</v>
      </c>
    </row>
    <row r="219" spans="2:3" hidden="1" x14ac:dyDescent="0.2">
      <c r="B219" s="110">
        <f t="shared" si="1"/>
        <v>2096</v>
      </c>
      <c r="C219" s="111">
        <f>[13]С2.5!$CC$11</f>
        <v>0</v>
      </c>
    </row>
    <row r="220" spans="2:3" hidden="1" x14ac:dyDescent="0.2">
      <c r="B220" s="110">
        <f t="shared" si="1"/>
        <v>2097</v>
      </c>
      <c r="C220" s="111">
        <f>[13]С2.5!$CD$11</f>
        <v>0</v>
      </c>
    </row>
    <row r="221" spans="2:3" hidden="1" x14ac:dyDescent="0.2">
      <c r="B221" s="110">
        <f t="shared" si="1"/>
        <v>2098</v>
      </c>
      <c r="C221" s="111">
        <f>[13]С2.5!$CE$11</f>
        <v>0</v>
      </c>
    </row>
    <row r="222" spans="2:3" hidden="1" x14ac:dyDescent="0.2">
      <c r="B222" s="110">
        <f t="shared" si="1"/>
        <v>2099</v>
      </c>
      <c r="C222" s="111">
        <f>[13]С2.5!$CF$11</f>
        <v>0</v>
      </c>
    </row>
    <row r="223" spans="2:3" ht="13.5" hidden="1" thickBot="1" x14ac:dyDescent="0.25">
      <c r="B223" s="112">
        <f t="shared" si="1"/>
        <v>2100</v>
      </c>
      <c r="C223" s="113">
        <f>[13]С2.5!$CG$11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[14]И1!D13</f>
        <v>Субъект Российской Федерации</v>
      </c>
      <c r="C4" s="10" t="str">
        <f>[14]И1!E13</f>
        <v>Новосибирская область</v>
      </c>
    </row>
    <row r="5" spans="1:3" ht="46.9" customHeight="1" x14ac:dyDescent="0.2">
      <c r="A5" s="8"/>
      <c r="B5" s="9" t="str">
        <f>[14]И1!D14</f>
        <v>Тип муниципального образования (выберите из списка)</v>
      </c>
      <c r="C5" s="10" t="str">
        <f>[14]И1!E14</f>
        <v>поселок Октябрьский, Краснозерский муниципальный район</v>
      </c>
    </row>
    <row r="6" spans="1:3" ht="51" x14ac:dyDescent="0.2">
      <c r="A6" s="8"/>
      <c r="B6" s="9" t="str">
        <f>IF([14]И1!E15="","",[14]И1!D15)</f>
        <v/>
      </c>
      <c r="C6" s="10" t="str">
        <f>IF([14]И1!E15="","",[14]И1!E15)</f>
        <v>село Нижнечеремошное, Краснозерский муниципальный район</v>
      </c>
    </row>
    <row r="7" spans="1:3" x14ac:dyDescent="0.2">
      <c r="A7" s="8"/>
      <c r="B7" s="9" t="str">
        <f>[14]И1!D16</f>
        <v>Код ОКТМО</v>
      </c>
      <c r="C7" s="11" t="str">
        <f>[14]И1!E16</f>
        <v xml:space="preserve"> (50627428101)</v>
      </c>
    </row>
    <row r="8" spans="1:3" x14ac:dyDescent="0.2">
      <c r="A8" s="8"/>
      <c r="B8" s="12" t="str">
        <f>[14]И1!D17</f>
        <v>Система теплоснабжения</v>
      </c>
      <c r="C8" s="13">
        <f>[14]И1!E17</f>
        <v>0</v>
      </c>
    </row>
    <row r="9" spans="1:3" x14ac:dyDescent="0.2">
      <c r="A9" s="8"/>
      <c r="B9" s="9" t="str">
        <f>[14]И1!D8</f>
        <v>Период регулирования (i)-й</v>
      </c>
      <c r="C9" s="14">
        <f>[14]И1!E8</f>
        <v>2025</v>
      </c>
    </row>
    <row r="10" spans="1:3" x14ac:dyDescent="0.2">
      <c r="A10" s="8"/>
      <c r="B10" s="9" t="str">
        <f>[14]И1!D9</f>
        <v>Период регулирования (i-1)-й</v>
      </c>
      <c r="C10" s="14">
        <f>[14]И1!E9</f>
        <v>2024</v>
      </c>
    </row>
    <row r="11" spans="1:3" x14ac:dyDescent="0.2">
      <c r="A11" s="8"/>
      <c r="B11" s="9" t="str">
        <f>[14]И1!D10</f>
        <v>Период регулирования (i-2)-й</v>
      </c>
      <c r="C11" s="14">
        <f>[14]И1!E10</f>
        <v>2023</v>
      </c>
    </row>
    <row r="12" spans="1:3" x14ac:dyDescent="0.2">
      <c r="A12" s="8"/>
      <c r="B12" s="9" t="str">
        <f>[14]И1!D11</f>
        <v>Базовый год (б)</v>
      </c>
      <c r="C12" s="14">
        <f>[14]И1!E11</f>
        <v>2019</v>
      </c>
    </row>
    <row r="13" spans="1:3" ht="38.25" x14ac:dyDescent="0.2">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5745.2150078096029</v>
      </c>
    </row>
    <row r="18" spans="1:3" ht="42.75" x14ac:dyDescent="0.2">
      <c r="A18" s="22" t="s">
        <v>8</v>
      </c>
      <c r="B18" s="25" t="s">
        <v>9</v>
      </c>
      <c r="C18" s="26">
        <f>[14]С1!F12</f>
        <v>1143.7067430615548</v>
      </c>
    </row>
    <row r="19" spans="1:3" ht="42.75" x14ac:dyDescent="0.2">
      <c r="A19" s="22" t="s">
        <v>10</v>
      </c>
      <c r="B19" s="25" t="s">
        <v>11</v>
      </c>
      <c r="C19" s="26">
        <f>[14]С2!F12</f>
        <v>3044.8315746726421</v>
      </c>
    </row>
    <row r="20" spans="1:3" ht="30" x14ac:dyDescent="0.2">
      <c r="A20" s="22" t="s">
        <v>12</v>
      </c>
      <c r="B20" s="25" t="s">
        <v>13</v>
      </c>
      <c r="C20" s="26">
        <f>[14]С3!F12</f>
        <v>911.5178018038722</v>
      </c>
    </row>
    <row r="21" spans="1:3" ht="42.75" x14ac:dyDescent="0.2">
      <c r="A21" s="22" t="s">
        <v>14</v>
      </c>
      <c r="B21" s="25" t="s">
        <v>15</v>
      </c>
      <c r="C21" s="26">
        <f>[14]С4!F12</f>
        <v>532.50761360859974</v>
      </c>
    </row>
    <row r="22" spans="1:3" ht="30" x14ac:dyDescent="0.2">
      <c r="A22" s="22" t="s">
        <v>16</v>
      </c>
      <c r="B22" s="25" t="s">
        <v>17</v>
      </c>
      <c r="C22" s="26">
        <f>[14]С5!F12</f>
        <v>112.65127466293339</v>
      </c>
    </row>
    <row r="23" spans="1:3" ht="43.5" thickBot="1" x14ac:dyDescent="0.25">
      <c r="A23" s="27" t="s">
        <v>18</v>
      </c>
      <c r="B23" s="117" t="s">
        <v>19</v>
      </c>
      <c r="C23" s="28" t="str">
        <f>[14]С6!F12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[14]С1.1!E16</f>
        <v>5100</v>
      </c>
    </row>
    <row r="29" spans="1:3" ht="42.75" x14ac:dyDescent="0.2">
      <c r="A29" s="22" t="s">
        <v>10</v>
      </c>
      <c r="B29" s="33" t="s">
        <v>22</v>
      </c>
      <c r="C29" s="34">
        <f>[14]С1.1!E27</f>
        <v>4125.6416666666673</v>
      </c>
    </row>
    <row r="30" spans="1:3" ht="17.25" x14ac:dyDescent="0.2">
      <c r="A30" s="22" t="s">
        <v>12</v>
      </c>
      <c r="B30" s="33" t="s">
        <v>23</v>
      </c>
      <c r="C30" s="35">
        <f>[14]С1.1!E19</f>
        <v>1.4E-2</v>
      </c>
    </row>
    <row r="31" spans="1:3" ht="17.25" x14ac:dyDescent="0.2">
      <c r="A31" s="22" t="s">
        <v>14</v>
      </c>
      <c r="B31" s="33" t="s">
        <v>24</v>
      </c>
      <c r="C31" s="35">
        <f>[14]С1.1!E20</f>
        <v>0.04</v>
      </c>
    </row>
    <row r="32" spans="1:3" ht="30" x14ac:dyDescent="0.2">
      <c r="A32" s="22" t="s">
        <v>16</v>
      </c>
      <c r="B32" s="36" t="s">
        <v>25</v>
      </c>
      <c r="C32" s="37">
        <f>[14]С1!F13</f>
        <v>176.4</v>
      </c>
    </row>
    <row r="33" spans="1:3" x14ac:dyDescent="0.2">
      <c r="A33" s="22" t="s">
        <v>18</v>
      </c>
      <c r="B33" s="36" t="s">
        <v>26</v>
      </c>
      <c r="C33" s="38">
        <f>[14]С1!F16</f>
        <v>7000</v>
      </c>
    </row>
    <row r="34" spans="1:3" ht="14.25" x14ac:dyDescent="0.2">
      <c r="A34" s="22" t="s">
        <v>27</v>
      </c>
      <c r="B34" s="39" t="s">
        <v>28</v>
      </c>
      <c r="C34" s="40">
        <f>[14]С1!F17</f>
        <v>0.72857142857142854</v>
      </c>
    </row>
    <row r="35" spans="1:3" ht="15.75" x14ac:dyDescent="0.2">
      <c r="A35" s="41" t="s">
        <v>29</v>
      </c>
      <c r="B35" s="42" t="s">
        <v>30</v>
      </c>
      <c r="C35" s="40">
        <f>[14]С1!F20</f>
        <v>21.588411179999994</v>
      </c>
    </row>
    <row r="36" spans="1:3" ht="15.75" x14ac:dyDescent="0.2">
      <c r="A36" s="41" t="s">
        <v>31</v>
      </c>
      <c r="B36" s="43" t="s">
        <v>32</v>
      </c>
      <c r="C36" s="40">
        <f>[14]С1!F21</f>
        <v>20.818139999999996</v>
      </c>
    </row>
    <row r="37" spans="1:3" ht="14.25" x14ac:dyDescent="0.2">
      <c r="A37" s="41" t="s">
        <v>33</v>
      </c>
      <c r="B37" s="44" t="s">
        <v>34</v>
      </c>
      <c r="C37" s="40">
        <f>[14]С1!F22</f>
        <v>1.0369999999999999</v>
      </c>
    </row>
    <row r="38" spans="1:3" ht="53.25" thickBot="1" x14ac:dyDescent="0.25">
      <c r="A38" s="27" t="s">
        <v>35</v>
      </c>
      <c r="B38" s="45" t="s">
        <v>36</v>
      </c>
      <c r="C38" s="46">
        <f>[14]С1!F23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[14]С2.1!E12</f>
        <v>V</v>
      </c>
    </row>
    <row r="42" spans="1:3" ht="25.5" x14ac:dyDescent="0.2">
      <c r="A42" s="22" t="s">
        <v>41</v>
      </c>
      <c r="B42" s="33" t="s">
        <v>42</v>
      </c>
      <c r="C42" s="51" t="str">
        <f>[14]С2.1!E13</f>
        <v>6 и менее баллов</v>
      </c>
    </row>
    <row r="43" spans="1:3" ht="25.5" x14ac:dyDescent="0.2">
      <c r="A43" s="22" t="s">
        <v>43</v>
      </c>
      <c r="B43" s="33" t="s">
        <v>44</v>
      </c>
      <c r="C43" s="51" t="str">
        <f>[14]С2.1!E14</f>
        <v>от 200 до 500</v>
      </c>
    </row>
    <row r="44" spans="1:3" ht="25.5" x14ac:dyDescent="0.2">
      <c r="A44" s="22" t="s">
        <v>45</v>
      </c>
      <c r="B44" s="33" t="s">
        <v>46</v>
      </c>
      <c r="C44" s="52" t="str">
        <f>[14]С2.1!E15</f>
        <v>нет</v>
      </c>
    </row>
    <row r="45" spans="1:3" ht="30" x14ac:dyDescent="0.2">
      <c r="A45" s="22" t="s">
        <v>47</v>
      </c>
      <c r="B45" s="33" t="s">
        <v>48</v>
      </c>
      <c r="C45" s="34">
        <f>[14]С2!F18</f>
        <v>38910.02669467502</v>
      </c>
    </row>
    <row r="46" spans="1:3" ht="30" x14ac:dyDescent="0.2">
      <c r="A46" s="22" t="s">
        <v>49</v>
      </c>
      <c r="B46" s="53" t="s">
        <v>50</v>
      </c>
      <c r="C46" s="34">
        <f>IF([14]С2!F19&gt;0,[14]С2!F19,[14]С2!F20)</f>
        <v>23441.524932855718</v>
      </c>
    </row>
    <row r="47" spans="1:3" ht="25.5" x14ac:dyDescent="0.2">
      <c r="A47" s="22" t="s">
        <v>51</v>
      </c>
      <c r="B47" s="54" t="s">
        <v>52</v>
      </c>
      <c r="C47" s="34">
        <f>[14]С2.1!E19</f>
        <v>-38</v>
      </c>
    </row>
    <row r="48" spans="1:3" ht="25.5" x14ac:dyDescent="0.2">
      <c r="A48" s="22" t="s">
        <v>53</v>
      </c>
      <c r="B48" s="54" t="s">
        <v>54</v>
      </c>
      <c r="C48" s="34" t="str">
        <f>[14]С2.1!E22</f>
        <v>нет</v>
      </c>
    </row>
    <row r="49" spans="1:3" ht="38.25" x14ac:dyDescent="0.2">
      <c r="A49" s="22" t="s">
        <v>55</v>
      </c>
      <c r="B49" s="55" t="s">
        <v>56</v>
      </c>
      <c r="C49" s="34">
        <f>[14]С2.2!E10</f>
        <v>1287</v>
      </c>
    </row>
    <row r="50" spans="1:3" ht="25.5" x14ac:dyDescent="0.2">
      <c r="A50" s="22" t="s">
        <v>57</v>
      </c>
      <c r="B50" s="56" t="s">
        <v>58</v>
      </c>
      <c r="C50" s="34">
        <f>[14]С2.2!E12</f>
        <v>5.97</v>
      </c>
    </row>
    <row r="51" spans="1:3" ht="52.5" x14ac:dyDescent="0.2">
      <c r="A51" s="22" t="s">
        <v>59</v>
      </c>
      <c r="B51" s="57" t="s">
        <v>60</v>
      </c>
      <c r="C51" s="34">
        <f>[14]С2.2!E13</f>
        <v>1</v>
      </c>
    </row>
    <row r="52" spans="1:3" ht="27.75" x14ac:dyDescent="0.2">
      <c r="A52" s="22" t="s">
        <v>61</v>
      </c>
      <c r="B52" s="56" t="s">
        <v>62</v>
      </c>
      <c r="C52" s="34">
        <f>[14]С2.2!E14</f>
        <v>12104</v>
      </c>
    </row>
    <row r="53" spans="1:3" ht="25.5" x14ac:dyDescent="0.2">
      <c r="A53" s="22" t="s">
        <v>63</v>
      </c>
      <c r="B53" s="57" t="s">
        <v>64</v>
      </c>
      <c r="C53" s="35">
        <f>[14]С2.2!E15</f>
        <v>4.8000000000000001E-2</v>
      </c>
    </row>
    <row r="54" spans="1:3" x14ac:dyDescent="0.2">
      <c r="A54" s="22" t="s">
        <v>65</v>
      </c>
      <c r="B54" s="57" t="s">
        <v>66</v>
      </c>
      <c r="C54" s="34">
        <f>[14]С2.2!E16</f>
        <v>1</v>
      </c>
    </row>
    <row r="55" spans="1:3" ht="15.75" x14ac:dyDescent="0.2">
      <c r="A55" s="22" t="s">
        <v>67</v>
      </c>
      <c r="B55" s="58" t="s">
        <v>68</v>
      </c>
      <c r="C55" s="34">
        <f>[14]С2!F21</f>
        <v>1</v>
      </c>
    </row>
    <row r="56" spans="1:3" ht="30" x14ac:dyDescent="0.2">
      <c r="A56" s="59" t="s">
        <v>69</v>
      </c>
      <c r="B56" s="33" t="s">
        <v>70</v>
      </c>
      <c r="C56" s="34">
        <f>[14]С2!F13</f>
        <v>203708.97017230222</v>
      </c>
    </row>
    <row r="57" spans="1:3" ht="30" x14ac:dyDescent="0.2">
      <c r="A57" s="59" t="s">
        <v>71</v>
      </c>
      <c r="B57" s="58" t="s">
        <v>72</v>
      </c>
      <c r="C57" s="34">
        <f>[14]С2!F14</f>
        <v>113455</v>
      </c>
    </row>
    <row r="58" spans="1:3" ht="15.75" x14ac:dyDescent="0.2">
      <c r="A58" s="59" t="s">
        <v>73</v>
      </c>
      <c r="B58" s="60" t="s">
        <v>74</v>
      </c>
      <c r="C58" s="40">
        <f>[14]С2!F15</f>
        <v>1.071</v>
      </c>
    </row>
    <row r="59" spans="1:3" ht="15.75" x14ac:dyDescent="0.2">
      <c r="A59" s="59" t="s">
        <v>75</v>
      </c>
      <c r="B59" s="60" t="s">
        <v>76</v>
      </c>
      <c r="C59" s="40">
        <f>[14]С2!F16</f>
        <v>1</v>
      </c>
    </row>
    <row r="60" spans="1:3" ht="17.25" x14ac:dyDescent="0.2">
      <c r="A60" s="59" t="s">
        <v>77</v>
      </c>
      <c r="B60" s="58" t="s">
        <v>78</v>
      </c>
      <c r="C60" s="34">
        <f>[14]С2!F17</f>
        <v>1.01</v>
      </c>
    </row>
    <row r="61" spans="1:3" s="63" customFormat="1" ht="14.25" x14ac:dyDescent="0.2">
      <c r="A61" s="59" t="s">
        <v>79</v>
      </c>
      <c r="B61" s="61" t="s">
        <v>80</v>
      </c>
      <c r="C61" s="62">
        <f>[14]С2!F33</f>
        <v>10</v>
      </c>
    </row>
    <row r="62" spans="1:3" ht="30" x14ac:dyDescent="0.2">
      <c r="A62" s="59" t="s">
        <v>81</v>
      </c>
      <c r="B62" s="64" t="s">
        <v>82</v>
      </c>
      <c r="C62" s="34">
        <f>[14]С2!F26</f>
        <v>1349.309862285194</v>
      </c>
    </row>
    <row r="63" spans="1:3" ht="17.25" x14ac:dyDescent="0.2">
      <c r="A63" s="59" t="s">
        <v>83</v>
      </c>
      <c r="B63" s="53" t="s">
        <v>84</v>
      </c>
      <c r="C63" s="34">
        <f>[14]С2!F27</f>
        <v>0.19354712999999998</v>
      </c>
    </row>
    <row r="64" spans="1:3" ht="17.25" x14ac:dyDescent="0.2">
      <c r="A64" s="59" t="s">
        <v>85</v>
      </c>
      <c r="B64" s="58" t="s">
        <v>86</v>
      </c>
      <c r="C64" s="62">
        <f>[14]С2!F28</f>
        <v>4200</v>
      </c>
    </row>
    <row r="65" spans="1:3" ht="42.75" x14ac:dyDescent="0.2">
      <c r="A65" s="59" t="s">
        <v>87</v>
      </c>
      <c r="B65" s="33" t="s">
        <v>88</v>
      </c>
      <c r="C65" s="34">
        <f>[14]С2!F22</f>
        <v>42890.921752741691</v>
      </c>
    </row>
    <row r="66" spans="1:3" ht="30" x14ac:dyDescent="0.2">
      <c r="A66" s="59" t="s">
        <v>89</v>
      </c>
      <c r="B66" s="60" t="s">
        <v>90</v>
      </c>
      <c r="C66" s="34">
        <f>[14]С2!F23</f>
        <v>1990</v>
      </c>
    </row>
    <row r="67" spans="1:3" ht="30" x14ac:dyDescent="0.2">
      <c r="A67" s="59" t="s">
        <v>91</v>
      </c>
      <c r="B67" s="53" t="s">
        <v>92</v>
      </c>
      <c r="C67" s="34">
        <f>[14]С2.1!E27</f>
        <v>14307.876789999998</v>
      </c>
    </row>
    <row r="68" spans="1:3" ht="38.25" x14ac:dyDescent="0.2">
      <c r="A68" s="59" t="s">
        <v>93</v>
      </c>
      <c r="B68" s="65" t="s">
        <v>94</v>
      </c>
      <c r="C68" s="52">
        <f>[14]С2.3!E21</f>
        <v>0</v>
      </c>
    </row>
    <row r="69" spans="1:3" ht="25.5" x14ac:dyDescent="0.2">
      <c r="A69" s="59" t="s">
        <v>95</v>
      </c>
      <c r="B69" s="66" t="s">
        <v>96</v>
      </c>
      <c r="C69" s="67">
        <f>[14]С2.3!E11</f>
        <v>9.89</v>
      </c>
    </row>
    <row r="70" spans="1:3" ht="25.5" x14ac:dyDescent="0.2">
      <c r="A70" s="59" t="s">
        <v>97</v>
      </c>
      <c r="B70" s="66" t="s">
        <v>98</v>
      </c>
      <c r="C70" s="62">
        <f>[14]С2.3!E13</f>
        <v>300</v>
      </c>
    </row>
    <row r="71" spans="1:3" ht="25.5" x14ac:dyDescent="0.2">
      <c r="A71" s="59" t="s">
        <v>99</v>
      </c>
      <c r="B71" s="65" t="s">
        <v>100</v>
      </c>
      <c r="C71" s="68">
        <f>IF([14]С2.3!E22&gt;0,[14]С2.3!E22,[14]С2.3!E14)</f>
        <v>61211</v>
      </c>
    </row>
    <row r="72" spans="1:3" ht="38.25" x14ac:dyDescent="0.2">
      <c r="A72" s="59" t="s">
        <v>101</v>
      </c>
      <c r="B72" s="65" t="s">
        <v>102</v>
      </c>
      <c r="C72" s="68">
        <f>IF([14]С2.3!E23&gt;0,[14]С2.3!E23,[14]С2.3!E15)</f>
        <v>45675</v>
      </c>
    </row>
    <row r="73" spans="1:3" ht="30" x14ac:dyDescent="0.2">
      <c r="A73" s="59" t="s">
        <v>103</v>
      </c>
      <c r="B73" s="53" t="s">
        <v>104</v>
      </c>
      <c r="C73" s="34">
        <f>[14]С2.1!E28</f>
        <v>9541.9567200000001</v>
      </c>
    </row>
    <row r="74" spans="1:3" ht="38.25" x14ac:dyDescent="0.2">
      <c r="A74" s="59" t="s">
        <v>105</v>
      </c>
      <c r="B74" s="65" t="s">
        <v>106</v>
      </c>
      <c r="C74" s="52">
        <f>[14]С2.3!E25</f>
        <v>0</v>
      </c>
    </row>
    <row r="75" spans="1:3" ht="25.5" x14ac:dyDescent="0.2">
      <c r="A75" s="59" t="s">
        <v>107</v>
      </c>
      <c r="B75" s="66" t="s">
        <v>108</v>
      </c>
      <c r="C75" s="67">
        <f>[14]С2.3!E12</f>
        <v>0.56000000000000005</v>
      </c>
    </row>
    <row r="76" spans="1:3" ht="25.5" x14ac:dyDescent="0.2">
      <c r="A76" s="59" t="s">
        <v>109</v>
      </c>
      <c r="B76" s="66" t="s">
        <v>98</v>
      </c>
      <c r="C76" s="62">
        <f>[14]С2.3!E13</f>
        <v>300</v>
      </c>
    </row>
    <row r="77" spans="1:3" ht="25.5" x14ac:dyDescent="0.2">
      <c r="A77" s="59" t="s">
        <v>110</v>
      </c>
      <c r="B77" s="69" t="s">
        <v>111</v>
      </c>
      <c r="C77" s="68">
        <f>IF([14]С2.3!E26&gt;0,[14]С2.3!E26,[14]С2.3!E16)</f>
        <v>65637</v>
      </c>
    </row>
    <row r="78" spans="1:3" ht="38.25" x14ac:dyDescent="0.2">
      <c r="A78" s="59" t="s">
        <v>112</v>
      </c>
      <c r="B78" s="69" t="s">
        <v>113</v>
      </c>
      <c r="C78" s="68">
        <f>IF([14]С2.3!E27&gt;0,[14]С2.3!E27,[14]С2.3!E17)</f>
        <v>31684</v>
      </c>
    </row>
    <row r="79" spans="1:3" ht="17.25" x14ac:dyDescent="0.2">
      <c r="A79" s="59" t="s">
        <v>114</v>
      </c>
      <c r="B79" s="33" t="s">
        <v>115</v>
      </c>
      <c r="C79" s="35">
        <f>[14]С2!F29</f>
        <v>0.17804631770487722</v>
      </c>
    </row>
    <row r="80" spans="1:3" ht="30" x14ac:dyDescent="0.2">
      <c r="A80" s="59" t="s">
        <v>116</v>
      </c>
      <c r="B80" s="53" t="s">
        <v>117</v>
      </c>
      <c r="C80" s="70">
        <f>[14]С2!F30</f>
        <v>0.1652189781021898</v>
      </c>
    </row>
    <row r="81" spans="1:3" ht="17.25" x14ac:dyDescent="0.2">
      <c r="A81" s="59" t="s">
        <v>118</v>
      </c>
      <c r="B81" s="71" t="s">
        <v>119</v>
      </c>
      <c r="C81" s="35">
        <f>[14]С2!F31</f>
        <v>0.13880000000000001</v>
      </c>
    </row>
    <row r="82" spans="1:3" s="63" customFormat="1" ht="18" thickBot="1" x14ac:dyDescent="0.25">
      <c r="A82" s="72" t="s">
        <v>120</v>
      </c>
      <c r="B82" s="73" t="s">
        <v>121</v>
      </c>
      <c r="C82" s="74">
        <f>[14]С2!F32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[14]С3!F14</f>
        <v>14784.578474435859</v>
      </c>
    </row>
    <row r="86" spans="1:3" s="63" customFormat="1" ht="42.75" x14ac:dyDescent="0.2">
      <c r="A86" s="77" t="s">
        <v>126</v>
      </c>
      <c r="B86" s="53" t="s">
        <v>127</v>
      </c>
      <c r="C86" s="78">
        <f>[14]С3!F15</f>
        <v>0.25</v>
      </c>
    </row>
    <row r="87" spans="1:3" s="63" customFormat="1" ht="14.25" x14ac:dyDescent="0.2">
      <c r="A87" s="77" t="s">
        <v>128</v>
      </c>
      <c r="B87" s="79" t="s">
        <v>129</v>
      </c>
      <c r="C87" s="62">
        <f>[14]С3!F18</f>
        <v>15</v>
      </c>
    </row>
    <row r="88" spans="1:3" s="63" customFormat="1" ht="17.25" x14ac:dyDescent="0.2">
      <c r="A88" s="77" t="s">
        <v>130</v>
      </c>
      <c r="B88" s="33" t="s">
        <v>131</v>
      </c>
      <c r="C88" s="34">
        <f>[14]С3!F19</f>
        <v>4187.478806422544</v>
      </c>
    </row>
    <row r="89" spans="1:3" s="63" customFormat="1" ht="55.5" x14ac:dyDescent="0.2">
      <c r="A89" s="77" t="s">
        <v>132</v>
      </c>
      <c r="B89" s="53" t="s">
        <v>133</v>
      </c>
      <c r="C89" s="80">
        <f>[14]С3!F20</f>
        <v>2.1999999999999999E-2</v>
      </c>
    </row>
    <row r="90" spans="1:3" s="63" customFormat="1" ht="14.25" x14ac:dyDescent="0.2">
      <c r="A90" s="77" t="s">
        <v>134</v>
      </c>
      <c r="B90" s="58" t="s">
        <v>80</v>
      </c>
      <c r="C90" s="62">
        <f>[14]С3!F21</f>
        <v>10</v>
      </c>
    </row>
    <row r="91" spans="1:3" s="63" customFormat="1" ht="17.25" x14ac:dyDescent="0.2">
      <c r="A91" s="77" t="s">
        <v>135</v>
      </c>
      <c r="B91" s="33" t="s">
        <v>136</v>
      </c>
      <c r="C91" s="34">
        <f>[14]С3!F22</f>
        <v>4.0479295868555818</v>
      </c>
    </row>
    <row r="92" spans="1:3" s="63" customFormat="1" ht="55.5" x14ac:dyDescent="0.2">
      <c r="A92" s="77" t="s">
        <v>137</v>
      </c>
      <c r="B92" s="53" t="s">
        <v>138</v>
      </c>
      <c r="C92" s="80">
        <f>[14]С3!F23</f>
        <v>3.0000000000000001E-3</v>
      </c>
    </row>
    <row r="93" spans="1:3" s="63" customFormat="1" ht="27.75" thickBot="1" x14ac:dyDescent="0.25">
      <c r="A93" s="81" t="s">
        <v>139</v>
      </c>
      <c r="B93" s="82" t="s">
        <v>140</v>
      </c>
      <c r="C93" s="83">
        <f>[14]С3!F24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[14]С4!F16</f>
        <v>1652.5</v>
      </c>
    </row>
    <row r="97" spans="1:3" ht="30" x14ac:dyDescent="0.2">
      <c r="A97" s="59" t="s">
        <v>145</v>
      </c>
      <c r="B97" s="58" t="s">
        <v>146</v>
      </c>
      <c r="C97" s="34">
        <f>[14]С4!F17</f>
        <v>73547</v>
      </c>
    </row>
    <row r="98" spans="1:3" ht="17.25" x14ac:dyDescent="0.2">
      <c r="A98" s="59" t="s">
        <v>147</v>
      </c>
      <c r="B98" s="58" t="s">
        <v>148</v>
      </c>
      <c r="C98" s="40">
        <f>[14]С4!F18</f>
        <v>0.02</v>
      </c>
    </row>
    <row r="99" spans="1:3" ht="30" x14ac:dyDescent="0.2">
      <c r="A99" s="59" t="s">
        <v>149</v>
      </c>
      <c r="B99" s="58" t="s">
        <v>150</v>
      </c>
      <c r="C99" s="34">
        <f>[14]С4!F19</f>
        <v>12104</v>
      </c>
    </row>
    <row r="100" spans="1:3" ht="31.5" x14ac:dyDescent="0.2">
      <c r="A100" s="59" t="s">
        <v>151</v>
      </c>
      <c r="B100" s="58" t="s">
        <v>152</v>
      </c>
      <c r="C100" s="40">
        <f>[14]С4!F20</f>
        <v>1.4999999999999999E-2</v>
      </c>
    </row>
    <row r="101" spans="1:3" ht="30" x14ac:dyDescent="0.2">
      <c r="A101" s="59" t="s">
        <v>153</v>
      </c>
      <c r="B101" s="33" t="s">
        <v>154</v>
      </c>
      <c r="C101" s="34">
        <f>[14]С4!F21</f>
        <v>1933.1949342509995</v>
      </c>
    </row>
    <row r="102" spans="1:3" ht="24" customHeight="1" x14ac:dyDescent="0.2">
      <c r="A102" s="59" t="s">
        <v>155</v>
      </c>
      <c r="B102" s="53" t="s">
        <v>156</v>
      </c>
      <c r="C102" s="85">
        <f>IF([14]С4.2!F8="да",[14]С4.2!D21,[14]С4.2!D15)</f>
        <v>0</v>
      </c>
    </row>
    <row r="103" spans="1:3" ht="68.25" x14ac:dyDescent="0.2">
      <c r="A103" s="59" t="s">
        <v>157</v>
      </c>
      <c r="B103" s="53" t="s">
        <v>158</v>
      </c>
      <c r="C103" s="34">
        <f>[14]С4!F22</f>
        <v>3.6112641666666665</v>
      </c>
    </row>
    <row r="104" spans="1:3" ht="30" x14ac:dyDescent="0.2">
      <c r="A104" s="59" t="s">
        <v>159</v>
      </c>
      <c r="B104" s="58" t="s">
        <v>160</v>
      </c>
      <c r="C104" s="34">
        <f>[14]С4!F23</f>
        <v>180</v>
      </c>
    </row>
    <row r="105" spans="1:3" ht="14.25" x14ac:dyDescent="0.2">
      <c r="A105" s="59" t="s">
        <v>161</v>
      </c>
      <c r="B105" s="53" t="s">
        <v>162</v>
      </c>
      <c r="C105" s="34">
        <f>[14]С4!F24</f>
        <v>8497.1999999999989</v>
      </c>
    </row>
    <row r="106" spans="1:3" ht="14.25" x14ac:dyDescent="0.2">
      <c r="A106" s="59" t="s">
        <v>163</v>
      </c>
      <c r="B106" s="58" t="s">
        <v>164</v>
      </c>
      <c r="C106" s="40">
        <f>[14]С4!F25</f>
        <v>0.35</v>
      </c>
    </row>
    <row r="107" spans="1:3" ht="17.25" x14ac:dyDescent="0.2">
      <c r="A107" s="59" t="s">
        <v>165</v>
      </c>
      <c r="B107" s="33" t="s">
        <v>166</v>
      </c>
      <c r="C107" s="34">
        <f>[14]С4!F26</f>
        <v>65.28432500000001</v>
      </c>
    </row>
    <row r="108" spans="1:3" ht="25.5" x14ac:dyDescent="0.2">
      <c r="A108" s="59" t="s">
        <v>167</v>
      </c>
      <c r="B108" s="53" t="s">
        <v>94</v>
      </c>
      <c r="C108" s="85">
        <f>[14]С4.3!E16</f>
        <v>0</v>
      </c>
    </row>
    <row r="109" spans="1:3" ht="25.5" x14ac:dyDescent="0.2">
      <c r="A109" s="59" t="s">
        <v>168</v>
      </c>
      <c r="B109" s="53" t="s">
        <v>169</v>
      </c>
      <c r="C109" s="34">
        <f>[14]С4.3!E17</f>
        <v>17.241666666666667</v>
      </c>
    </row>
    <row r="110" spans="1:3" ht="38.25" x14ac:dyDescent="0.2">
      <c r="A110" s="59" t="s">
        <v>170</v>
      </c>
      <c r="B110" s="53" t="s">
        <v>106</v>
      </c>
      <c r="C110" s="85">
        <f>[14]С4.3!E18</f>
        <v>0</v>
      </c>
    </row>
    <row r="111" spans="1:3" x14ac:dyDescent="0.2">
      <c r="A111" s="59" t="s">
        <v>171</v>
      </c>
      <c r="B111" s="53" t="s">
        <v>172</v>
      </c>
      <c r="C111" s="34">
        <f>[14]С4.3!E19</f>
        <v>23.616666666666667</v>
      </c>
    </row>
    <row r="112" spans="1:3" x14ac:dyDescent="0.2">
      <c r="A112" s="59" t="s">
        <v>173</v>
      </c>
      <c r="B112" s="58" t="s">
        <v>174</v>
      </c>
      <c r="C112" s="34">
        <f>[14]С4.3!E11</f>
        <v>1871</v>
      </c>
    </row>
    <row r="113" spans="1:3" x14ac:dyDescent="0.2">
      <c r="A113" s="59" t="s">
        <v>175</v>
      </c>
      <c r="B113" s="58" t="s">
        <v>176</v>
      </c>
      <c r="C113" s="52">
        <f>[14]С4.3!E12</f>
        <v>1636</v>
      </c>
    </row>
    <row r="114" spans="1:3" x14ac:dyDescent="0.2">
      <c r="A114" s="59" t="s">
        <v>177</v>
      </c>
      <c r="B114" s="58" t="s">
        <v>178</v>
      </c>
      <c r="C114" s="52">
        <f>[14]С4.3!E13</f>
        <v>204</v>
      </c>
    </row>
    <row r="115" spans="1:3" ht="30" x14ac:dyDescent="0.2">
      <c r="A115" s="59" t="s">
        <v>179</v>
      </c>
      <c r="B115" s="33" t="s">
        <v>180</v>
      </c>
      <c r="C115" s="34">
        <f>[14]С4!F27</f>
        <v>1291.2863994686898</v>
      </c>
    </row>
    <row r="116" spans="1:3" ht="25.5" x14ac:dyDescent="0.2">
      <c r="A116" s="59" t="s">
        <v>181</v>
      </c>
      <c r="B116" s="53" t="s">
        <v>182</v>
      </c>
      <c r="C116" s="34">
        <f>[14]С4!F28</f>
        <v>991.77142816335618</v>
      </c>
    </row>
    <row r="117" spans="1:3" ht="42.75" x14ac:dyDescent="0.2">
      <c r="A117" s="59" t="s">
        <v>183</v>
      </c>
      <c r="B117" s="53" t="s">
        <v>184</v>
      </c>
      <c r="C117" s="34">
        <f>[14]С4!F29</f>
        <v>299.51497130533357</v>
      </c>
    </row>
    <row r="118" spans="1:3" ht="30" x14ac:dyDescent="0.2">
      <c r="A118" s="59" t="s">
        <v>185</v>
      </c>
      <c r="B118" s="39" t="s">
        <v>186</v>
      </c>
      <c r="C118" s="34">
        <f>[14]С4!F30</f>
        <v>2882.2694653255885</v>
      </c>
    </row>
    <row r="119" spans="1:3" ht="42.75" x14ac:dyDescent="0.2">
      <c r="A119" s="59" t="s">
        <v>187</v>
      </c>
      <c r="B119" s="86" t="s">
        <v>188</v>
      </c>
      <c r="C119" s="34">
        <f>[14]С4!F33</f>
        <v>1683.729977719963</v>
      </c>
    </row>
    <row r="120" spans="1:3" ht="30" x14ac:dyDescent="0.2">
      <c r="A120" s="59" t="s">
        <v>189</v>
      </c>
      <c r="B120" s="87" t="s">
        <v>190</v>
      </c>
      <c r="C120" s="34">
        <f>[14]С4!F35</f>
        <v>17.040680999999999</v>
      </c>
    </row>
    <row r="121" spans="1:3" ht="14.25" x14ac:dyDescent="0.2">
      <c r="A121" s="59" t="s">
        <v>191</v>
      </c>
      <c r="B121" s="56" t="s">
        <v>192</v>
      </c>
      <c r="C121" s="34">
        <f>[14]С4!F36</f>
        <v>14319.9</v>
      </c>
    </row>
    <row r="122" spans="1:3" ht="28.5" thickBot="1" x14ac:dyDescent="0.25">
      <c r="A122" s="72" t="s">
        <v>193</v>
      </c>
      <c r="B122" s="88" t="s">
        <v>194</v>
      </c>
      <c r="C122" s="83">
        <f>[14]С4!F37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[14]С5!F17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[14]С2!F37</f>
        <v>20.818139999999996</v>
      </c>
    </row>
    <row r="136" spans="1:3" ht="14.25" x14ac:dyDescent="0.2">
      <c r="A136" s="59" t="s">
        <v>216</v>
      </c>
      <c r="B136" s="101" t="s">
        <v>217</v>
      </c>
      <c r="C136" s="34">
        <f>[14]С2!F38</f>
        <v>7</v>
      </c>
    </row>
    <row r="137" spans="1:3" ht="17.25" x14ac:dyDescent="0.2">
      <c r="A137" s="59" t="s">
        <v>218</v>
      </c>
      <c r="B137" s="101" t="s">
        <v>219</v>
      </c>
      <c r="C137" s="34">
        <f>[14]С2!F40</f>
        <v>0.97</v>
      </c>
    </row>
    <row r="138" spans="1:3" ht="15" thickBot="1" x14ac:dyDescent="0.25">
      <c r="A138" s="72" t="s">
        <v>220</v>
      </c>
      <c r="B138" s="102" t="s">
        <v>221</v>
      </c>
      <c r="C138" s="46">
        <f>[14]С2!F42</f>
        <v>0.35</v>
      </c>
    </row>
    <row r="139" spans="1:3" s="89" customFormat="1" ht="13.5" thickBot="1" x14ac:dyDescent="0.25">
      <c r="A139" s="47"/>
      <c r="B139" s="75"/>
      <c r="C139" s="15"/>
    </row>
    <row r="140" spans="1:3" ht="30" x14ac:dyDescent="0.2">
      <c r="A140" s="84" t="s">
        <v>222</v>
      </c>
      <c r="B140" s="103" t="s">
        <v>223</v>
      </c>
      <c r="C140" s="104">
        <f>[14]С2!F35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[14]С2.5!$E$11</f>
        <v>-2.9000000000000026E-2</v>
      </c>
    </row>
    <row r="144" spans="1:3" x14ac:dyDescent="0.2">
      <c r="A144" s="105"/>
      <c r="B144" s="110">
        <f>B143+1</f>
        <v>2021</v>
      </c>
      <c r="C144" s="111">
        <f>[14]С2.5!$F$11</f>
        <v>0.245</v>
      </c>
    </row>
    <row r="145" spans="1:3" x14ac:dyDescent="0.2">
      <c r="A145" s="105"/>
      <c r="B145" s="110">
        <f t="shared" ref="B145:B208" si="0">B144+1</f>
        <v>2022</v>
      </c>
      <c r="C145" s="111">
        <f>[14]С2.5!$G$11</f>
        <v>0.114</v>
      </c>
    </row>
    <row r="146" spans="1:3" ht="13.5" thickBot="1" x14ac:dyDescent="0.25">
      <c r="A146" s="105"/>
      <c r="B146" s="112">
        <f t="shared" si="0"/>
        <v>2023</v>
      </c>
      <c r="C146" s="113">
        <f>[14]С2.5!$H$11</f>
        <v>0.04</v>
      </c>
    </row>
    <row r="147" spans="1:3" x14ac:dyDescent="0.2">
      <c r="A147" s="105"/>
      <c r="B147" s="114">
        <f t="shared" si="0"/>
        <v>2024</v>
      </c>
      <c r="C147" s="115">
        <f>[14]С2.5!$I$11</f>
        <v>0.11700000000000001</v>
      </c>
    </row>
    <row r="148" spans="1:3" x14ac:dyDescent="0.2">
      <c r="A148" s="105"/>
      <c r="B148" s="110">
        <f t="shared" si="0"/>
        <v>2025</v>
      </c>
      <c r="C148" s="111">
        <f>[14]С2.5!$J$11</f>
        <v>6.0999999999999999E-2</v>
      </c>
    </row>
    <row r="149" spans="1:3" hidden="1" x14ac:dyDescent="0.2">
      <c r="A149" s="105"/>
      <c r="B149" s="110">
        <f t="shared" si="0"/>
        <v>2026</v>
      </c>
      <c r="C149" s="111">
        <f>[14]С2.5!$K$11</f>
        <v>3.5813361771260002E-2</v>
      </c>
    </row>
    <row r="150" spans="1:3" hidden="1" x14ac:dyDescent="0.2">
      <c r="A150" s="105"/>
      <c r="B150" s="110">
        <f t="shared" si="0"/>
        <v>2027</v>
      </c>
      <c r="C150" s="111">
        <f>[14]С2.5!$L$11</f>
        <v>3.2682303599220003E-2</v>
      </c>
    </row>
    <row r="151" spans="1:3" hidden="1" x14ac:dyDescent="0.2">
      <c r="A151" s="105"/>
      <c r="B151" s="110">
        <f t="shared" si="0"/>
        <v>2028</v>
      </c>
      <c r="C151" s="111">
        <f>[14]С2.5!$M$11</f>
        <v>0</v>
      </c>
    </row>
    <row r="152" spans="1:3" hidden="1" x14ac:dyDescent="0.2">
      <c r="A152" s="105"/>
      <c r="B152" s="110">
        <f t="shared" si="0"/>
        <v>2029</v>
      </c>
      <c r="C152" s="111">
        <f>[14]С2.5!$N$11</f>
        <v>0</v>
      </c>
    </row>
    <row r="153" spans="1:3" hidden="1" x14ac:dyDescent="0.2">
      <c r="A153" s="105"/>
      <c r="B153" s="110">
        <f t="shared" si="0"/>
        <v>2030</v>
      </c>
      <c r="C153" s="111">
        <f>[14]С2.5!$O$11</f>
        <v>0</v>
      </c>
    </row>
    <row r="154" spans="1:3" hidden="1" x14ac:dyDescent="0.2">
      <c r="A154" s="105"/>
      <c r="B154" s="110">
        <f t="shared" si="0"/>
        <v>2031</v>
      </c>
      <c r="C154" s="111">
        <f>[14]С2.5!$P$11</f>
        <v>0</v>
      </c>
    </row>
    <row r="155" spans="1:3" hidden="1" x14ac:dyDescent="0.2">
      <c r="A155" s="89"/>
      <c r="B155" s="110">
        <f t="shared" si="0"/>
        <v>2032</v>
      </c>
      <c r="C155" s="111">
        <f>[14]С2.5!$Q$11</f>
        <v>0</v>
      </c>
    </row>
    <row r="156" spans="1:3" hidden="1" x14ac:dyDescent="0.2">
      <c r="A156" s="89"/>
      <c r="B156" s="110">
        <f t="shared" si="0"/>
        <v>2033</v>
      </c>
      <c r="C156" s="111">
        <f>[14]С2.5!$R$11</f>
        <v>0</v>
      </c>
    </row>
    <row r="157" spans="1:3" hidden="1" x14ac:dyDescent="0.2">
      <c r="B157" s="110">
        <f t="shared" si="0"/>
        <v>2034</v>
      </c>
      <c r="C157" s="111">
        <f>[14]С2.5!$S$11</f>
        <v>0</v>
      </c>
    </row>
    <row r="158" spans="1:3" hidden="1" x14ac:dyDescent="0.2">
      <c r="B158" s="110">
        <f t="shared" si="0"/>
        <v>2035</v>
      </c>
      <c r="C158" s="111">
        <f>[14]С2.5!$T$11</f>
        <v>0</v>
      </c>
    </row>
    <row r="159" spans="1:3" hidden="1" x14ac:dyDescent="0.2">
      <c r="B159" s="110">
        <f t="shared" si="0"/>
        <v>2036</v>
      </c>
      <c r="C159" s="111">
        <f>[14]С2.5!$U$11</f>
        <v>0</v>
      </c>
    </row>
    <row r="160" spans="1:3" hidden="1" x14ac:dyDescent="0.2">
      <c r="B160" s="110">
        <f t="shared" si="0"/>
        <v>2037</v>
      </c>
      <c r="C160" s="111">
        <f>[14]С2.5!$V$11</f>
        <v>0</v>
      </c>
    </row>
    <row r="161" spans="2:3" hidden="1" x14ac:dyDescent="0.2">
      <c r="B161" s="110">
        <f t="shared" si="0"/>
        <v>2038</v>
      </c>
      <c r="C161" s="111">
        <f>[14]С2.5!$W$11</f>
        <v>0</v>
      </c>
    </row>
    <row r="162" spans="2:3" hidden="1" x14ac:dyDescent="0.2">
      <c r="B162" s="110">
        <f t="shared" si="0"/>
        <v>2039</v>
      </c>
      <c r="C162" s="111">
        <f>[14]С2.5!$X$11</f>
        <v>0</v>
      </c>
    </row>
    <row r="163" spans="2:3" hidden="1" x14ac:dyDescent="0.2">
      <c r="B163" s="110">
        <f t="shared" si="0"/>
        <v>2040</v>
      </c>
      <c r="C163" s="111">
        <f>[14]С2.5!$Y$11</f>
        <v>0</v>
      </c>
    </row>
    <row r="164" spans="2:3" hidden="1" x14ac:dyDescent="0.2">
      <c r="B164" s="110">
        <f t="shared" si="0"/>
        <v>2041</v>
      </c>
      <c r="C164" s="111">
        <f>[14]С2.5!$Z$11</f>
        <v>0</v>
      </c>
    </row>
    <row r="165" spans="2:3" hidden="1" x14ac:dyDescent="0.2">
      <c r="B165" s="110">
        <f t="shared" si="0"/>
        <v>2042</v>
      </c>
      <c r="C165" s="111">
        <f>[14]С2.5!$AA$11</f>
        <v>0</v>
      </c>
    </row>
    <row r="166" spans="2:3" hidden="1" x14ac:dyDescent="0.2">
      <c r="B166" s="110">
        <f t="shared" si="0"/>
        <v>2043</v>
      </c>
      <c r="C166" s="111">
        <f>[14]С2.5!$AB$11</f>
        <v>0</v>
      </c>
    </row>
    <row r="167" spans="2:3" hidden="1" x14ac:dyDescent="0.2">
      <c r="B167" s="110">
        <f t="shared" si="0"/>
        <v>2044</v>
      </c>
      <c r="C167" s="111">
        <f>[14]С2.5!$AC$11</f>
        <v>0</v>
      </c>
    </row>
    <row r="168" spans="2:3" hidden="1" x14ac:dyDescent="0.2">
      <c r="B168" s="110">
        <f t="shared" si="0"/>
        <v>2045</v>
      </c>
      <c r="C168" s="111">
        <f>[14]С2.5!$AD$11</f>
        <v>0</v>
      </c>
    </row>
    <row r="169" spans="2:3" hidden="1" x14ac:dyDescent="0.2">
      <c r="B169" s="110">
        <f t="shared" si="0"/>
        <v>2046</v>
      </c>
      <c r="C169" s="111">
        <f>[14]С2.5!$AE$11</f>
        <v>0</v>
      </c>
    </row>
    <row r="170" spans="2:3" hidden="1" x14ac:dyDescent="0.2">
      <c r="B170" s="110">
        <f t="shared" si="0"/>
        <v>2047</v>
      </c>
      <c r="C170" s="111">
        <f>[14]С2.5!$AF$11</f>
        <v>0</v>
      </c>
    </row>
    <row r="171" spans="2:3" hidden="1" x14ac:dyDescent="0.2">
      <c r="B171" s="110">
        <f t="shared" si="0"/>
        <v>2048</v>
      </c>
      <c r="C171" s="111">
        <f>[14]С2.5!$AG$11</f>
        <v>0</v>
      </c>
    </row>
    <row r="172" spans="2:3" hidden="1" x14ac:dyDescent="0.2">
      <c r="B172" s="110">
        <f t="shared" si="0"/>
        <v>2049</v>
      </c>
      <c r="C172" s="111">
        <f>[14]С2.5!$AH$11</f>
        <v>0</v>
      </c>
    </row>
    <row r="173" spans="2:3" hidden="1" x14ac:dyDescent="0.2">
      <c r="B173" s="110">
        <f t="shared" si="0"/>
        <v>2050</v>
      </c>
      <c r="C173" s="111">
        <f>[14]С2.5!$AI$11</f>
        <v>0</v>
      </c>
    </row>
    <row r="174" spans="2:3" hidden="1" x14ac:dyDescent="0.2">
      <c r="B174" s="110">
        <f t="shared" si="0"/>
        <v>2051</v>
      </c>
      <c r="C174" s="111">
        <f>[14]С2.5!$AJ$11</f>
        <v>0</v>
      </c>
    </row>
    <row r="175" spans="2:3" hidden="1" x14ac:dyDescent="0.2">
      <c r="B175" s="110">
        <f t="shared" si="0"/>
        <v>2052</v>
      </c>
      <c r="C175" s="111">
        <f>[14]С2.5!$AK$11</f>
        <v>0</v>
      </c>
    </row>
    <row r="176" spans="2:3" hidden="1" x14ac:dyDescent="0.2">
      <c r="B176" s="110">
        <f t="shared" si="0"/>
        <v>2053</v>
      </c>
      <c r="C176" s="111">
        <f>[14]С2.5!$AL$11</f>
        <v>0</v>
      </c>
    </row>
    <row r="177" spans="2:3" hidden="1" x14ac:dyDescent="0.2">
      <c r="B177" s="110">
        <f t="shared" si="0"/>
        <v>2054</v>
      </c>
      <c r="C177" s="111">
        <f>[14]С2.5!$AM$11</f>
        <v>0</v>
      </c>
    </row>
    <row r="178" spans="2:3" hidden="1" x14ac:dyDescent="0.2">
      <c r="B178" s="110">
        <f t="shared" si="0"/>
        <v>2055</v>
      </c>
      <c r="C178" s="111">
        <f>[14]С2.5!$AN$11</f>
        <v>0</v>
      </c>
    </row>
    <row r="179" spans="2:3" hidden="1" x14ac:dyDescent="0.2">
      <c r="B179" s="110">
        <f t="shared" si="0"/>
        <v>2056</v>
      </c>
      <c r="C179" s="111">
        <f>[14]С2.5!$AO$11</f>
        <v>0</v>
      </c>
    </row>
    <row r="180" spans="2:3" hidden="1" x14ac:dyDescent="0.2">
      <c r="B180" s="110">
        <f t="shared" si="0"/>
        <v>2057</v>
      </c>
      <c r="C180" s="111">
        <f>[14]С2.5!$AP$11</f>
        <v>0</v>
      </c>
    </row>
    <row r="181" spans="2:3" hidden="1" x14ac:dyDescent="0.2">
      <c r="B181" s="110">
        <f t="shared" si="0"/>
        <v>2058</v>
      </c>
      <c r="C181" s="111">
        <f>[14]С2.5!$AQ$11</f>
        <v>0</v>
      </c>
    </row>
    <row r="182" spans="2:3" hidden="1" x14ac:dyDescent="0.2">
      <c r="B182" s="110">
        <f t="shared" si="0"/>
        <v>2059</v>
      </c>
      <c r="C182" s="111">
        <f>[14]С2.5!$AR$11</f>
        <v>0</v>
      </c>
    </row>
    <row r="183" spans="2:3" hidden="1" x14ac:dyDescent="0.2">
      <c r="B183" s="110">
        <f t="shared" si="0"/>
        <v>2060</v>
      </c>
      <c r="C183" s="111">
        <f>[14]С2.5!$AS$11</f>
        <v>0</v>
      </c>
    </row>
    <row r="184" spans="2:3" hidden="1" x14ac:dyDescent="0.2">
      <c r="B184" s="110">
        <f t="shared" si="0"/>
        <v>2061</v>
      </c>
      <c r="C184" s="111">
        <f>[14]С2.5!$AT$11</f>
        <v>0</v>
      </c>
    </row>
    <row r="185" spans="2:3" hidden="1" x14ac:dyDescent="0.2">
      <c r="B185" s="110">
        <f t="shared" si="0"/>
        <v>2062</v>
      </c>
      <c r="C185" s="111">
        <f>[14]С2.5!$AU$11</f>
        <v>0</v>
      </c>
    </row>
    <row r="186" spans="2:3" hidden="1" x14ac:dyDescent="0.2">
      <c r="B186" s="110">
        <f t="shared" si="0"/>
        <v>2063</v>
      </c>
      <c r="C186" s="111">
        <f>[14]С2.5!$AV$11</f>
        <v>0</v>
      </c>
    </row>
    <row r="187" spans="2:3" hidden="1" x14ac:dyDescent="0.2">
      <c r="B187" s="110">
        <f t="shared" si="0"/>
        <v>2064</v>
      </c>
      <c r="C187" s="111">
        <f>[14]С2.5!$AW$11</f>
        <v>0</v>
      </c>
    </row>
    <row r="188" spans="2:3" hidden="1" x14ac:dyDescent="0.2">
      <c r="B188" s="110">
        <f t="shared" si="0"/>
        <v>2065</v>
      </c>
      <c r="C188" s="111">
        <f>[14]С2.5!$AX$11</f>
        <v>0</v>
      </c>
    </row>
    <row r="189" spans="2:3" hidden="1" x14ac:dyDescent="0.2">
      <c r="B189" s="110">
        <f t="shared" si="0"/>
        <v>2066</v>
      </c>
      <c r="C189" s="111">
        <f>[14]С2.5!$AY$11</f>
        <v>0</v>
      </c>
    </row>
    <row r="190" spans="2:3" hidden="1" x14ac:dyDescent="0.2">
      <c r="B190" s="110">
        <f t="shared" si="0"/>
        <v>2067</v>
      </c>
      <c r="C190" s="111">
        <f>[14]С2.5!$AZ$11</f>
        <v>0</v>
      </c>
    </row>
    <row r="191" spans="2:3" hidden="1" x14ac:dyDescent="0.2">
      <c r="B191" s="110">
        <f t="shared" si="0"/>
        <v>2068</v>
      </c>
      <c r="C191" s="111">
        <f>[14]С2.5!$BA$11</f>
        <v>0</v>
      </c>
    </row>
    <row r="192" spans="2:3" hidden="1" x14ac:dyDescent="0.2">
      <c r="B192" s="110">
        <f t="shared" si="0"/>
        <v>2069</v>
      </c>
      <c r="C192" s="111">
        <f>[14]С2.5!$BB$11</f>
        <v>0</v>
      </c>
    </row>
    <row r="193" spans="2:3" hidden="1" x14ac:dyDescent="0.2">
      <c r="B193" s="110">
        <f t="shared" si="0"/>
        <v>2070</v>
      </c>
      <c r="C193" s="111">
        <f>[14]С2.5!$BC$11</f>
        <v>0</v>
      </c>
    </row>
    <row r="194" spans="2:3" hidden="1" x14ac:dyDescent="0.2">
      <c r="B194" s="110">
        <f t="shared" si="0"/>
        <v>2071</v>
      </c>
      <c r="C194" s="111">
        <f>[14]С2.5!$BD$11</f>
        <v>0</v>
      </c>
    </row>
    <row r="195" spans="2:3" hidden="1" x14ac:dyDescent="0.2">
      <c r="B195" s="110">
        <f t="shared" si="0"/>
        <v>2072</v>
      </c>
      <c r="C195" s="111">
        <f>[14]С2.5!$BE$11</f>
        <v>0</v>
      </c>
    </row>
    <row r="196" spans="2:3" hidden="1" x14ac:dyDescent="0.2">
      <c r="B196" s="110">
        <f t="shared" si="0"/>
        <v>2073</v>
      </c>
      <c r="C196" s="111">
        <f>[14]С2.5!$BF$11</f>
        <v>0</v>
      </c>
    </row>
    <row r="197" spans="2:3" hidden="1" x14ac:dyDescent="0.2">
      <c r="B197" s="110">
        <f t="shared" si="0"/>
        <v>2074</v>
      </c>
      <c r="C197" s="111">
        <f>[14]С2.5!$BG$11</f>
        <v>0</v>
      </c>
    </row>
    <row r="198" spans="2:3" hidden="1" x14ac:dyDescent="0.2">
      <c r="B198" s="110">
        <f t="shared" si="0"/>
        <v>2075</v>
      </c>
      <c r="C198" s="111">
        <f>[14]С2.5!$BH$11</f>
        <v>0</v>
      </c>
    </row>
    <row r="199" spans="2:3" hidden="1" x14ac:dyDescent="0.2">
      <c r="B199" s="110">
        <f t="shared" si="0"/>
        <v>2076</v>
      </c>
      <c r="C199" s="111">
        <f>[14]С2.5!$BI$11</f>
        <v>0</v>
      </c>
    </row>
    <row r="200" spans="2:3" hidden="1" x14ac:dyDescent="0.2">
      <c r="B200" s="110">
        <f t="shared" si="0"/>
        <v>2077</v>
      </c>
      <c r="C200" s="111">
        <f>[14]С2.5!$BJ$11</f>
        <v>0</v>
      </c>
    </row>
    <row r="201" spans="2:3" hidden="1" x14ac:dyDescent="0.2">
      <c r="B201" s="110">
        <f t="shared" si="0"/>
        <v>2078</v>
      </c>
      <c r="C201" s="111">
        <f>[14]С2.5!$BK$11</f>
        <v>0</v>
      </c>
    </row>
    <row r="202" spans="2:3" hidden="1" x14ac:dyDescent="0.2">
      <c r="B202" s="110">
        <f t="shared" si="0"/>
        <v>2079</v>
      </c>
      <c r="C202" s="111">
        <f>[14]С2.5!$BL$11</f>
        <v>0</v>
      </c>
    </row>
    <row r="203" spans="2:3" hidden="1" x14ac:dyDescent="0.2">
      <c r="B203" s="110">
        <f t="shared" si="0"/>
        <v>2080</v>
      </c>
      <c r="C203" s="111">
        <f>[14]С2.5!$BM$11</f>
        <v>0</v>
      </c>
    </row>
    <row r="204" spans="2:3" hidden="1" x14ac:dyDescent="0.2">
      <c r="B204" s="110">
        <f t="shared" si="0"/>
        <v>2081</v>
      </c>
      <c r="C204" s="111">
        <f>[14]С2.5!$BN$11</f>
        <v>0</v>
      </c>
    </row>
    <row r="205" spans="2:3" hidden="1" x14ac:dyDescent="0.2">
      <c r="B205" s="110">
        <f t="shared" si="0"/>
        <v>2082</v>
      </c>
      <c r="C205" s="111">
        <f>[14]С2.5!$BO$11</f>
        <v>0</v>
      </c>
    </row>
    <row r="206" spans="2:3" hidden="1" x14ac:dyDescent="0.2">
      <c r="B206" s="110">
        <f t="shared" si="0"/>
        <v>2083</v>
      </c>
      <c r="C206" s="111">
        <f>[14]С2.5!$BP$11</f>
        <v>0</v>
      </c>
    </row>
    <row r="207" spans="2:3" hidden="1" x14ac:dyDescent="0.2">
      <c r="B207" s="110">
        <f t="shared" si="0"/>
        <v>2084</v>
      </c>
      <c r="C207" s="111">
        <f>[14]С2.5!$BQ$11</f>
        <v>0</v>
      </c>
    </row>
    <row r="208" spans="2:3" hidden="1" x14ac:dyDescent="0.2">
      <c r="B208" s="110">
        <f t="shared" si="0"/>
        <v>2085</v>
      </c>
      <c r="C208" s="111">
        <f>[14]С2.5!$BR$11</f>
        <v>0</v>
      </c>
    </row>
    <row r="209" spans="2:3" hidden="1" x14ac:dyDescent="0.2">
      <c r="B209" s="110">
        <f t="shared" ref="B209:B223" si="1">B208+1</f>
        <v>2086</v>
      </c>
      <c r="C209" s="111">
        <f>[14]С2.5!$BS$11</f>
        <v>0</v>
      </c>
    </row>
    <row r="210" spans="2:3" hidden="1" x14ac:dyDescent="0.2">
      <c r="B210" s="110">
        <f t="shared" si="1"/>
        <v>2087</v>
      </c>
      <c r="C210" s="111">
        <f>[14]С2.5!$BT$11</f>
        <v>0</v>
      </c>
    </row>
    <row r="211" spans="2:3" hidden="1" x14ac:dyDescent="0.2">
      <c r="B211" s="110">
        <f t="shared" si="1"/>
        <v>2088</v>
      </c>
      <c r="C211" s="111">
        <f>[14]С2.5!$BU$11</f>
        <v>0</v>
      </c>
    </row>
    <row r="212" spans="2:3" hidden="1" x14ac:dyDescent="0.2">
      <c r="B212" s="110">
        <f t="shared" si="1"/>
        <v>2089</v>
      </c>
      <c r="C212" s="111">
        <f>[14]С2.5!$BV$11</f>
        <v>0</v>
      </c>
    </row>
    <row r="213" spans="2:3" hidden="1" x14ac:dyDescent="0.2">
      <c r="B213" s="110">
        <f t="shared" si="1"/>
        <v>2090</v>
      </c>
      <c r="C213" s="111">
        <f>[14]С2.5!$BW$11</f>
        <v>0</v>
      </c>
    </row>
    <row r="214" spans="2:3" hidden="1" x14ac:dyDescent="0.2">
      <c r="B214" s="110">
        <f t="shared" si="1"/>
        <v>2091</v>
      </c>
      <c r="C214" s="111">
        <f>[14]С2.5!$BX$11</f>
        <v>0</v>
      </c>
    </row>
    <row r="215" spans="2:3" hidden="1" x14ac:dyDescent="0.2">
      <c r="B215" s="110">
        <f t="shared" si="1"/>
        <v>2092</v>
      </c>
      <c r="C215" s="111">
        <f>[14]С2.5!$BY$11</f>
        <v>0</v>
      </c>
    </row>
    <row r="216" spans="2:3" hidden="1" x14ac:dyDescent="0.2">
      <c r="B216" s="110">
        <f t="shared" si="1"/>
        <v>2093</v>
      </c>
      <c r="C216" s="111">
        <f>[14]С2.5!$BZ$11</f>
        <v>0</v>
      </c>
    </row>
    <row r="217" spans="2:3" hidden="1" x14ac:dyDescent="0.2">
      <c r="B217" s="110">
        <f t="shared" si="1"/>
        <v>2094</v>
      </c>
      <c r="C217" s="111">
        <f>[14]С2.5!$CA$11</f>
        <v>0</v>
      </c>
    </row>
    <row r="218" spans="2:3" hidden="1" x14ac:dyDescent="0.2">
      <c r="B218" s="110">
        <f t="shared" si="1"/>
        <v>2095</v>
      </c>
      <c r="C218" s="111">
        <f>[14]С2.5!$CB$11</f>
        <v>0</v>
      </c>
    </row>
    <row r="219" spans="2:3" hidden="1" x14ac:dyDescent="0.2">
      <c r="B219" s="110">
        <f t="shared" si="1"/>
        <v>2096</v>
      </c>
      <c r="C219" s="111">
        <f>[14]С2.5!$CC$11</f>
        <v>0</v>
      </c>
    </row>
    <row r="220" spans="2:3" hidden="1" x14ac:dyDescent="0.2">
      <c r="B220" s="110">
        <f t="shared" si="1"/>
        <v>2097</v>
      </c>
      <c r="C220" s="111">
        <f>[14]С2.5!$CD$11</f>
        <v>0</v>
      </c>
    </row>
    <row r="221" spans="2:3" hidden="1" x14ac:dyDescent="0.2">
      <c r="B221" s="110">
        <f t="shared" si="1"/>
        <v>2098</v>
      </c>
      <c r="C221" s="111">
        <f>[14]С2.5!$CE$11</f>
        <v>0</v>
      </c>
    </row>
    <row r="222" spans="2:3" hidden="1" x14ac:dyDescent="0.2">
      <c r="B222" s="110">
        <f t="shared" si="1"/>
        <v>2099</v>
      </c>
      <c r="C222" s="111">
        <f>[14]С2.5!$CF$11</f>
        <v>0</v>
      </c>
    </row>
    <row r="223" spans="2:3" ht="13.5" hidden="1" thickBot="1" x14ac:dyDescent="0.25">
      <c r="B223" s="112">
        <f t="shared" si="1"/>
        <v>2100</v>
      </c>
      <c r="C223" s="113">
        <f>[14]С2.5!$CG$11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[15]И1!D13</f>
        <v>Субъект Российской Федерации</v>
      </c>
      <c r="C4" s="10" t="str">
        <f>[15]И1!E13</f>
        <v>Новосибирская область</v>
      </c>
    </row>
    <row r="5" spans="1:3" ht="46.9" customHeight="1" x14ac:dyDescent="0.2">
      <c r="A5" s="8"/>
      <c r="B5" s="9" t="str">
        <f>[15]И1!D14</f>
        <v>Тип муниципального образования (выберите из списка)</v>
      </c>
      <c r="C5" s="10" t="str">
        <f>[15]И1!E14</f>
        <v>село Орехов Лог, Краснозерский муниципальный район</v>
      </c>
    </row>
    <row r="6" spans="1:3" ht="51" x14ac:dyDescent="0.2">
      <c r="A6" s="8"/>
      <c r="B6" s="9" t="str">
        <f>IF([15]И1!E15="","",[15]И1!D15)</f>
        <v/>
      </c>
      <c r="C6" s="10" t="str">
        <f>IF([15]И1!E15="","",[15]И1!E15)</f>
        <v>село Нижнечеремошное, Краснозерский муниципальный район</v>
      </c>
    </row>
    <row r="7" spans="1:3" x14ac:dyDescent="0.2">
      <c r="A7" s="8"/>
      <c r="B7" s="9" t="str">
        <f>[15]И1!D16</f>
        <v>Код ОКТМО</v>
      </c>
      <c r="C7" s="11" t="str">
        <f>[15]И1!E16</f>
        <v xml:space="preserve"> (50627434101)</v>
      </c>
    </row>
    <row r="8" spans="1:3" x14ac:dyDescent="0.2">
      <c r="A8" s="8"/>
      <c r="B8" s="12" t="str">
        <f>[15]И1!D17</f>
        <v>Система теплоснабжения</v>
      </c>
      <c r="C8" s="13">
        <f>[15]И1!E17</f>
        <v>0</v>
      </c>
    </row>
    <row r="9" spans="1:3" x14ac:dyDescent="0.2">
      <c r="A9" s="8"/>
      <c r="B9" s="9" t="str">
        <f>[15]И1!D8</f>
        <v>Период регулирования (i)-й</v>
      </c>
      <c r="C9" s="14">
        <f>[15]И1!E8</f>
        <v>2025</v>
      </c>
    </row>
    <row r="10" spans="1:3" x14ac:dyDescent="0.2">
      <c r="A10" s="8"/>
      <c r="B10" s="9" t="str">
        <f>[15]И1!D9</f>
        <v>Период регулирования (i-1)-й</v>
      </c>
      <c r="C10" s="14">
        <f>[15]И1!E9</f>
        <v>2024</v>
      </c>
    </row>
    <row r="11" spans="1:3" x14ac:dyDescent="0.2">
      <c r="A11" s="8"/>
      <c r="B11" s="9" t="str">
        <f>[15]И1!D10</f>
        <v>Период регулирования (i-2)-й</v>
      </c>
      <c r="C11" s="14">
        <f>[15]И1!E10</f>
        <v>2023</v>
      </c>
    </row>
    <row r="12" spans="1:3" x14ac:dyDescent="0.2">
      <c r="A12" s="8"/>
      <c r="B12" s="9" t="str">
        <f>[15]И1!D11</f>
        <v>Базовый год (б)</v>
      </c>
      <c r="C12" s="14">
        <f>[15]И1!E11</f>
        <v>2019</v>
      </c>
    </row>
    <row r="13" spans="1:3" ht="38.25" x14ac:dyDescent="0.2">
      <c r="A13" s="8"/>
      <c r="B13" s="9" t="str">
        <f>[15]И1!D18</f>
        <v>Вид топлива, использование которого преобладает в системе теплоснабжения</v>
      </c>
      <c r="C13" s="15" t="str">
        <f>[15]С1.1!E13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5624.5496859516061</v>
      </c>
    </row>
    <row r="18" spans="1:3" ht="42.75" x14ac:dyDescent="0.2">
      <c r="A18" s="22" t="s">
        <v>8</v>
      </c>
      <c r="B18" s="25" t="s">
        <v>9</v>
      </c>
      <c r="C18" s="26">
        <f>[15]С1!F12</f>
        <v>1034.4269668372829</v>
      </c>
    </row>
    <row r="19" spans="1:3" ht="42.75" x14ac:dyDescent="0.2">
      <c r="A19" s="22" t="s">
        <v>10</v>
      </c>
      <c r="B19" s="25" t="s">
        <v>11</v>
      </c>
      <c r="C19" s="26">
        <f>[15]С2!F12</f>
        <v>3044.8315746726421</v>
      </c>
    </row>
    <row r="20" spans="1:3" ht="30" x14ac:dyDescent="0.2">
      <c r="A20" s="22" t="s">
        <v>12</v>
      </c>
      <c r="B20" s="25" t="s">
        <v>13</v>
      </c>
      <c r="C20" s="26">
        <f>[15]С3!F12</f>
        <v>911.5178018038722</v>
      </c>
    </row>
    <row r="21" spans="1:3" ht="42.75" x14ac:dyDescent="0.2">
      <c r="A21" s="22" t="s">
        <v>14</v>
      </c>
      <c r="B21" s="25" t="s">
        <v>15</v>
      </c>
      <c r="C21" s="26">
        <f>[15]С4!F12</f>
        <v>523.4880546779732</v>
      </c>
    </row>
    <row r="22" spans="1:3" ht="30" x14ac:dyDescent="0.2">
      <c r="A22" s="22" t="s">
        <v>16</v>
      </c>
      <c r="B22" s="25" t="s">
        <v>17</v>
      </c>
      <c r="C22" s="26">
        <f>[15]С5!F12</f>
        <v>110.2852879598354</v>
      </c>
    </row>
    <row r="23" spans="1:3" ht="43.5" thickBot="1" x14ac:dyDescent="0.25">
      <c r="A23" s="27" t="s">
        <v>18</v>
      </c>
      <c r="B23" s="117" t="s">
        <v>19</v>
      </c>
      <c r="C23" s="28" t="str">
        <f>[15]С6!F12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[15]С1.1!E16</f>
        <v>5100</v>
      </c>
    </row>
    <row r="29" spans="1:3" ht="42.75" x14ac:dyDescent="0.2">
      <c r="A29" s="22" t="s">
        <v>10</v>
      </c>
      <c r="B29" s="33" t="s">
        <v>22</v>
      </c>
      <c r="C29" s="34">
        <f>[15]С1.1!E27</f>
        <v>3731.4416666666666</v>
      </c>
    </row>
    <row r="30" spans="1:3" ht="17.25" x14ac:dyDescent="0.2">
      <c r="A30" s="22" t="s">
        <v>12</v>
      </c>
      <c r="B30" s="33" t="s">
        <v>23</v>
      </c>
      <c r="C30" s="35">
        <f>[15]С1.1!E19</f>
        <v>1.4E-2</v>
      </c>
    </row>
    <row r="31" spans="1:3" ht="17.25" x14ac:dyDescent="0.2">
      <c r="A31" s="22" t="s">
        <v>14</v>
      </c>
      <c r="B31" s="33" t="s">
        <v>24</v>
      </c>
      <c r="C31" s="35">
        <f>[15]С1.1!E20</f>
        <v>0.04</v>
      </c>
    </row>
    <row r="32" spans="1:3" ht="30" x14ac:dyDescent="0.2">
      <c r="A32" s="22" t="s">
        <v>16</v>
      </c>
      <c r="B32" s="36" t="s">
        <v>25</v>
      </c>
      <c r="C32" s="37">
        <f>[15]С1!F13</f>
        <v>176.4</v>
      </c>
    </row>
    <row r="33" spans="1:3" x14ac:dyDescent="0.2">
      <c r="A33" s="22" t="s">
        <v>18</v>
      </c>
      <c r="B33" s="36" t="s">
        <v>26</v>
      </c>
      <c r="C33" s="38">
        <f>[15]С1!F16</f>
        <v>7000</v>
      </c>
    </row>
    <row r="34" spans="1:3" ht="14.25" x14ac:dyDescent="0.2">
      <c r="A34" s="22" t="s">
        <v>27</v>
      </c>
      <c r="B34" s="39" t="s">
        <v>28</v>
      </c>
      <c r="C34" s="40">
        <f>[15]С1!F17</f>
        <v>0.72857142857142854</v>
      </c>
    </row>
    <row r="35" spans="1:3" ht="15.75" x14ac:dyDescent="0.2">
      <c r="A35" s="41" t="s">
        <v>29</v>
      </c>
      <c r="B35" s="42" t="s">
        <v>30</v>
      </c>
      <c r="C35" s="40">
        <f>[15]С1!F20</f>
        <v>21.588411179999994</v>
      </c>
    </row>
    <row r="36" spans="1:3" ht="15.75" x14ac:dyDescent="0.2">
      <c r="A36" s="41" t="s">
        <v>31</v>
      </c>
      <c r="B36" s="43" t="s">
        <v>32</v>
      </c>
      <c r="C36" s="40">
        <f>[15]С1!F21</f>
        <v>20.818139999999996</v>
      </c>
    </row>
    <row r="37" spans="1:3" ht="14.25" x14ac:dyDescent="0.2">
      <c r="A37" s="41" t="s">
        <v>33</v>
      </c>
      <c r="B37" s="44" t="s">
        <v>34</v>
      </c>
      <c r="C37" s="40">
        <f>[15]С1!F22</f>
        <v>1.0369999999999999</v>
      </c>
    </row>
    <row r="38" spans="1:3" ht="53.25" thickBot="1" x14ac:dyDescent="0.25">
      <c r="A38" s="27" t="s">
        <v>35</v>
      </c>
      <c r="B38" s="45" t="s">
        <v>36</v>
      </c>
      <c r="C38" s="46">
        <f>[15]С1!F23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[15]С2.1!E12</f>
        <v>V</v>
      </c>
    </row>
    <row r="42" spans="1:3" ht="25.5" x14ac:dyDescent="0.2">
      <c r="A42" s="22" t="s">
        <v>41</v>
      </c>
      <c r="B42" s="33" t="s">
        <v>42</v>
      </c>
      <c r="C42" s="51" t="str">
        <f>[15]С2.1!E13</f>
        <v>6 и менее баллов</v>
      </c>
    </row>
    <row r="43" spans="1:3" ht="25.5" x14ac:dyDescent="0.2">
      <c r="A43" s="22" t="s">
        <v>43</v>
      </c>
      <c r="B43" s="33" t="s">
        <v>44</v>
      </c>
      <c r="C43" s="51" t="str">
        <f>[15]С2.1!E14</f>
        <v>от 200 до 500</v>
      </c>
    </row>
    <row r="44" spans="1:3" ht="25.5" x14ac:dyDescent="0.2">
      <c r="A44" s="22" t="s">
        <v>45</v>
      </c>
      <c r="B44" s="33" t="s">
        <v>46</v>
      </c>
      <c r="C44" s="52" t="str">
        <f>[15]С2.1!E15</f>
        <v>нет</v>
      </c>
    </row>
    <row r="45" spans="1:3" ht="30" x14ac:dyDescent="0.2">
      <c r="A45" s="22" t="s">
        <v>47</v>
      </c>
      <c r="B45" s="33" t="s">
        <v>48</v>
      </c>
      <c r="C45" s="34">
        <f>[15]С2!F18</f>
        <v>38910.02669467502</v>
      </c>
    </row>
    <row r="46" spans="1:3" ht="30" x14ac:dyDescent="0.2">
      <c r="A46" s="22" t="s">
        <v>49</v>
      </c>
      <c r="B46" s="53" t="s">
        <v>50</v>
      </c>
      <c r="C46" s="34">
        <f>IF([15]С2!F19&gt;0,[15]С2!F19,[15]С2!F20)</f>
        <v>23441.524932855718</v>
      </c>
    </row>
    <row r="47" spans="1:3" ht="25.5" x14ac:dyDescent="0.2">
      <c r="A47" s="22" t="s">
        <v>51</v>
      </c>
      <c r="B47" s="54" t="s">
        <v>52</v>
      </c>
      <c r="C47" s="34">
        <f>[15]С2.1!E19</f>
        <v>-38</v>
      </c>
    </row>
    <row r="48" spans="1:3" ht="25.5" x14ac:dyDescent="0.2">
      <c r="A48" s="22" t="s">
        <v>53</v>
      </c>
      <c r="B48" s="54" t="s">
        <v>54</v>
      </c>
      <c r="C48" s="34" t="str">
        <f>[15]С2.1!E22</f>
        <v>нет</v>
      </c>
    </row>
    <row r="49" spans="1:3" ht="38.25" x14ac:dyDescent="0.2">
      <c r="A49" s="22" t="s">
        <v>55</v>
      </c>
      <c r="B49" s="55" t="s">
        <v>56</v>
      </c>
      <c r="C49" s="34">
        <f>[15]С2.2!E10</f>
        <v>1287</v>
      </c>
    </row>
    <row r="50" spans="1:3" ht="25.5" x14ac:dyDescent="0.2">
      <c r="A50" s="22" t="s">
        <v>57</v>
      </c>
      <c r="B50" s="56" t="s">
        <v>58</v>
      </c>
      <c r="C50" s="34">
        <f>[15]С2.2!E12</f>
        <v>5.97</v>
      </c>
    </row>
    <row r="51" spans="1:3" ht="52.5" x14ac:dyDescent="0.2">
      <c r="A51" s="22" t="s">
        <v>59</v>
      </c>
      <c r="B51" s="57" t="s">
        <v>60</v>
      </c>
      <c r="C51" s="34">
        <f>[15]С2.2!E13</f>
        <v>1</v>
      </c>
    </row>
    <row r="52" spans="1:3" ht="27.75" x14ac:dyDescent="0.2">
      <c r="A52" s="22" t="s">
        <v>61</v>
      </c>
      <c r="B52" s="56" t="s">
        <v>62</v>
      </c>
      <c r="C52" s="34">
        <f>[15]С2.2!E14</f>
        <v>12104</v>
      </c>
    </row>
    <row r="53" spans="1:3" ht="25.5" x14ac:dyDescent="0.2">
      <c r="A53" s="22" t="s">
        <v>63</v>
      </c>
      <c r="B53" s="57" t="s">
        <v>64</v>
      </c>
      <c r="C53" s="35">
        <f>[15]С2.2!E15</f>
        <v>4.8000000000000001E-2</v>
      </c>
    </row>
    <row r="54" spans="1:3" x14ac:dyDescent="0.2">
      <c r="A54" s="22" t="s">
        <v>65</v>
      </c>
      <c r="B54" s="57" t="s">
        <v>66</v>
      </c>
      <c r="C54" s="34">
        <f>[15]С2.2!E16</f>
        <v>1</v>
      </c>
    </row>
    <row r="55" spans="1:3" ht="15.75" x14ac:dyDescent="0.2">
      <c r="A55" s="22" t="s">
        <v>67</v>
      </c>
      <c r="B55" s="58" t="s">
        <v>68</v>
      </c>
      <c r="C55" s="34">
        <f>[15]С2!F21</f>
        <v>1</v>
      </c>
    </row>
    <row r="56" spans="1:3" ht="30" x14ac:dyDescent="0.2">
      <c r="A56" s="59" t="s">
        <v>69</v>
      </c>
      <c r="B56" s="33" t="s">
        <v>70</v>
      </c>
      <c r="C56" s="34">
        <f>[15]С2!F13</f>
        <v>203708.97017230222</v>
      </c>
    </row>
    <row r="57" spans="1:3" ht="30" x14ac:dyDescent="0.2">
      <c r="A57" s="59" t="s">
        <v>71</v>
      </c>
      <c r="B57" s="58" t="s">
        <v>72</v>
      </c>
      <c r="C57" s="34">
        <f>[15]С2!F14</f>
        <v>113455</v>
      </c>
    </row>
    <row r="58" spans="1:3" ht="15.75" x14ac:dyDescent="0.2">
      <c r="A58" s="59" t="s">
        <v>73</v>
      </c>
      <c r="B58" s="60" t="s">
        <v>74</v>
      </c>
      <c r="C58" s="40">
        <f>[15]С2!F15</f>
        <v>1.071</v>
      </c>
    </row>
    <row r="59" spans="1:3" ht="15.75" x14ac:dyDescent="0.2">
      <c r="A59" s="59" t="s">
        <v>75</v>
      </c>
      <c r="B59" s="60" t="s">
        <v>76</v>
      </c>
      <c r="C59" s="40">
        <f>[15]С2!F16</f>
        <v>1</v>
      </c>
    </row>
    <row r="60" spans="1:3" ht="17.25" x14ac:dyDescent="0.2">
      <c r="A60" s="59" t="s">
        <v>77</v>
      </c>
      <c r="B60" s="58" t="s">
        <v>78</v>
      </c>
      <c r="C60" s="34">
        <f>[15]С2!F17</f>
        <v>1.01</v>
      </c>
    </row>
    <row r="61" spans="1:3" s="63" customFormat="1" ht="14.25" x14ac:dyDescent="0.2">
      <c r="A61" s="59" t="s">
        <v>79</v>
      </c>
      <c r="B61" s="61" t="s">
        <v>80</v>
      </c>
      <c r="C61" s="62">
        <f>[15]С2!F33</f>
        <v>10</v>
      </c>
    </row>
    <row r="62" spans="1:3" ht="30" x14ac:dyDescent="0.2">
      <c r="A62" s="59" t="s">
        <v>81</v>
      </c>
      <c r="B62" s="64" t="s">
        <v>82</v>
      </c>
      <c r="C62" s="34">
        <f>[15]С2!F26</f>
        <v>1349.309862285194</v>
      </c>
    </row>
    <row r="63" spans="1:3" ht="17.25" x14ac:dyDescent="0.2">
      <c r="A63" s="59" t="s">
        <v>83</v>
      </c>
      <c r="B63" s="53" t="s">
        <v>84</v>
      </c>
      <c r="C63" s="34">
        <f>[15]С2!F27</f>
        <v>0.19354712999999998</v>
      </c>
    </row>
    <row r="64" spans="1:3" ht="17.25" x14ac:dyDescent="0.2">
      <c r="A64" s="59" t="s">
        <v>85</v>
      </c>
      <c r="B64" s="58" t="s">
        <v>86</v>
      </c>
      <c r="C64" s="62">
        <f>[15]С2!F28</f>
        <v>4200</v>
      </c>
    </row>
    <row r="65" spans="1:3" ht="42.75" x14ac:dyDescent="0.2">
      <c r="A65" s="59" t="s">
        <v>87</v>
      </c>
      <c r="B65" s="33" t="s">
        <v>88</v>
      </c>
      <c r="C65" s="34">
        <f>[15]С2!F22</f>
        <v>42890.921752741691</v>
      </c>
    </row>
    <row r="66" spans="1:3" ht="30" x14ac:dyDescent="0.2">
      <c r="A66" s="59" t="s">
        <v>89</v>
      </c>
      <c r="B66" s="60" t="s">
        <v>90</v>
      </c>
      <c r="C66" s="34">
        <f>[15]С2!F23</f>
        <v>1990</v>
      </c>
    </row>
    <row r="67" spans="1:3" ht="30" x14ac:dyDescent="0.2">
      <c r="A67" s="59" t="s">
        <v>91</v>
      </c>
      <c r="B67" s="53" t="s">
        <v>92</v>
      </c>
      <c r="C67" s="34">
        <f>[15]С2.1!E27</f>
        <v>14307.876789999998</v>
      </c>
    </row>
    <row r="68" spans="1:3" ht="38.25" x14ac:dyDescent="0.2">
      <c r="A68" s="59" t="s">
        <v>93</v>
      </c>
      <c r="B68" s="65" t="s">
        <v>94</v>
      </c>
      <c r="C68" s="52">
        <f>[15]С2.3!E21</f>
        <v>0</v>
      </c>
    </row>
    <row r="69" spans="1:3" ht="25.5" x14ac:dyDescent="0.2">
      <c r="A69" s="59" t="s">
        <v>95</v>
      </c>
      <c r="B69" s="66" t="s">
        <v>96</v>
      </c>
      <c r="C69" s="67">
        <f>[15]С2.3!E11</f>
        <v>9.89</v>
      </c>
    </row>
    <row r="70" spans="1:3" ht="25.5" x14ac:dyDescent="0.2">
      <c r="A70" s="59" t="s">
        <v>97</v>
      </c>
      <c r="B70" s="66" t="s">
        <v>98</v>
      </c>
      <c r="C70" s="62">
        <f>[15]С2.3!E13</f>
        <v>300</v>
      </c>
    </row>
    <row r="71" spans="1:3" ht="25.5" x14ac:dyDescent="0.2">
      <c r="A71" s="59" t="s">
        <v>99</v>
      </c>
      <c r="B71" s="65" t="s">
        <v>100</v>
      </c>
      <c r="C71" s="68">
        <f>IF([15]С2.3!E22&gt;0,[15]С2.3!E22,[15]С2.3!E14)</f>
        <v>61211</v>
      </c>
    </row>
    <row r="72" spans="1:3" ht="38.25" x14ac:dyDescent="0.2">
      <c r="A72" s="59" t="s">
        <v>101</v>
      </c>
      <c r="B72" s="65" t="s">
        <v>102</v>
      </c>
      <c r="C72" s="68">
        <f>IF([15]С2.3!E23&gt;0,[15]С2.3!E23,[15]С2.3!E15)</f>
        <v>45675</v>
      </c>
    </row>
    <row r="73" spans="1:3" ht="30" x14ac:dyDescent="0.2">
      <c r="A73" s="59" t="s">
        <v>103</v>
      </c>
      <c r="B73" s="53" t="s">
        <v>104</v>
      </c>
      <c r="C73" s="34">
        <f>[15]С2.1!E28</f>
        <v>9541.9567200000001</v>
      </c>
    </row>
    <row r="74" spans="1:3" ht="38.25" x14ac:dyDescent="0.2">
      <c r="A74" s="59" t="s">
        <v>105</v>
      </c>
      <c r="B74" s="65" t="s">
        <v>106</v>
      </c>
      <c r="C74" s="52">
        <f>[15]С2.3!E25</f>
        <v>0</v>
      </c>
    </row>
    <row r="75" spans="1:3" ht="25.5" x14ac:dyDescent="0.2">
      <c r="A75" s="59" t="s">
        <v>107</v>
      </c>
      <c r="B75" s="66" t="s">
        <v>108</v>
      </c>
      <c r="C75" s="67">
        <f>[15]С2.3!E12</f>
        <v>0.56000000000000005</v>
      </c>
    </row>
    <row r="76" spans="1:3" ht="25.5" x14ac:dyDescent="0.2">
      <c r="A76" s="59" t="s">
        <v>109</v>
      </c>
      <c r="B76" s="66" t="s">
        <v>98</v>
      </c>
      <c r="C76" s="62">
        <f>[15]С2.3!E13</f>
        <v>300</v>
      </c>
    </row>
    <row r="77" spans="1:3" ht="25.5" x14ac:dyDescent="0.2">
      <c r="A77" s="59" t="s">
        <v>110</v>
      </c>
      <c r="B77" s="69" t="s">
        <v>111</v>
      </c>
      <c r="C77" s="68">
        <f>IF([15]С2.3!E26&gt;0,[15]С2.3!E26,[15]С2.3!E16)</f>
        <v>65637</v>
      </c>
    </row>
    <row r="78" spans="1:3" ht="38.25" x14ac:dyDescent="0.2">
      <c r="A78" s="59" t="s">
        <v>112</v>
      </c>
      <c r="B78" s="69" t="s">
        <v>113</v>
      </c>
      <c r="C78" s="68">
        <f>IF([15]С2.3!E27&gt;0,[15]С2.3!E27,[15]С2.3!E17)</f>
        <v>31684</v>
      </c>
    </row>
    <row r="79" spans="1:3" ht="17.25" x14ac:dyDescent="0.2">
      <c r="A79" s="59" t="s">
        <v>114</v>
      </c>
      <c r="B79" s="33" t="s">
        <v>115</v>
      </c>
      <c r="C79" s="35">
        <f>[15]С2!F29</f>
        <v>0.17804631770487722</v>
      </c>
    </row>
    <row r="80" spans="1:3" ht="30" x14ac:dyDescent="0.2">
      <c r="A80" s="59" t="s">
        <v>116</v>
      </c>
      <c r="B80" s="53" t="s">
        <v>117</v>
      </c>
      <c r="C80" s="70">
        <f>[15]С2!F30</f>
        <v>0.1652189781021898</v>
      </c>
    </row>
    <row r="81" spans="1:3" ht="17.25" x14ac:dyDescent="0.2">
      <c r="A81" s="59" t="s">
        <v>118</v>
      </c>
      <c r="B81" s="71" t="s">
        <v>119</v>
      </c>
      <c r="C81" s="35">
        <f>[15]С2!F31</f>
        <v>0.13880000000000001</v>
      </c>
    </row>
    <row r="82" spans="1:3" s="63" customFormat="1" ht="18" thickBot="1" x14ac:dyDescent="0.25">
      <c r="A82" s="72" t="s">
        <v>120</v>
      </c>
      <c r="B82" s="73" t="s">
        <v>121</v>
      </c>
      <c r="C82" s="74">
        <f>[15]С2!F32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[15]С3!F14</f>
        <v>14784.578474435859</v>
      </c>
    </row>
    <row r="86" spans="1:3" s="63" customFormat="1" ht="42.75" x14ac:dyDescent="0.2">
      <c r="A86" s="77" t="s">
        <v>126</v>
      </c>
      <c r="B86" s="53" t="s">
        <v>127</v>
      </c>
      <c r="C86" s="78">
        <f>[15]С3!F15</f>
        <v>0.25</v>
      </c>
    </row>
    <row r="87" spans="1:3" s="63" customFormat="1" ht="14.25" x14ac:dyDescent="0.2">
      <c r="A87" s="77" t="s">
        <v>128</v>
      </c>
      <c r="B87" s="79" t="s">
        <v>129</v>
      </c>
      <c r="C87" s="62">
        <f>[15]С3!F18</f>
        <v>15</v>
      </c>
    </row>
    <row r="88" spans="1:3" s="63" customFormat="1" ht="17.25" x14ac:dyDescent="0.2">
      <c r="A88" s="77" t="s">
        <v>130</v>
      </c>
      <c r="B88" s="33" t="s">
        <v>131</v>
      </c>
      <c r="C88" s="34">
        <f>[15]С3!F19</f>
        <v>4187.478806422544</v>
      </c>
    </row>
    <row r="89" spans="1:3" s="63" customFormat="1" ht="55.5" x14ac:dyDescent="0.2">
      <c r="A89" s="77" t="s">
        <v>132</v>
      </c>
      <c r="B89" s="53" t="s">
        <v>133</v>
      </c>
      <c r="C89" s="80">
        <f>[15]С3!F20</f>
        <v>2.1999999999999999E-2</v>
      </c>
    </row>
    <row r="90" spans="1:3" s="63" customFormat="1" ht="14.25" x14ac:dyDescent="0.2">
      <c r="A90" s="77" t="s">
        <v>134</v>
      </c>
      <c r="B90" s="58" t="s">
        <v>80</v>
      </c>
      <c r="C90" s="62">
        <f>[15]С3!F21</f>
        <v>10</v>
      </c>
    </row>
    <row r="91" spans="1:3" s="63" customFormat="1" ht="17.25" x14ac:dyDescent="0.2">
      <c r="A91" s="77" t="s">
        <v>135</v>
      </c>
      <c r="B91" s="33" t="s">
        <v>136</v>
      </c>
      <c r="C91" s="34">
        <f>[15]С3!F22</f>
        <v>4.0479295868555818</v>
      </c>
    </row>
    <row r="92" spans="1:3" s="63" customFormat="1" ht="55.5" x14ac:dyDescent="0.2">
      <c r="A92" s="77" t="s">
        <v>137</v>
      </c>
      <c r="B92" s="53" t="s">
        <v>138</v>
      </c>
      <c r="C92" s="80">
        <f>[15]С3!F23</f>
        <v>3.0000000000000001E-3</v>
      </c>
    </row>
    <row r="93" spans="1:3" s="63" customFormat="1" ht="27.75" thickBot="1" x14ac:dyDescent="0.25">
      <c r="A93" s="81" t="s">
        <v>139</v>
      </c>
      <c r="B93" s="82" t="s">
        <v>140</v>
      </c>
      <c r="C93" s="83">
        <f>[15]С3!F24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[15]С4!F16</f>
        <v>1652.5</v>
      </c>
    </row>
    <row r="97" spans="1:3" ht="30" x14ac:dyDescent="0.2">
      <c r="A97" s="59" t="s">
        <v>145</v>
      </c>
      <c r="B97" s="58" t="s">
        <v>146</v>
      </c>
      <c r="C97" s="34">
        <f>[15]С4!F17</f>
        <v>73547</v>
      </c>
    </row>
    <row r="98" spans="1:3" ht="17.25" x14ac:dyDescent="0.2">
      <c r="A98" s="59" t="s">
        <v>147</v>
      </c>
      <c r="B98" s="58" t="s">
        <v>148</v>
      </c>
      <c r="C98" s="40">
        <f>[15]С4!F18</f>
        <v>0.02</v>
      </c>
    </row>
    <row r="99" spans="1:3" ht="30" x14ac:dyDescent="0.2">
      <c r="A99" s="59" t="s">
        <v>149</v>
      </c>
      <c r="B99" s="58" t="s">
        <v>150</v>
      </c>
      <c r="C99" s="34">
        <f>[15]С4!F19</f>
        <v>12104</v>
      </c>
    </row>
    <row r="100" spans="1:3" ht="31.5" x14ac:dyDescent="0.2">
      <c r="A100" s="59" t="s">
        <v>151</v>
      </c>
      <c r="B100" s="58" t="s">
        <v>152</v>
      </c>
      <c r="C100" s="40">
        <f>[15]С4!F20</f>
        <v>1.4999999999999999E-2</v>
      </c>
    </row>
    <row r="101" spans="1:3" ht="30" x14ac:dyDescent="0.2">
      <c r="A101" s="59" t="s">
        <v>153</v>
      </c>
      <c r="B101" s="33" t="s">
        <v>154</v>
      </c>
      <c r="C101" s="34">
        <f>[15]С4!F21</f>
        <v>1933.1949342509995</v>
      </c>
    </row>
    <row r="102" spans="1:3" ht="24" customHeight="1" x14ac:dyDescent="0.2">
      <c r="A102" s="59" t="s">
        <v>155</v>
      </c>
      <c r="B102" s="53" t="s">
        <v>156</v>
      </c>
      <c r="C102" s="85">
        <f>IF([15]С4.2!F8="да",[15]С4.2!D21,[15]С4.2!D15)</f>
        <v>0</v>
      </c>
    </row>
    <row r="103" spans="1:3" ht="68.25" x14ac:dyDescent="0.2">
      <c r="A103" s="59" t="s">
        <v>157</v>
      </c>
      <c r="B103" s="53" t="s">
        <v>158</v>
      </c>
      <c r="C103" s="34">
        <f>[15]С4!F22</f>
        <v>3.6112641666666665</v>
      </c>
    </row>
    <row r="104" spans="1:3" ht="30" x14ac:dyDescent="0.2">
      <c r="A104" s="59" t="s">
        <v>159</v>
      </c>
      <c r="B104" s="58" t="s">
        <v>160</v>
      </c>
      <c r="C104" s="34">
        <f>[15]С4!F23</f>
        <v>180</v>
      </c>
    </row>
    <row r="105" spans="1:3" ht="14.25" x14ac:dyDescent="0.2">
      <c r="A105" s="59" t="s">
        <v>161</v>
      </c>
      <c r="B105" s="53" t="s">
        <v>162</v>
      </c>
      <c r="C105" s="34">
        <f>[15]С4!F24</f>
        <v>8497.1999999999989</v>
      </c>
    </row>
    <row r="106" spans="1:3" ht="14.25" x14ac:dyDescent="0.2">
      <c r="A106" s="59" t="s">
        <v>163</v>
      </c>
      <c r="B106" s="58" t="s">
        <v>164</v>
      </c>
      <c r="C106" s="40">
        <f>[15]С4!F25</f>
        <v>0.35</v>
      </c>
    </row>
    <row r="107" spans="1:3" ht="17.25" x14ac:dyDescent="0.2">
      <c r="A107" s="59" t="s">
        <v>165</v>
      </c>
      <c r="B107" s="33" t="s">
        <v>166</v>
      </c>
      <c r="C107" s="34">
        <f>[15]С4!F26</f>
        <v>48.920325000000005</v>
      </c>
    </row>
    <row r="108" spans="1:3" ht="25.5" x14ac:dyDescent="0.2">
      <c r="A108" s="59" t="s">
        <v>167</v>
      </c>
      <c r="B108" s="53" t="s">
        <v>94</v>
      </c>
      <c r="C108" s="85">
        <f>[15]С4.3!E16</f>
        <v>0</v>
      </c>
    </row>
    <row r="109" spans="1:3" ht="25.5" x14ac:dyDescent="0.2">
      <c r="A109" s="59" t="s">
        <v>168</v>
      </c>
      <c r="B109" s="53" t="s">
        <v>169</v>
      </c>
      <c r="C109" s="34">
        <f>[15]С4.3!E17</f>
        <v>12.975000000000001</v>
      </c>
    </row>
    <row r="110" spans="1:3" ht="38.25" x14ac:dyDescent="0.2">
      <c r="A110" s="59" t="s">
        <v>170</v>
      </c>
      <c r="B110" s="53" t="s">
        <v>106</v>
      </c>
      <c r="C110" s="85">
        <f>[15]С4.3!E18</f>
        <v>0</v>
      </c>
    </row>
    <row r="111" spans="1:3" x14ac:dyDescent="0.2">
      <c r="A111" s="59" t="s">
        <v>171</v>
      </c>
      <c r="B111" s="53" t="s">
        <v>172</v>
      </c>
      <c r="C111" s="34">
        <f>[15]С4.3!E19</f>
        <v>16.75</v>
      </c>
    </row>
    <row r="112" spans="1:3" x14ac:dyDescent="0.2">
      <c r="A112" s="59" t="s">
        <v>173</v>
      </c>
      <c r="B112" s="58" t="s">
        <v>174</v>
      </c>
      <c r="C112" s="34">
        <f>[15]С4.3!E11</f>
        <v>1871</v>
      </c>
    </row>
    <row r="113" spans="1:3" x14ac:dyDescent="0.2">
      <c r="A113" s="59" t="s">
        <v>175</v>
      </c>
      <c r="B113" s="58" t="s">
        <v>176</v>
      </c>
      <c r="C113" s="52">
        <f>[15]С4.3!E12</f>
        <v>1636</v>
      </c>
    </row>
    <row r="114" spans="1:3" x14ac:dyDescent="0.2">
      <c r="A114" s="59" t="s">
        <v>177</v>
      </c>
      <c r="B114" s="58" t="s">
        <v>178</v>
      </c>
      <c r="C114" s="52">
        <f>[15]С4.3!E13</f>
        <v>204</v>
      </c>
    </row>
    <row r="115" spans="1:3" ht="30" x14ac:dyDescent="0.2">
      <c r="A115" s="59" t="s">
        <v>179</v>
      </c>
      <c r="B115" s="33" t="s">
        <v>180</v>
      </c>
      <c r="C115" s="34">
        <f>[15]С4!F27</f>
        <v>1291.2863994686898</v>
      </c>
    </row>
    <row r="116" spans="1:3" ht="25.5" x14ac:dyDescent="0.2">
      <c r="A116" s="59" t="s">
        <v>181</v>
      </c>
      <c r="B116" s="53" t="s">
        <v>182</v>
      </c>
      <c r="C116" s="34">
        <f>[15]С4!F28</f>
        <v>991.77142816335618</v>
      </c>
    </row>
    <row r="117" spans="1:3" ht="42.75" x14ac:dyDescent="0.2">
      <c r="A117" s="59" t="s">
        <v>183</v>
      </c>
      <c r="B117" s="53" t="s">
        <v>184</v>
      </c>
      <c r="C117" s="34">
        <f>[15]С4!F29</f>
        <v>299.51497130533357</v>
      </c>
    </row>
    <row r="118" spans="1:3" ht="30" x14ac:dyDescent="0.2">
      <c r="A118" s="59" t="s">
        <v>185</v>
      </c>
      <c r="B118" s="39" t="s">
        <v>186</v>
      </c>
      <c r="C118" s="34">
        <f>[15]С4!F30</f>
        <v>2721.6612370682637</v>
      </c>
    </row>
    <row r="119" spans="1:3" ht="42.75" x14ac:dyDescent="0.2">
      <c r="A119" s="59" t="s">
        <v>187</v>
      </c>
      <c r="B119" s="86" t="s">
        <v>188</v>
      </c>
      <c r="C119" s="34">
        <f>[15]С4!F33</f>
        <v>1524.4798600775737</v>
      </c>
    </row>
    <row r="120" spans="1:3" ht="30" x14ac:dyDescent="0.2">
      <c r="A120" s="59" t="s">
        <v>189</v>
      </c>
      <c r="B120" s="87" t="s">
        <v>190</v>
      </c>
      <c r="C120" s="34">
        <f>[15]С4!F35</f>
        <v>17.040680999999999</v>
      </c>
    </row>
    <row r="121" spans="1:3" ht="14.25" x14ac:dyDescent="0.2">
      <c r="A121" s="59" t="s">
        <v>191</v>
      </c>
      <c r="B121" s="56" t="s">
        <v>192</v>
      </c>
      <c r="C121" s="34">
        <f>[15]С4!F36</f>
        <v>14319.9</v>
      </c>
    </row>
    <row r="122" spans="1:3" ht="28.5" thickBot="1" x14ac:dyDescent="0.25">
      <c r="A122" s="72" t="s">
        <v>193</v>
      </c>
      <c r="B122" s="88" t="s">
        <v>194</v>
      </c>
      <c r="C122" s="83">
        <f>[15]С4!F37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[15]С5!F17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[15]С2!F37</f>
        <v>20.818139999999996</v>
      </c>
    </row>
    <row r="136" spans="1:3" ht="14.25" x14ac:dyDescent="0.2">
      <c r="A136" s="59" t="s">
        <v>216</v>
      </c>
      <c r="B136" s="101" t="s">
        <v>217</v>
      </c>
      <c r="C136" s="34">
        <f>[15]С2!F38</f>
        <v>7</v>
      </c>
    </row>
    <row r="137" spans="1:3" ht="17.25" x14ac:dyDescent="0.2">
      <c r="A137" s="59" t="s">
        <v>218</v>
      </c>
      <c r="B137" s="101" t="s">
        <v>219</v>
      </c>
      <c r="C137" s="34">
        <f>[15]С2!F40</f>
        <v>0.97</v>
      </c>
    </row>
    <row r="138" spans="1:3" ht="15" thickBot="1" x14ac:dyDescent="0.25">
      <c r="A138" s="72" t="s">
        <v>220</v>
      </c>
      <c r="B138" s="102" t="s">
        <v>221</v>
      </c>
      <c r="C138" s="46">
        <f>[15]С2!F42</f>
        <v>0.35</v>
      </c>
    </row>
    <row r="139" spans="1:3" s="89" customFormat="1" ht="13.5" thickBot="1" x14ac:dyDescent="0.25">
      <c r="A139" s="47"/>
      <c r="B139" s="75"/>
      <c r="C139" s="15"/>
    </row>
    <row r="140" spans="1:3" ht="30" x14ac:dyDescent="0.2">
      <c r="A140" s="84" t="s">
        <v>222</v>
      </c>
      <c r="B140" s="103" t="s">
        <v>223</v>
      </c>
      <c r="C140" s="104">
        <f>[15]С2!F35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[15]С2.5!$E$11</f>
        <v>-2.9000000000000026E-2</v>
      </c>
    </row>
    <row r="144" spans="1:3" x14ac:dyDescent="0.2">
      <c r="A144" s="105"/>
      <c r="B144" s="110">
        <f>B143+1</f>
        <v>2021</v>
      </c>
      <c r="C144" s="111">
        <f>[15]С2.5!$F$11</f>
        <v>0.245</v>
      </c>
    </row>
    <row r="145" spans="1:3" x14ac:dyDescent="0.2">
      <c r="A145" s="105"/>
      <c r="B145" s="110">
        <f t="shared" ref="B145:B208" si="0">B144+1</f>
        <v>2022</v>
      </c>
      <c r="C145" s="111">
        <f>[15]С2.5!$G$11</f>
        <v>0.114</v>
      </c>
    </row>
    <row r="146" spans="1:3" ht="13.5" thickBot="1" x14ac:dyDescent="0.25">
      <c r="A146" s="105"/>
      <c r="B146" s="112">
        <f t="shared" si="0"/>
        <v>2023</v>
      </c>
      <c r="C146" s="113">
        <f>[15]С2.5!$H$11</f>
        <v>0.04</v>
      </c>
    </row>
    <row r="147" spans="1:3" x14ac:dyDescent="0.2">
      <c r="A147" s="105"/>
      <c r="B147" s="114">
        <f t="shared" si="0"/>
        <v>2024</v>
      </c>
      <c r="C147" s="115">
        <f>[15]С2.5!$I$11</f>
        <v>0.11700000000000001</v>
      </c>
    </row>
    <row r="148" spans="1:3" x14ac:dyDescent="0.2">
      <c r="A148" s="105"/>
      <c r="B148" s="110">
        <f t="shared" si="0"/>
        <v>2025</v>
      </c>
      <c r="C148" s="111">
        <f>[15]С2.5!$J$11</f>
        <v>6.0999999999999999E-2</v>
      </c>
    </row>
    <row r="149" spans="1:3" hidden="1" x14ac:dyDescent="0.2">
      <c r="A149" s="105"/>
      <c r="B149" s="110">
        <f t="shared" si="0"/>
        <v>2026</v>
      </c>
      <c r="C149" s="111">
        <f>[15]С2.5!$K$11</f>
        <v>3.5813361771260002E-2</v>
      </c>
    </row>
    <row r="150" spans="1:3" hidden="1" x14ac:dyDescent="0.2">
      <c r="A150" s="105"/>
      <c r="B150" s="110">
        <f t="shared" si="0"/>
        <v>2027</v>
      </c>
      <c r="C150" s="111">
        <f>[15]С2.5!$L$11</f>
        <v>3.2682303599220003E-2</v>
      </c>
    </row>
    <row r="151" spans="1:3" hidden="1" x14ac:dyDescent="0.2">
      <c r="A151" s="105"/>
      <c r="B151" s="110">
        <f t="shared" si="0"/>
        <v>2028</v>
      </c>
      <c r="C151" s="111">
        <f>[15]С2.5!$M$11</f>
        <v>0</v>
      </c>
    </row>
    <row r="152" spans="1:3" hidden="1" x14ac:dyDescent="0.2">
      <c r="A152" s="105"/>
      <c r="B152" s="110">
        <f t="shared" si="0"/>
        <v>2029</v>
      </c>
      <c r="C152" s="111">
        <f>[15]С2.5!$N$11</f>
        <v>0</v>
      </c>
    </row>
    <row r="153" spans="1:3" hidden="1" x14ac:dyDescent="0.2">
      <c r="A153" s="105"/>
      <c r="B153" s="110">
        <f t="shared" si="0"/>
        <v>2030</v>
      </c>
      <c r="C153" s="111">
        <f>[15]С2.5!$O$11</f>
        <v>0</v>
      </c>
    </row>
    <row r="154" spans="1:3" hidden="1" x14ac:dyDescent="0.2">
      <c r="A154" s="105"/>
      <c r="B154" s="110">
        <f t="shared" si="0"/>
        <v>2031</v>
      </c>
      <c r="C154" s="111">
        <f>[15]С2.5!$P$11</f>
        <v>0</v>
      </c>
    </row>
    <row r="155" spans="1:3" hidden="1" x14ac:dyDescent="0.2">
      <c r="A155" s="89"/>
      <c r="B155" s="110">
        <f t="shared" si="0"/>
        <v>2032</v>
      </c>
      <c r="C155" s="111">
        <f>[15]С2.5!$Q$11</f>
        <v>0</v>
      </c>
    </row>
    <row r="156" spans="1:3" hidden="1" x14ac:dyDescent="0.2">
      <c r="A156" s="89"/>
      <c r="B156" s="110">
        <f t="shared" si="0"/>
        <v>2033</v>
      </c>
      <c r="C156" s="111">
        <f>[15]С2.5!$R$11</f>
        <v>0</v>
      </c>
    </row>
    <row r="157" spans="1:3" hidden="1" x14ac:dyDescent="0.2">
      <c r="B157" s="110">
        <f t="shared" si="0"/>
        <v>2034</v>
      </c>
      <c r="C157" s="111">
        <f>[15]С2.5!$S$11</f>
        <v>0</v>
      </c>
    </row>
    <row r="158" spans="1:3" hidden="1" x14ac:dyDescent="0.2">
      <c r="B158" s="110">
        <f t="shared" si="0"/>
        <v>2035</v>
      </c>
      <c r="C158" s="111">
        <f>[15]С2.5!$T$11</f>
        <v>0</v>
      </c>
    </row>
    <row r="159" spans="1:3" hidden="1" x14ac:dyDescent="0.2">
      <c r="B159" s="110">
        <f t="shared" si="0"/>
        <v>2036</v>
      </c>
      <c r="C159" s="111">
        <f>[15]С2.5!$U$11</f>
        <v>0</v>
      </c>
    </row>
    <row r="160" spans="1:3" hidden="1" x14ac:dyDescent="0.2">
      <c r="B160" s="110">
        <f t="shared" si="0"/>
        <v>2037</v>
      </c>
      <c r="C160" s="111">
        <f>[15]С2.5!$V$11</f>
        <v>0</v>
      </c>
    </row>
    <row r="161" spans="2:3" hidden="1" x14ac:dyDescent="0.2">
      <c r="B161" s="110">
        <f t="shared" si="0"/>
        <v>2038</v>
      </c>
      <c r="C161" s="111">
        <f>[15]С2.5!$W$11</f>
        <v>0</v>
      </c>
    </row>
    <row r="162" spans="2:3" hidden="1" x14ac:dyDescent="0.2">
      <c r="B162" s="110">
        <f t="shared" si="0"/>
        <v>2039</v>
      </c>
      <c r="C162" s="111">
        <f>[15]С2.5!$X$11</f>
        <v>0</v>
      </c>
    </row>
    <row r="163" spans="2:3" hidden="1" x14ac:dyDescent="0.2">
      <c r="B163" s="110">
        <f t="shared" si="0"/>
        <v>2040</v>
      </c>
      <c r="C163" s="111">
        <f>[15]С2.5!$Y$11</f>
        <v>0</v>
      </c>
    </row>
    <row r="164" spans="2:3" hidden="1" x14ac:dyDescent="0.2">
      <c r="B164" s="110">
        <f t="shared" si="0"/>
        <v>2041</v>
      </c>
      <c r="C164" s="111">
        <f>[15]С2.5!$Z$11</f>
        <v>0</v>
      </c>
    </row>
    <row r="165" spans="2:3" hidden="1" x14ac:dyDescent="0.2">
      <c r="B165" s="110">
        <f t="shared" si="0"/>
        <v>2042</v>
      </c>
      <c r="C165" s="111">
        <f>[15]С2.5!$AA$11</f>
        <v>0</v>
      </c>
    </row>
    <row r="166" spans="2:3" hidden="1" x14ac:dyDescent="0.2">
      <c r="B166" s="110">
        <f t="shared" si="0"/>
        <v>2043</v>
      </c>
      <c r="C166" s="111">
        <f>[15]С2.5!$AB$11</f>
        <v>0</v>
      </c>
    </row>
    <row r="167" spans="2:3" hidden="1" x14ac:dyDescent="0.2">
      <c r="B167" s="110">
        <f t="shared" si="0"/>
        <v>2044</v>
      </c>
      <c r="C167" s="111">
        <f>[15]С2.5!$AC$11</f>
        <v>0</v>
      </c>
    </row>
    <row r="168" spans="2:3" hidden="1" x14ac:dyDescent="0.2">
      <c r="B168" s="110">
        <f t="shared" si="0"/>
        <v>2045</v>
      </c>
      <c r="C168" s="111">
        <f>[15]С2.5!$AD$11</f>
        <v>0</v>
      </c>
    </row>
    <row r="169" spans="2:3" hidden="1" x14ac:dyDescent="0.2">
      <c r="B169" s="110">
        <f t="shared" si="0"/>
        <v>2046</v>
      </c>
      <c r="C169" s="111">
        <f>[15]С2.5!$AE$11</f>
        <v>0</v>
      </c>
    </row>
    <row r="170" spans="2:3" hidden="1" x14ac:dyDescent="0.2">
      <c r="B170" s="110">
        <f t="shared" si="0"/>
        <v>2047</v>
      </c>
      <c r="C170" s="111">
        <f>[15]С2.5!$AF$11</f>
        <v>0</v>
      </c>
    </row>
    <row r="171" spans="2:3" hidden="1" x14ac:dyDescent="0.2">
      <c r="B171" s="110">
        <f t="shared" si="0"/>
        <v>2048</v>
      </c>
      <c r="C171" s="111">
        <f>[15]С2.5!$AG$11</f>
        <v>0</v>
      </c>
    </row>
    <row r="172" spans="2:3" hidden="1" x14ac:dyDescent="0.2">
      <c r="B172" s="110">
        <f t="shared" si="0"/>
        <v>2049</v>
      </c>
      <c r="C172" s="111">
        <f>[15]С2.5!$AH$11</f>
        <v>0</v>
      </c>
    </row>
    <row r="173" spans="2:3" hidden="1" x14ac:dyDescent="0.2">
      <c r="B173" s="110">
        <f t="shared" si="0"/>
        <v>2050</v>
      </c>
      <c r="C173" s="111">
        <f>[15]С2.5!$AI$11</f>
        <v>0</v>
      </c>
    </row>
    <row r="174" spans="2:3" hidden="1" x14ac:dyDescent="0.2">
      <c r="B174" s="110">
        <f t="shared" si="0"/>
        <v>2051</v>
      </c>
      <c r="C174" s="111">
        <f>[15]С2.5!$AJ$11</f>
        <v>0</v>
      </c>
    </row>
    <row r="175" spans="2:3" hidden="1" x14ac:dyDescent="0.2">
      <c r="B175" s="110">
        <f t="shared" si="0"/>
        <v>2052</v>
      </c>
      <c r="C175" s="111">
        <f>[15]С2.5!$AK$11</f>
        <v>0</v>
      </c>
    </row>
    <row r="176" spans="2:3" hidden="1" x14ac:dyDescent="0.2">
      <c r="B176" s="110">
        <f t="shared" si="0"/>
        <v>2053</v>
      </c>
      <c r="C176" s="111">
        <f>[15]С2.5!$AL$11</f>
        <v>0</v>
      </c>
    </row>
    <row r="177" spans="2:3" hidden="1" x14ac:dyDescent="0.2">
      <c r="B177" s="110">
        <f t="shared" si="0"/>
        <v>2054</v>
      </c>
      <c r="C177" s="111">
        <f>[15]С2.5!$AM$11</f>
        <v>0</v>
      </c>
    </row>
    <row r="178" spans="2:3" hidden="1" x14ac:dyDescent="0.2">
      <c r="B178" s="110">
        <f t="shared" si="0"/>
        <v>2055</v>
      </c>
      <c r="C178" s="111">
        <f>[15]С2.5!$AN$11</f>
        <v>0</v>
      </c>
    </row>
    <row r="179" spans="2:3" hidden="1" x14ac:dyDescent="0.2">
      <c r="B179" s="110">
        <f t="shared" si="0"/>
        <v>2056</v>
      </c>
      <c r="C179" s="111">
        <f>[15]С2.5!$AO$11</f>
        <v>0</v>
      </c>
    </row>
    <row r="180" spans="2:3" hidden="1" x14ac:dyDescent="0.2">
      <c r="B180" s="110">
        <f t="shared" si="0"/>
        <v>2057</v>
      </c>
      <c r="C180" s="111">
        <f>[15]С2.5!$AP$11</f>
        <v>0</v>
      </c>
    </row>
    <row r="181" spans="2:3" hidden="1" x14ac:dyDescent="0.2">
      <c r="B181" s="110">
        <f t="shared" si="0"/>
        <v>2058</v>
      </c>
      <c r="C181" s="111">
        <f>[15]С2.5!$AQ$11</f>
        <v>0</v>
      </c>
    </row>
    <row r="182" spans="2:3" hidden="1" x14ac:dyDescent="0.2">
      <c r="B182" s="110">
        <f t="shared" si="0"/>
        <v>2059</v>
      </c>
      <c r="C182" s="111">
        <f>[15]С2.5!$AR$11</f>
        <v>0</v>
      </c>
    </row>
    <row r="183" spans="2:3" hidden="1" x14ac:dyDescent="0.2">
      <c r="B183" s="110">
        <f t="shared" si="0"/>
        <v>2060</v>
      </c>
      <c r="C183" s="111">
        <f>[15]С2.5!$AS$11</f>
        <v>0</v>
      </c>
    </row>
    <row r="184" spans="2:3" hidden="1" x14ac:dyDescent="0.2">
      <c r="B184" s="110">
        <f t="shared" si="0"/>
        <v>2061</v>
      </c>
      <c r="C184" s="111">
        <f>[15]С2.5!$AT$11</f>
        <v>0</v>
      </c>
    </row>
    <row r="185" spans="2:3" hidden="1" x14ac:dyDescent="0.2">
      <c r="B185" s="110">
        <f t="shared" si="0"/>
        <v>2062</v>
      </c>
      <c r="C185" s="111">
        <f>[15]С2.5!$AU$11</f>
        <v>0</v>
      </c>
    </row>
    <row r="186" spans="2:3" hidden="1" x14ac:dyDescent="0.2">
      <c r="B186" s="110">
        <f t="shared" si="0"/>
        <v>2063</v>
      </c>
      <c r="C186" s="111">
        <f>[15]С2.5!$AV$11</f>
        <v>0</v>
      </c>
    </row>
    <row r="187" spans="2:3" hidden="1" x14ac:dyDescent="0.2">
      <c r="B187" s="110">
        <f t="shared" si="0"/>
        <v>2064</v>
      </c>
      <c r="C187" s="111">
        <f>[15]С2.5!$AW$11</f>
        <v>0</v>
      </c>
    </row>
    <row r="188" spans="2:3" hidden="1" x14ac:dyDescent="0.2">
      <c r="B188" s="110">
        <f t="shared" si="0"/>
        <v>2065</v>
      </c>
      <c r="C188" s="111">
        <f>[15]С2.5!$AX$11</f>
        <v>0</v>
      </c>
    </row>
    <row r="189" spans="2:3" hidden="1" x14ac:dyDescent="0.2">
      <c r="B189" s="110">
        <f t="shared" si="0"/>
        <v>2066</v>
      </c>
      <c r="C189" s="111">
        <f>[15]С2.5!$AY$11</f>
        <v>0</v>
      </c>
    </row>
    <row r="190" spans="2:3" hidden="1" x14ac:dyDescent="0.2">
      <c r="B190" s="110">
        <f t="shared" si="0"/>
        <v>2067</v>
      </c>
      <c r="C190" s="111">
        <f>[15]С2.5!$AZ$11</f>
        <v>0</v>
      </c>
    </row>
    <row r="191" spans="2:3" hidden="1" x14ac:dyDescent="0.2">
      <c r="B191" s="110">
        <f t="shared" si="0"/>
        <v>2068</v>
      </c>
      <c r="C191" s="111">
        <f>[15]С2.5!$BA$11</f>
        <v>0</v>
      </c>
    </row>
    <row r="192" spans="2:3" hidden="1" x14ac:dyDescent="0.2">
      <c r="B192" s="110">
        <f t="shared" si="0"/>
        <v>2069</v>
      </c>
      <c r="C192" s="111">
        <f>[15]С2.5!$BB$11</f>
        <v>0</v>
      </c>
    </row>
    <row r="193" spans="2:3" hidden="1" x14ac:dyDescent="0.2">
      <c r="B193" s="110">
        <f t="shared" si="0"/>
        <v>2070</v>
      </c>
      <c r="C193" s="111">
        <f>[15]С2.5!$BC$11</f>
        <v>0</v>
      </c>
    </row>
    <row r="194" spans="2:3" hidden="1" x14ac:dyDescent="0.2">
      <c r="B194" s="110">
        <f t="shared" si="0"/>
        <v>2071</v>
      </c>
      <c r="C194" s="111">
        <f>[15]С2.5!$BD$11</f>
        <v>0</v>
      </c>
    </row>
    <row r="195" spans="2:3" hidden="1" x14ac:dyDescent="0.2">
      <c r="B195" s="110">
        <f t="shared" si="0"/>
        <v>2072</v>
      </c>
      <c r="C195" s="111">
        <f>[15]С2.5!$BE$11</f>
        <v>0</v>
      </c>
    </row>
    <row r="196" spans="2:3" hidden="1" x14ac:dyDescent="0.2">
      <c r="B196" s="110">
        <f t="shared" si="0"/>
        <v>2073</v>
      </c>
      <c r="C196" s="111">
        <f>[15]С2.5!$BF$11</f>
        <v>0</v>
      </c>
    </row>
    <row r="197" spans="2:3" hidden="1" x14ac:dyDescent="0.2">
      <c r="B197" s="110">
        <f t="shared" si="0"/>
        <v>2074</v>
      </c>
      <c r="C197" s="111">
        <f>[15]С2.5!$BG$11</f>
        <v>0</v>
      </c>
    </row>
    <row r="198" spans="2:3" hidden="1" x14ac:dyDescent="0.2">
      <c r="B198" s="110">
        <f t="shared" si="0"/>
        <v>2075</v>
      </c>
      <c r="C198" s="111">
        <f>[15]С2.5!$BH$11</f>
        <v>0</v>
      </c>
    </row>
    <row r="199" spans="2:3" hidden="1" x14ac:dyDescent="0.2">
      <c r="B199" s="110">
        <f t="shared" si="0"/>
        <v>2076</v>
      </c>
      <c r="C199" s="111">
        <f>[15]С2.5!$BI$11</f>
        <v>0</v>
      </c>
    </row>
    <row r="200" spans="2:3" hidden="1" x14ac:dyDescent="0.2">
      <c r="B200" s="110">
        <f t="shared" si="0"/>
        <v>2077</v>
      </c>
      <c r="C200" s="111">
        <f>[15]С2.5!$BJ$11</f>
        <v>0</v>
      </c>
    </row>
    <row r="201" spans="2:3" hidden="1" x14ac:dyDescent="0.2">
      <c r="B201" s="110">
        <f t="shared" si="0"/>
        <v>2078</v>
      </c>
      <c r="C201" s="111">
        <f>[15]С2.5!$BK$11</f>
        <v>0</v>
      </c>
    </row>
    <row r="202" spans="2:3" hidden="1" x14ac:dyDescent="0.2">
      <c r="B202" s="110">
        <f t="shared" si="0"/>
        <v>2079</v>
      </c>
      <c r="C202" s="111">
        <f>[15]С2.5!$BL$11</f>
        <v>0</v>
      </c>
    </row>
    <row r="203" spans="2:3" hidden="1" x14ac:dyDescent="0.2">
      <c r="B203" s="110">
        <f t="shared" si="0"/>
        <v>2080</v>
      </c>
      <c r="C203" s="111">
        <f>[15]С2.5!$BM$11</f>
        <v>0</v>
      </c>
    </row>
    <row r="204" spans="2:3" hidden="1" x14ac:dyDescent="0.2">
      <c r="B204" s="110">
        <f t="shared" si="0"/>
        <v>2081</v>
      </c>
      <c r="C204" s="111">
        <f>[15]С2.5!$BN$11</f>
        <v>0</v>
      </c>
    </row>
    <row r="205" spans="2:3" hidden="1" x14ac:dyDescent="0.2">
      <c r="B205" s="110">
        <f t="shared" si="0"/>
        <v>2082</v>
      </c>
      <c r="C205" s="111">
        <f>[15]С2.5!$BO$11</f>
        <v>0</v>
      </c>
    </row>
    <row r="206" spans="2:3" hidden="1" x14ac:dyDescent="0.2">
      <c r="B206" s="110">
        <f t="shared" si="0"/>
        <v>2083</v>
      </c>
      <c r="C206" s="111">
        <f>[15]С2.5!$BP$11</f>
        <v>0</v>
      </c>
    </row>
    <row r="207" spans="2:3" hidden="1" x14ac:dyDescent="0.2">
      <c r="B207" s="110">
        <f t="shared" si="0"/>
        <v>2084</v>
      </c>
      <c r="C207" s="111">
        <f>[15]С2.5!$BQ$11</f>
        <v>0</v>
      </c>
    </row>
    <row r="208" spans="2:3" hidden="1" x14ac:dyDescent="0.2">
      <c r="B208" s="110">
        <f t="shared" si="0"/>
        <v>2085</v>
      </c>
      <c r="C208" s="111">
        <f>[15]С2.5!$BR$11</f>
        <v>0</v>
      </c>
    </row>
    <row r="209" spans="2:3" hidden="1" x14ac:dyDescent="0.2">
      <c r="B209" s="110">
        <f t="shared" ref="B209:B223" si="1">B208+1</f>
        <v>2086</v>
      </c>
      <c r="C209" s="111">
        <f>[15]С2.5!$BS$11</f>
        <v>0</v>
      </c>
    </row>
    <row r="210" spans="2:3" hidden="1" x14ac:dyDescent="0.2">
      <c r="B210" s="110">
        <f t="shared" si="1"/>
        <v>2087</v>
      </c>
      <c r="C210" s="111">
        <f>[15]С2.5!$BT$11</f>
        <v>0</v>
      </c>
    </row>
    <row r="211" spans="2:3" hidden="1" x14ac:dyDescent="0.2">
      <c r="B211" s="110">
        <f t="shared" si="1"/>
        <v>2088</v>
      </c>
      <c r="C211" s="111">
        <f>[15]С2.5!$BU$11</f>
        <v>0</v>
      </c>
    </row>
    <row r="212" spans="2:3" hidden="1" x14ac:dyDescent="0.2">
      <c r="B212" s="110">
        <f t="shared" si="1"/>
        <v>2089</v>
      </c>
      <c r="C212" s="111">
        <f>[15]С2.5!$BV$11</f>
        <v>0</v>
      </c>
    </row>
    <row r="213" spans="2:3" hidden="1" x14ac:dyDescent="0.2">
      <c r="B213" s="110">
        <f t="shared" si="1"/>
        <v>2090</v>
      </c>
      <c r="C213" s="111">
        <f>[15]С2.5!$BW$11</f>
        <v>0</v>
      </c>
    </row>
    <row r="214" spans="2:3" hidden="1" x14ac:dyDescent="0.2">
      <c r="B214" s="110">
        <f t="shared" si="1"/>
        <v>2091</v>
      </c>
      <c r="C214" s="111">
        <f>[15]С2.5!$BX$11</f>
        <v>0</v>
      </c>
    </row>
    <row r="215" spans="2:3" hidden="1" x14ac:dyDescent="0.2">
      <c r="B215" s="110">
        <f t="shared" si="1"/>
        <v>2092</v>
      </c>
      <c r="C215" s="111">
        <f>[15]С2.5!$BY$11</f>
        <v>0</v>
      </c>
    </row>
    <row r="216" spans="2:3" hidden="1" x14ac:dyDescent="0.2">
      <c r="B216" s="110">
        <f t="shared" si="1"/>
        <v>2093</v>
      </c>
      <c r="C216" s="111">
        <f>[15]С2.5!$BZ$11</f>
        <v>0</v>
      </c>
    </row>
    <row r="217" spans="2:3" hidden="1" x14ac:dyDescent="0.2">
      <c r="B217" s="110">
        <f t="shared" si="1"/>
        <v>2094</v>
      </c>
      <c r="C217" s="111">
        <f>[15]С2.5!$CA$11</f>
        <v>0</v>
      </c>
    </row>
    <row r="218" spans="2:3" hidden="1" x14ac:dyDescent="0.2">
      <c r="B218" s="110">
        <f t="shared" si="1"/>
        <v>2095</v>
      </c>
      <c r="C218" s="111">
        <f>[15]С2.5!$CB$11</f>
        <v>0</v>
      </c>
    </row>
    <row r="219" spans="2:3" hidden="1" x14ac:dyDescent="0.2">
      <c r="B219" s="110">
        <f t="shared" si="1"/>
        <v>2096</v>
      </c>
      <c r="C219" s="111">
        <f>[15]С2.5!$CC$11</f>
        <v>0</v>
      </c>
    </row>
    <row r="220" spans="2:3" hidden="1" x14ac:dyDescent="0.2">
      <c r="B220" s="110">
        <f t="shared" si="1"/>
        <v>2097</v>
      </c>
      <c r="C220" s="111">
        <f>[15]С2.5!$CD$11</f>
        <v>0</v>
      </c>
    </row>
    <row r="221" spans="2:3" hidden="1" x14ac:dyDescent="0.2">
      <c r="B221" s="110">
        <f t="shared" si="1"/>
        <v>2098</v>
      </c>
      <c r="C221" s="111">
        <f>[15]С2.5!$CE$11</f>
        <v>0</v>
      </c>
    </row>
    <row r="222" spans="2:3" hidden="1" x14ac:dyDescent="0.2">
      <c r="B222" s="110">
        <f t="shared" si="1"/>
        <v>2099</v>
      </c>
      <c r="C222" s="111">
        <f>[15]С2.5!$CF$11</f>
        <v>0</v>
      </c>
    </row>
    <row r="223" spans="2:3" ht="13.5" hidden="1" thickBot="1" x14ac:dyDescent="0.25">
      <c r="B223" s="112">
        <f t="shared" si="1"/>
        <v>2100</v>
      </c>
      <c r="C223" s="113">
        <f>[15]С2.5!$CG$11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[16]И1!D13</f>
        <v>Субъект Российской Федерации</v>
      </c>
      <c r="C4" s="10" t="str">
        <f>[16]И1!E13</f>
        <v>Новосибирская область</v>
      </c>
    </row>
    <row r="5" spans="1:3" ht="46.9" customHeight="1" x14ac:dyDescent="0.2">
      <c r="A5" s="8"/>
      <c r="B5" s="9" t="str">
        <f>[16]И1!D14</f>
        <v>Тип муниципального образования (выберите из списка)</v>
      </c>
      <c r="C5" s="10" t="str">
        <f>[16]И1!E14</f>
        <v>село Половинное, Краснозерский муниципальный район</v>
      </c>
    </row>
    <row r="6" spans="1:3" x14ac:dyDescent="0.2">
      <c r="A6" s="8"/>
      <c r="B6" s="9" t="str">
        <f>IF([16]И1!E15="","",[16]И1!D15)</f>
        <v/>
      </c>
      <c r="C6" s="10" t="str">
        <f>IF([16]И1!E15="","",[16]И1!E15)</f>
        <v/>
      </c>
    </row>
    <row r="7" spans="1:3" x14ac:dyDescent="0.2">
      <c r="A7" s="8"/>
      <c r="B7" s="9" t="str">
        <f>[16]И1!D16</f>
        <v>Код ОКТМО</v>
      </c>
      <c r="C7" s="11" t="str">
        <f>[16]И1!E16</f>
        <v xml:space="preserve"> (50627437101)</v>
      </c>
    </row>
    <row r="8" spans="1:3" x14ac:dyDescent="0.2">
      <c r="A8" s="8"/>
      <c r="B8" s="12" t="str">
        <f>[16]И1!D17</f>
        <v>Система теплоснабжения</v>
      </c>
      <c r="C8" s="13">
        <f>[16]И1!E17</f>
        <v>0</v>
      </c>
    </row>
    <row r="9" spans="1:3" x14ac:dyDescent="0.2">
      <c r="A9" s="8"/>
      <c r="B9" s="9" t="str">
        <f>[16]И1!D8</f>
        <v>Период регулирования (i)-й</v>
      </c>
      <c r="C9" s="14">
        <f>[16]И1!E8</f>
        <v>2025</v>
      </c>
    </row>
    <row r="10" spans="1:3" x14ac:dyDescent="0.2">
      <c r="A10" s="8"/>
      <c r="B10" s="9" t="str">
        <f>[16]И1!D9</f>
        <v>Период регулирования (i-1)-й</v>
      </c>
      <c r="C10" s="14">
        <f>[16]И1!E9</f>
        <v>2024</v>
      </c>
    </row>
    <row r="11" spans="1:3" x14ac:dyDescent="0.2">
      <c r="A11" s="8"/>
      <c r="B11" s="9" t="str">
        <f>[16]И1!D10</f>
        <v>Период регулирования (i-2)-й</v>
      </c>
      <c r="C11" s="14">
        <f>[16]И1!E10</f>
        <v>2023</v>
      </c>
    </row>
    <row r="12" spans="1:3" x14ac:dyDescent="0.2">
      <c r="A12" s="8"/>
      <c r="B12" s="9" t="str">
        <f>[16]И1!D11</f>
        <v>Базовый год (б)</v>
      </c>
      <c r="C12" s="14">
        <f>[16]И1!E11</f>
        <v>2019</v>
      </c>
    </row>
    <row r="13" spans="1:3" ht="38.25" x14ac:dyDescent="0.2">
      <c r="A13" s="8"/>
      <c r="B13" s="9" t="str">
        <f>[16]И1!D18</f>
        <v>Вид топлива, использование которого преобладает в системе теплоснабжения</v>
      </c>
      <c r="C13" s="15" t="str">
        <f>[16]С1.1!E13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5588.4647334358297</v>
      </c>
    </row>
    <row r="18" spans="1:3" ht="42.75" x14ac:dyDescent="0.2">
      <c r="A18" s="22" t="s">
        <v>8</v>
      </c>
      <c r="B18" s="25" t="s">
        <v>9</v>
      </c>
      <c r="C18" s="26">
        <f>[16]С1!F12</f>
        <v>1000.2135073860427</v>
      </c>
    </row>
    <row r="19" spans="1:3" ht="42.75" x14ac:dyDescent="0.2">
      <c r="A19" s="22" t="s">
        <v>10</v>
      </c>
      <c r="B19" s="25" t="s">
        <v>11</v>
      </c>
      <c r="C19" s="26">
        <f>[16]С2!F12</f>
        <v>3044.8315746726421</v>
      </c>
    </row>
    <row r="20" spans="1:3" ht="30" x14ac:dyDescent="0.2">
      <c r="A20" s="22" t="s">
        <v>12</v>
      </c>
      <c r="B20" s="25" t="s">
        <v>13</v>
      </c>
      <c r="C20" s="26">
        <f>[16]С3!F12</f>
        <v>911.5178018038722</v>
      </c>
    </row>
    <row r="21" spans="1:3" ht="42.75" x14ac:dyDescent="0.2">
      <c r="A21" s="22" t="s">
        <v>14</v>
      </c>
      <c r="B21" s="25" t="s">
        <v>15</v>
      </c>
      <c r="C21" s="26">
        <f>[16]С4!F12</f>
        <v>522.3241097019818</v>
      </c>
    </row>
    <row r="22" spans="1:3" ht="30" x14ac:dyDescent="0.2">
      <c r="A22" s="22" t="s">
        <v>16</v>
      </c>
      <c r="B22" s="25" t="s">
        <v>17</v>
      </c>
      <c r="C22" s="26">
        <f>[16]С5!F12</f>
        <v>109.57773987129077</v>
      </c>
    </row>
    <row r="23" spans="1:3" ht="43.5" thickBot="1" x14ac:dyDescent="0.25">
      <c r="A23" s="27" t="s">
        <v>18</v>
      </c>
      <c r="B23" s="117" t="s">
        <v>19</v>
      </c>
      <c r="C23" s="28" t="str">
        <f>[16]С6!F12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[16]С1.1!E16</f>
        <v>5100</v>
      </c>
    </row>
    <row r="29" spans="1:3" ht="42.75" x14ac:dyDescent="0.2">
      <c r="A29" s="22" t="s">
        <v>10</v>
      </c>
      <c r="B29" s="33" t="s">
        <v>22</v>
      </c>
      <c r="C29" s="34">
        <f>[16]С1.1!E27</f>
        <v>3608.0250000000001</v>
      </c>
    </row>
    <row r="30" spans="1:3" ht="17.25" x14ac:dyDescent="0.2">
      <c r="A30" s="22" t="s">
        <v>12</v>
      </c>
      <c r="B30" s="33" t="s">
        <v>23</v>
      </c>
      <c r="C30" s="35">
        <f>[16]С1.1!E19</f>
        <v>1.4E-2</v>
      </c>
    </row>
    <row r="31" spans="1:3" ht="17.25" x14ac:dyDescent="0.2">
      <c r="A31" s="22" t="s">
        <v>14</v>
      </c>
      <c r="B31" s="33" t="s">
        <v>24</v>
      </c>
      <c r="C31" s="35">
        <f>[16]С1.1!E20</f>
        <v>0.04</v>
      </c>
    </row>
    <row r="32" spans="1:3" ht="30" x14ac:dyDescent="0.2">
      <c r="A32" s="22" t="s">
        <v>16</v>
      </c>
      <c r="B32" s="36" t="s">
        <v>25</v>
      </c>
      <c r="C32" s="37">
        <f>[16]С1!F13</f>
        <v>176.4</v>
      </c>
    </row>
    <row r="33" spans="1:3" x14ac:dyDescent="0.2">
      <c r="A33" s="22" t="s">
        <v>18</v>
      </c>
      <c r="B33" s="36" t="s">
        <v>26</v>
      </c>
      <c r="C33" s="38">
        <f>[16]С1!F16</f>
        <v>7000</v>
      </c>
    </row>
    <row r="34" spans="1:3" ht="14.25" x14ac:dyDescent="0.2">
      <c r="A34" s="22" t="s">
        <v>27</v>
      </c>
      <c r="B34" s="39" t="s">
        <v>28</v>
      </c>
      <c r="C34" s="40">
        <f>[16]С1!F17</f>
        <v>0.72857142857142854</v>
      </c>
    </row>
    <row r="35" spans="1:3" ht="15.75" x14ac:dyDescent="0.2">
      <c r="A35" s="41" t="s">
        <v>29</v>
      </c>
      <c r="B35" s="42" t="s">
        <v>30</v>
      </c>
      <c r="C35" s="40">
        <f>[16]С1!F20</f>
        <v>21.588411179999994</v>
      </c>
    </row>
    <row r="36" spans="1:3" ht="15.75" x14ac:dyDescent="0.2">
      <c r="A36" s="41" t="s">
        <v>31</v>
      </c>
      <c r="B36" s="43" t="s">
        <v>32</v>
      </c>
      <c r="C36" s="40">
        <f>[16]С1!F21</f>
        <v>20.818139999999996</v>
      </c>
    </row>
    <row r="37" spans="1:3" ht="14.25" x14ac:dyDescent="0.2">
      <c r="A37" s="41" t="s">
        <v>33</v>
      </c>
      <c r="B37" s="44" t="s">
        <v>34</v>
      </c>
      <c r="C37" s="40">
        <f>[16]С1!F22</f>
        <v>1.0369999999999999</v>
      </c>
    </row>
    <row r="38" spans="1:3" ht="53.25" thickBot="1" x14ac:dyDescent="0.25">
      <c r="A38" s="27" t="s">
        <v>35</v>
      </c>
      <c r="B38" s="45" t="s">
        <v>36</v>
      </c>
      <c r="C38" s="46">
        <f>[16]С1!F23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[16]С2.1!E12</f>
        <v>V</v>
      </c>
    </row>
    <row r="42" spans="1:3" ht="25.5" x14ac:dyDescent="0.2">
      <c r="A42" s="22" t="s">
        <v>41</v>
      </c>
      <c r="B42" s="33" t="s">
        <v>42</v>
      </c>
      <c r="C42" s="51" t="str">
        <f>[16]С2.1!E13</f>
        <v>6 и менее баллов</v>
      </c>
    </row>
    <row r="43" spans="1:3" ht="25.5" x14ac:dyDescent="0.2">
      <c r="A43" s="22" t="s">
        <v>43</v>
      </c>
      <c r="B43" s="33" t="s">
        <v>44</v>
      </c>
      <c r="C43" s="51" t="str">
        <f>[16]С2.1!E14</f>
        <v>от 200 до 500</v>
      </c>
    </row>
    <row r="44" spans="1:3" ht="25.5" x14ac:dyDescent="0.2">
      <c r="A44" s="22" t="s">
        <v>45</v>
      </c>
      <c r="B44" s="33" t="s">
        <v>46</v>
      </c>
      <c r="C44" s="52" t="str">
        <f>[16]С2.1!E15</f>
        <v>нет</v>
      </c>
    </row>
    <row r="45" spans="1:3" ht="30" x14ac:dyDescent="0.2">
      <c r="A45" s="22" t="s">
        <v>47</v>
      </c>
      <c r="B45" s="33" t="s">
        <v>48</v>
      </c>
      <c r="C45" s="34">
        <f>[16]С2!F18</f>
        <v>38910.02669467502</v>
      </c>
    </row>
    <row r="46" spans="1:3" ht="30" x14ac:dyDescent="0.2">
      <c r="A46" s="22" t="s">
        <v>49</v>
      </c>
      <c r="B46" s="53" t="s">
        <v>50</v>
      </c>
      <c r="C46" s="34">
        <f>IF([16]С2!F19&gt;0,[16]С2!F19,[16]С2!F20)</f>
        <v>23441.524932855718</v>
      </c>
    </row>
    <row r="47" spans="1:3" ht="25.5" x14ac:dyDescent="0.2">
      <c r="A47" s="22" t="s">
        <v>51</v>
      </c>
      <c r="B47" s="54" t="s">
        <v>52</v>
      </c>
      <c r="C47" s="34">
        <f>[16]С2.1!E19</f>
        <v>-38</v>
      </c>
    </row>
    <row r="48" spans="1:3" ht="25.5" x14ac:dyDescent="0.2">
      <c r="A48" s="22" t="s">
        <v>53</v>
      </c>
      <c r="B48" s="54" t="s">
        <v>54</v>
      </c>
      <c r="C48" s="34" t="str">
        <f>[16]С2.1!E22</f>
        <v>нет</v>
      </c>
    </row>
    <row r="49" spans="1:3" ht="38.25" x14ac:dyDescent="0.2">
      <c r="A49" s="22" t="s">
        <v>55</v>
      </c>
      <c r="B49" s="55" t="s">
        <v>56</v>
      </c>
      <c r="C49" s="34">
        <f>[16]С2.2!E10</f>
        <v>1287</v>
      </c>
    </row>
    <row r="50" spans="1:3" ht="25.5" x14ac:dyDescent="0.2">
      <c r="A50" s="22" t="s">
        <v>57</v>
      </c>
      <c r="B50" s="56" t="s">
        <v>58</v>
      </c>
      <c r="C50" s="34">
        <f>[16]С2.2!E12</f>
        <v>5.97</v>
      </c>
    </row>
    <row r="51" spans="1:3" ht="52.5" x14ac:dyDescent="0.2">
      <c r="A51" s="22" t="s">
        <v>59</v>
      </c>
      <c r="B51" s="57" t="s">
        <v>60</v>
      </c>
      <c r="C51" s="34">
        <f>[16]С2.2!E13</f>
        <v>1</v>
      </c>
    </row>
    <row r="52" spans="1:3" ht="27.75" x14ac:dyDescent="0.2">
      <c r="A52" s="22" t="s">
        <v>61</v>
      </c>
      <c r="B52" s="56" t="s">
        <v>62</v>
      </c>
      <c r="C52" s="34">
        <f>[16]С2.2!E14</f>
        <v>12104</v>
      </c>
    </row>
    <row r="53" spans="1:3" ht="25.5" x14ac:dyDescent="0.2">
      <c r="A53" s="22" t="s">
        <v>63</v>
      </c>
      <c r="B53" s="57" t="s">
        <v>64</v>
      </c>
      <c r="C53" s="35">
        <f>[16]С2.2!E15</f>
        <v>4.8000000000000001E-2</v>
      </c>
    </row>
    <row r="54" spans="1:3" x14ac:dyDescent="0.2">
      <c r="A54" s="22" t="s">
        <v>65</v>
      </c>
      <c r="B54" s="57" t="s">
        <v>66</v>
      </c>
      <c r="C54" s="34">
        <f>[16]С2.2!E16</f>
        <v>1</v>
      </c>
    </row>
    <row r="55" spans="1:3" ht="15.75" x14ac:dyDescent="0.2">
      <c r="A55" s="22" t="s">
        <v>67</v>
      </c>
      <c r="B55" s="58" t="s">
        <v>68</v>
      </c>
      <c r="C55" s="34">
        <f>[16]С2!F21</f>
        <v>1</v>
      </c>
    </row>
    <row r="56" spans="1:3" ht="30" x14ac:dyDescent="0.2">
      <c r="A56" s="59" t="s">
        <v>69</v>
      </c>
      <c r="B56" s="33" t="s">
        <v>70</v>
      </c>
      <c r="C56" s="34">
        <f>[16]С2!F13</f>
        <v>203708.97017230222</v>
      </c>
    </row>
    <row r="57" spans="1:3" ht="30" x14ac:dyDescent="0.2">
      <c r="A57" s="59" t="s">
        <v>71</v>
      </c>
      <c r="B57" s="58" t="s">
        <v>72</v>
      </c>
      <c r="C57" s="34">
        <f>[16]С2!F14</f>
        <v>113455</v>
      </c>
    </row>
    <row r="58" spans="1:3" ht="15.75" x14ac:dyDescent="0.2">
      <c r="A58" s="59" t="s">
        <v>73</v>
      </c>
      <c r="B58" s="60" t="s">
        <v>74</v>
      </c>
      <c r="C58" s="40">
        <f>[16]С2!F15</f>
        <v>1.071</v>
      </c>
    </row>
    <row r="59" spans="1:3" ht="15.75" x14ac:dyDescent="0.2">
      <c r="A59" s="59" t="s">
        <v>75</v>
      </c>
      <c r="B59" s="60" t="s">
        <v>76</v>
      </c>
      <c r="C59" s="40">
        <f>[16]С2!F16</f>
        <v>1</v>
      </c>
    </row>
    <row r="60" spans="1:3" ht="17.25" x14ac:dyDescent="0.2">
      <c r="A60" s="59" t="s">
        <v>77</v>
      </c>
      <c r="B60" s="58" t="s">
        <v>78</v>
      </c>
      <c r="C60" s="34">
        <f>[16]С2!F17</f>
        <v>1.01</v>
      </c>
    </row>
    <row r="61" spans="1:3" s="63" customFormat="1" ht="14.25" x14ac:dyDescent="0.2">
      <c r="A61" s="59" t="s">
        <v>79</v>
      </c>
      <c r="B61" s="61" t="s">
        <v>80</v>
      </c>
      <c r="C61" s="62">
        <f>[16]С2!F33</f>
        <v>10</v>
      </c>
    </row>
    <row r="62" spans="1:3" ht="30" x14ac:dyDescent="0.2">
      <c r="A62" s="59" t="s">
        <v>81</v>
      </c>
      <c r="B62" s="64" t="s">
        <v>82</v>
      </c>
      <c r="C62" s="34">
        <f>[16]С2!F26</f>
        <v>1349.309862285194</v>
      </c>
    </row>
    <row r="63" spans="1:3" ht="17.25" x14ac:dyDescent="0.2">
      <c r="A63" s="59" t="s">
        <v>83</v>
      </c>
      <c r="B63" s="53" t="s">
        <v>84</v>
      </c>
      <c r="C63" s="34">
        <f>[16]С2!F27</f>
        <v>0.19354712999999998</v>
      </c>
    </row>
    <row r="64" spans="1:3" ht="17.25" x14ac:dyDescent="0.2">
      <c r="A64" s="59" t="s">
        <v>85</v>
      </c>
      <c r="B64" s="58" t="s">
        <v>86</v>
      </c>
      <c r="C64" s="62">
        <f>[16]С2!F28</f>
        <v>4200</v>
      </c>
    </row>
    <row r="65" spans="1:3" ht="42.75" x14ac:dyDescent="0.2">
      <c r="A65" s="59" t="s">
        <v>87</v>
      </c>
      <c r="B65" s="33" t="s">
        <v>88</v>
      </c>
      <c r="C65" s="34">
        <f>[16]С2!F22</f>
        <v>42890.921752741691</v>
      </c>
    </row>
    <row r="66" spans="1:3" ht="30" x14ac:dyDescent="0.2">
      <c r="A66" s="59" t="s">
        <v>89</v>
      </c>
      <c r="B66" s="60" t="s">
        <v>90</v>
      </c>
      <c r="C66" s="34">
        <f>[16]С2!F23</f>
        <v>1990</v>
      </c>
    </row>
    <row r="67" spans="1:3" ht="30" x14ac:dyDescent="0.2">
      <c r="A67" s="59" t="s">
        <v>91</v>
      </c>
      <c r="B67" s="53" t="s">
        <v>92</v>
      </c>
      <c r="C67" s="34">
        <f>[16]С2.1!E27</f>
        <v>14307.876789999998</v>
      </c>
    </row>
    <row r="68" spans="1:3" ht="38.25" x14ac:dyDescent="0.2">
      <c r="A68" s="59" t="s">
        <v>93</v>
      </c>
      <c r="B68" s="65" t="s">
        <v>94</v>
      </c>
      <c r="C68" s="52">
        <f>[16]С2.3!E21</f>
        <v>0</v>
      </c>
    </row>
    <row r="69" spans="1:3" ht="25.5" x14ac:dyDescent="0.2">
      <c r="A69" s="59" t="s">
        <v>95</v>
      </c>
      <c r="B69" s="66" t="s">
        <v>96</v>
      </c>
      <c r="C69" s="67">
        <f>[16]С2.3!E11</f>
        <v>9.89</v>
      </c>
    </row>
    <row r="70" spans="1:3" ht="25.5" x14ac:dyDescent="0.2">
      <c r="A70" s="59" t="s">
        <v>97</v>
      </c>
      <c r="B70" s="66" t="s">
        <v>98</v>
      </c>
      <c r="C70" s="62">
        <f>[16]С2.3!E13</f>
        <v>300</v>
      </c>
    </row>
    <row r="71" spans="1:3" ht="25.5" x14ac:dyDescent="0.2">
      <c r="A71" s="59" t="s">
        <v>99</v>
      </c>
      <c r="B71" s="65" t="s">
        <v>100</v>
      </c>
      <c r="C71" s="68">
        <f>IF([16]С2.3!E22&gt;0,[16]С2.3!E22,[16]С2.3!E14)</f>
        <v>61211</v>
      </c>
    </row>
    <row r="72" spans="1:3" ht="38.25" x14ac:dyDescent="0.2">
      <c r="A72" s="59" t="s">
        <v>101</v>
      </c>
      <c r="B72" s="65" t="s">
        <v>102</v>
      </c>
      <c r="C72" s="68">
        <f>IF([16]С2.3!E23&gt;0,[16]С2.3!E23,[16]С2.3!E15)</f>
        <v>45675</v>
      </c>
    </row>
    <row r="73" spans="1:3" ht="30" x14ac:dyDescent="0.2">
      <c r="A73" s="59" t="s">
        <v>103</v>
      </c>
      <c r="B73" s="53" t="s">
        <v>104</v>
      </c>
      <c r="C73" s="34">
        <f>[16]С2.1!E28</f>
        <v>9541.9567200000001</v>
      </c>
    </row>
    <row r="74" spans="1:3" ht="38.25" x14ac:dyDescent="0.2">
      <c r="A74" s="59" t="s">
        <v>105</v>
      </c>
      <c r="B74" s="65" t="s">
        <v>106</v>
      </c>
      <c r="C74" s="52">
        <f>[16]С2.3!E25</f>
        <v>0</v>
      </c>
    </row>
    <row r="75" spans="1:3" ht="25.5" x14ac:dyDescent="0.2">
      <c r="A75" s="59" t="s">
        <v>107</v>
      </c>
      <c r="B75" s="66" t="s">
        <v>108</v>
      </c>
      <c r="C75" s="67">
        <f>[16]С2.3!E12</f>
        <v>0.56000000000000005</v>
      </c>
    </row>
    <row r="76" spans="1:3" ht="25.5" x14ac:dyDescent="0.2">
      <c r="A76" s="59" t="s">
        <v>109</v>
      </c>
      <c r="B76" s="66" t="s">
        <v>98</v>
      </c>
      <c r="C76" s="62">
        <f>[16]С2.3!E13</f>
        <v>300</v>
      </c>
    </row>
    <row r="77" spans="1:3" ht="25.5" x14ac:dyDescent="0.2">
      <c r="A77" s="59" t="s">
        <v>110</v>
      </c>
      <c r="B77" s="69" t="s">
        <v>111</v>
      </c>
      <c r="C77" s="68">
        <f>IF([16]С2.3!E26&gt;0,[16]С2.3!E26,[16]С2.3!E16)</f>
        <v>65637</v>
      </c>
    </row>
    <row r="78" spans="1:3" ht="38.25" x14ac:dyDescent="0.2">
      <c r="A78" s="59" t="s">
        <v>112</v>
      </c>
      <c r="B78" s="69" t="s">
        <v>113</v>
      </c>
      <c r="C78" s="68">
        <f>IF([16]С2.3!E27&gt;0,[16]С2.3!E27,[16]С2.3!E17)</f>
        <v>31684</v>
      </c>
    </row>
    <row r="79" spans="1:3" ht="17.25" x14ac:dyDescent="0.2">
      <c r="A79" s="59" t="s">
        <v>114</v>
      </c>
      <c r="B79" s="33" t="s">
        <v>115</v>
      </c>
      <c r="C79" s="35">
        <f>[16]С2!F29</f>
        <v>0.17804631770487722</v>
      </c>
    </row>
    <row r="80" spans="1:3" ht="30" x14ac:dyDescent="0.2">
      <c r="A80" s="59" t="s">
        <v>116</v>
      </c>
      <c r="B80" s="53" t="s">
        <v>117</v>
      </c>
      <c r="C80" s="70">
        <f>[16]С2!F30</f>
        <v>0.1652189781021898</v>
      </c>
    </row>
    <row r="81" spans="1:3" ht="17.25" x14ac:dyDescent="0.2">
      <c r="A81" s="59" t="s">
        <v>118</v>
      </c>
      <c r="B81" s="71" t="s">
        <v>119</v>
      </c>
      <c r="C81" s="35">
        <f>[16]С2!F31</f>
        <v>0.13880000000000001</v>
      </c>
    </row>
    <row r="82" spans="1:3" s="63" customFormat="1" ht="18" thickBot="1" x14ac:dyDescent="0.25">
      <c r="A82" s="72" t="s">
        <v>120</v>
      </c>
      <c r="B82" s="73" t="s">
        <v>121</v>
      </c>
      <c r="C82" s="74">
        <f>[16]С2!F32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[16]С3!F14</f>
        <v>14784.578474435859</v>
      </c>
    </row>
    <row r="86" spans="1:3" s="63" customFormat="1" ht="42.75" x14ac:dyDescent="0.2">
      <c r="A86" s="77" t="s">
        <v>126</v>
      </c>
      <c r="B86" s="53" t="s">
        <v>127</v>
      </c>
      <c r="C86" s="78">
        <f>[16]С3!F15</f>
        <v>0.25</v>
      </c>
    </row>
    <row r="87" spans="1:3" s="63" customFormat="1" ht="14.25" x14ac:dyDescent="0.2">
      <c r="A87" s="77" t="s">
        <v>128</v>
      </c>
      <c r="B87" s="79" t="s">
        <v>129</v>
      </c>
      <c r="C87" s="62">
        <f>[16]С3!F18</f>
        <v>15</v>
      </c>
    </row>
    <row r="88" spans="1:3" s="63" customFormat="1" ht="17.25" x14ac:dyDescent="0.2">
      <c r="A88" s="77" t="s">
        <v>130</v>
      </c>
      <c r="B88" s="33" t="s">
        <v>131</v>
      </c>
      <c r="C88" s="34">
        <f>[16]С3!F19</f>
        <v>4187.478806422544</v>
      </c>
    </row>
    <row r="89" spans="1:3" s="63" customFormat="1" ht="55.5" x14ac:dyDescent="0.2">
      <c r="A89" s="77" t="s">
        <v>132</v>
      </c>
      <c r="B89" s="53" t="s">
        <v>133</v>
      </c>
      <c r="C89" s="80">
        <f>[16]С3!F20</f>
        <v>2.1999999999999999E-2</v>
      </c>
    </row>
    <row r="90" spans="1:3" s="63" customFormat="1" ht="14.25" x14ac:dyDescent="0.2">
      <c r="A90" s="77" t="s">
        <v>134</v>
      </c>
      <c r="B90" s="58" t="s">
        <v>80</v>
      </c>
      <c r="C90" s="62">
        <f>[16]С3!F21</f>
        <v>10</v>
      </c>
    </row>
    <row r="91" spans="1:3" s="63" customFormat="1" ht="17.25" x14ac:dyDescent="0.2">
      <c r="A91" s="77" t="s">
        <v>135</v>
      </c>
      <c r="B91" s="33" t="s">
        <v>136</v>
      </c>
      <c r="C91" s="34">
        <f>[16]С3!F22</f>
        <v>4.0479295868555818</v>
      </c>
    </row>
    <row r="92" spans="1:3" s="63" customFormat="1" ht="55.5" x14ac:dyDescent="0.2">
      <c r="A92" s="77" t="s">
        <v>137</v>
      </c>
      <c r="B92" s="53" t="s">
        <v>138</v>
      </c>
      <c r="C92" s="80">
        <f>[16]С3!F23</f>
        <v>3.0000000000000001E-3</v>
      </c>
    </row>
    <row r="93" spans="1:3" s="63" customFormat="1" ht="27.75" thickBot="1" x14ac:dyDescent="0.25">
      <c r="A93" s="81" t="s">
        <v>139</v>
      </c>
      <c r="B93" s="82" t="s">
        <v>140</v>
      </c>
      <c r="C93" s="83">
        <f>[16]С3!F24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[16]С4!F16</f>
        <v>1652.5</v>
      </c>
    </row>
    <row r="97" spans="1:3" ht="30" x14ac:dyDescent="0.2">
      <c r="A97" s="59" t="s">
        <v>145</v>
      </c>
      <c r="B97" s="58" t="s">
        <v>146</v>
      </c>
      <c r="C97" s="34">
        <f>[16]С4!F17</f>
        <v>73547</v>
      </c>
    </row>
    <row r="98" spans="1:3" ht="17.25" x14ac:dyDescent="0.2">
      <c r="A98" s="59" t="s">
        <v>147</v>
      </c>
      <c r="B98" s="58" t="s">
        <v>148</v>
      </c>
      <c r="C98" s="40">
        <f>[16]С4!F18</f>
        <v>0.02</v>
      </c>
    </row>
    <row r="99" spans="1:3" ht="30" x14ac:dyDescent="0.2">
      <c r="A99" s="59" t="s">
        <v>149</v>
      </c>
      <c r="B99" s="58" t="s">
        <v>150</v>
      </c>
      <c r="C99" s="34">
        <f>[16]С4!F19</f>
        <v>12104</v>
      </c>
    </row>
    <row r="100" spans="1:3" ht="31.5" x14ac:dyDescent="0.2">
      <c r="A100" s="59" t="s">
        <v>151</v>
      </c>
      <c r="B100" s="58" t="s">
        <v>152</v>
      </c>
      <c r="C100" s="40">
        <f>[16]С4!F20</f>
        <v>1.4999999999999999E-2</v>
      </c>
    </row>
    <row r="101" spans="1:3" ht="30" x14ac:dyDescent="0.2">
      <c r="A101" s="59" t="s">
        <v>153</v>
      </c>
      <c r="B101" s="33" t="s">
        <v>154</v>
      </c>
      <c r="C101" s="34">
        <f>[16]С4!F21</f>
        <v>1933.1949342509995</v>
      </c>
    </row>
    <row r="102" spans="1:3" ht="24" customHeight="1" x14ac:dyDescent="0.2">
      <c r="A102" s="59" t="s">
        <v>155</v>
      </c>
      <c r="B102" s="53" t="s">
        <v>156</v>
      </c>
      <c r="C102" s="85">
        <f>IF([16]С4.2!F8="да",[16]С4.2!D21,[16]С4.2!D15)</f>
        <v>0</v>
      </c>
    </row>
    <row r="103" spans="1:3" ht="68.25" x14ac:dyDescent="0.2">
      <c r="A103" s="59" t="s">
        <v>157</v>
      </c>
      <c r="B103" s="53" t="s">
        <v>158</v>
      </c>
      <c r="C103" s="34">
        <f>[16]С4!F22</f>
        <v>3.6112641666666665</v>
      </c>
    </row>
    <row r="104" spans="1:3" ht="30" x14ac:dyDescent="0.2">
      <c r="A104" s="59" t="s">
        <v>159</v>
      </c>
      <c r="B104" s="58" t="s">
        <v>160</v>
      </c>
      <c r="C104" s="34">
        <f>[16]С4!F23</f>
        <v>180</v>
      </c>
    </row>
    <row r="105" spans="1:3" ht="14.25" x14ac:dyDescent="0.2">
      <c r="A105" s="59" t="s">
        <v>161</v>
      </c>
      <c r="B105" s="53" t="s">
        <v>162</v>
      </c>
      <c r="C105" s="34">
        <f>[16]С4!F24</f>
        <v>8497.1999999999989</v>
      </c>
    </row>
    <row r="106" spans="1:3" ht="14.25" x14ac:dyDescent="0.2">
      <c r="A106" s="59" t="s">
        <v>163</v>
      </c>
      <c r="B106" s="58" t="s">
        <v>164</v>
      </c>
      <c r="C106" s="40">
        <f>[16]С4!F25</f>
        <v>0.35</v>
      </c>
    </row>
    <row r="107" spans="1:3" ht="17.25" x14ac:dyDescent="0.2">
      <c r="A107" s="59" t="s">
        <v>165</v>
      </c>
      <c r="B107" s="33" t="s">
        <v>166</v>
      </c>
      <c r="C107" s="34">
        <f>[16]С4!F26</f>
        <v>63.624275000000004</v>
      </c>
    </row>
    <row r="108" spans="1:3" ht="25.5" x14ac:dyDescent="0.2">
      <c r="A108" s="59" t="s">
        <v>167</v>
      </c>
      <c r="B108" s="53" t="s">
        <v>94</v>
      </c>
      <c r="C108" s="85">
        <f>[16]С4.3!E16</f>
        <v>0</v>
      </c>
    </row>
    <row r="109" spans="1:3" ht="25.5" x14ac:dyDescent="0.2">
      <c r="A109" s="59" t="s">
        <v>168</v>
      </c>
      <c r="B109" s="53" t="s">
        <v>169</v>
      </c>
      <c r="C109" s="34">
        <f>[16]С4.3!E17</f>
        <v>15.258333333333333</v>
      </c>
    </row>
    <row r="110" spans="1:3" ht="38.25" x14ac:dyDescent="0.2">
      <c r="A110" s="59" t="s">
        <v>170</v>
      </c>
      <c r="B110" s="53" t="s">
        <v>106</v>
      </c>
      <c r="C110" s="85">
        <f>[16]С4.3!E18</f>
        <v>0</v>
      </c>
    </row>
    <row r="111" spans="1:3" x14ac:dyDescent="0.2">
      <c r="A111" s="59" t="s">
        <v>171</v>
      </c>
      <c r="B111" s="53" t="s">
        <v>172</v>
      </c>
      <c r="C111" s="34">
        <f>[16]С4.3!E19</f>
        <v>49.575000000000003</v>
      </c>
    </row>
    <row r="112" spans="1:3" x14ac:dyDescent="0.2">
      <c r="A112" s="59" t="s">
        <v>173</v>
      </c>
      <c r="B112" s="58" t="s">
        <v>174</v>
      </c>
      <c r="C112" s="34">
        <f>[16]С4.3!E11</f>
        <v>1871</v>
      </c>
    </row>
    <row r="113" spans="1:3" x14ac:dyDescent="0.2">
      <c r="A113" s="59" t="s">
        <v>175</v>
      </c>
      <c r="B113" s="58" t="s">
        <v>176</v>
      </c>
      <c r="C113" s="52">
        <f>[16]С4.3!E12</f>
        <v>1636</v>
      </c>
    </row>
    <row r="114" spans="1:3" x14ac:dyDescent="0.2">
      <c r="A114" s="59" t="s">
        <v>177</v>
      </c>
      <c r="B114" s="58" t="s">
        <v>178</v>
      </c>
      <c r="C114" s="52">
        <f>[16]С4.3!E13</f>
        <v>204</v>
      </c>
    </row>
    <row r="115" spans="1:3" ht="30" x14ac:dyDescent="0.2">
      <c r="A115" s="59" t="s">
        <v>179</v>
      </c>
      <c r="B115" s="33" t="s">
        <v>180</v>
      </c>
      <c r="C115" s="34">
        <f>[16]С4!F27</f>
        <v>1291.2863994686898</v>
      </c>
    </row>
    <row r="116" spans="1:3" ht="25.5" x14ac:dyDescent="0.2">
      <c r="A116" s="59" t="s">
        <v>181</v>
      </c>
      <c r="B116" s="53" t="s">
        <v>182</v>
      </c>
      <c r="C116" s="34">
        <f>[16]С4!F28</f>
        <v>991.77142816335618</v>
      </c>
    </row>
    <row r="117" spans="1:3" ht="42.75" x14ac:dyDescent="0.2">
      <c r="A117" s="59" t="s">
        <v>183</v>
      </c>
      <c r="B117" s="53" t="s">
        <v>184</v>
      </c>
      <c r="C117" s="34">
        <f>[16]С4!F29</f>
        <v>299.51497130533357</v>
      </c>
    </row>
    <row r="118" spans="1:3" ht="30" x14ac:dyDescent="0.2">
      <c r="A118" s="59" t="s">
        <v>185</v>
      </c>
      <c r="B118" s="39" t="s">
        <v>186</v>
      </c>
      <c r="C118" s="34">
        <f>[16]С4!F30</f>
        <v>2673.0233326064154</v>
      </c>
    </row>
    <row r="119" spans="1:3" ht="42.75" x14ac:dyDescent="0.2">
      <c r="A119" s="59" t="s">
        <v>187</v>
      </c>
      <c r="B119" s="86" t="s">
        <v>188</v>
      </c>
      <c r="C119" s="34">
        <f>[16]С4!F33</f>
        <v>1474.6216188657568</v>
      </c>
    </row>
    <row r="120" spans="1:3" ht="30" x14ac:dyDescent="0.2">
      <c r="A120" s="59" t="s">
        <v>189</v>
      </c>
      <c r="B120" s="87" t="s">
        <v>190</v>
      </c>
      <c r="C120" s="34">
        <f>[16]С4!F35</f>
        <v>17.040680999999999</v>
      </c>
    </row>
    <row r="121" spans="1:3" ht="14.25" x14ac:dyDescent="0.2">
      <c r="A121" s="59" t="s">
        <v>191</v>
      </c>
      <c r="B121" s="56" t="s">
        <v>192</v>
      </c>
      <c r="C121" s="34">
        <f>[16]С4!F36</f>
        <v>14319.9</v>
      </c>
    </row>
    <row r="122" spans="1:3" ht="28.5" thickBot="1" x14ac:dyDescent="0.25">
      <c r="A122" s="72" t="s">
        <v>193</v>
      </c>
      <c r="B122" s="88" t="s">
        <v>194</v>
      </c>
      <c r="C122" s="83">
        <f>[16]С4!F37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[16]С5!F17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[16]С2!F37</f>
        <v>20.818139999999996</v>
      </c>
    </row>
    <row r="136" spans="1:3" ht="14.25" x14ac:dyDescent="0.2">
      <c r="A136" s="59" t="s">
        <v>216</v>
      </c>
      <c r="B136" s="101" t="s">
        <v>217</v>
      </c>
      <c r="C136" s="34">
        <f>[16]С2!F38</f>
        <v>7</v>
      </c>
    </row>
    <row r="137" spans="1:3" ht="17.25" x14ac:dyDescent="0.2">
      <c r="A137" s="59" t="s">
        <v>218</v>
      </c>
      <c r="B137" s="101" t="s">
        <v>219</v>
      </c>
      <c r="C137" s="34">
        <f>[16]С2!F40</f>
        <v>0.97</v>
      </c>
    </row>
    <row r="138" spans="1:3" ht="15" thickBot="1" x14ac:dyDescent="0.25">
      <c r="A138" s="72" t="s">
        <v>220</v>
      </c>
      <c r="B138" s="102" t="s">
        <v>221</v>
      </c>
      <c r="C138" s="46">
        <f>[16]С2!F42</f>
        <v>0.35</v>
      </c>
    </row>
    <row r="139" spans="1:3" s="89" customFormat="1" ht="13.5" thickBot="1" x14ac:dyDescent="0.25">
      <c r="A139" s="47"/>
      <c r="B139" s="75"/>
      <c r="C139" s="15"/>
    </row>
    <row r="140" spans="1:3" ht="30" x14ac:dyDescent="0.2">
      <c r="A140" s="84" t="s">
        <v>222</v>
      </c>
      <c r="B140" s="103" t="s">
        <v>223</v>
      </c>
      <c r="C140" s="104">
        <f>[16]С2!F35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[16]С2.5!$E$11</f>
        <v>-2.9000000000000026E-2</v>
      </c>
    </row>
    <row r="144" spans="1:3" x14ac:dyDescent="0.2">
      <c r="A144" s="105"/>
      <c r="B144" s="110">
        <f>B143+1</f>
        <v>2021</v>
      </c>
      <c r="C144" s="111">
        <f>[16]С2.5!$F$11</f>
        <v>0.245</v>
      </c>
    </row>
    <row r="145" spans="1:3" x14ac:dyDescent="0.2">
      <c r="A145" s="105"/>
      <c r="B145" s="110">
        <f t="shared" ref="B145:B208" si="0">B144+1</f>
        <v>2022</v>
      </c>
      <c r="C145" s="111">
        <f>[16]С2.5!$G$11</f>
        <v>0.114</v>
      </c>
    </row>
    <row r="146" spans="1:3" ht="13.5" thickBot="1" x14ac:dyDescent="0.25">
      <c r="A146" s="105"/>
      <c r="B146" s="112">
        <f t="shared" si="0"/>
        <v>2023</v>
      </c>
      <c r="C146" s="113">
        <f>[16]С2.5!$H$11</f>
        <v>0.04</v>
      </c>
    </row>
    <row r="147" spans="1:3" x14ac:dyDescent="0.2">
      <c r="A147" s="105"/>
      <c r="B147" s="114">
        <f t="shared" si="0"/>
        <v>2024</v>
      </c>
      <c r="C147" s="115">
        <f>[16]С2.5!$I$11</f>
        <v>0.11700000000000001</v>
      </c>
    </row>
    <row r="148" spans="1:3" x14ac:dyDescent="0.2">
      <c r="A148" s="105"/>
      <c r="B148" s="110">
        <f t="shared" si="0"/>
        <v>2025</v>
      </c>
      <c r="C148" s="111">
        <f>[16]С2.5!$J$11</f>
        <v>6.0999999999999999E-2</v>
      </c>
    </row>
    <row r="149" spans="1:3" hidden="1" x14ac:dyDescent="0.2">
      <c r="A149" s="105"/>
      <c r="B149" s="110">
        <f t="shared" si="0"/>
        <v>2026</v>
      </c>
      <c r="C149" s="111">
        <f>[16]С2.5!$K$11</f>
        <v>3.5813361771260002E-2</v>
      </c>
    </row>
    <row r="150" spans="1:3" hidden="1" x14ac:dyDescent="0.2">
      <c r="A150" s="105"/>
      <c r="B150" s="110">
        <f t="shared" si="0"/>
        <v>2027</v>
      </c>
      <c r="C150" s="111">
        <f>[16]С2.5!$L$11</f>
        <v>3.2682303599220003E-2</v>
      </c>
    </row>
    <row r="151" spans="1:3" hidden="1" x14ac:dyDescent="0.2">
      <c r="A151" s="105"/>
      <c r="B151" s="110">
        <f t="shared" si="0"/>
        <v>2028</v>
      </c>
      <c r="C151" s="111">
        <f>[16]С2.5!$M$11</f>
        <v>0</v>
      </c>
    </row>
    <row r="152" spans="1:3" hidden="1" x14ac:dyDescent="0.2">
      <c r="A152" s="105"/>
      <c r="B152" s="110">
        <f t="shared" si="0"/>
        <v>2029</v>
      </c>
      <c r="C152" s="111">
        <f>[16]С2.5!$N$11</f>
        <v>0</v>
      </c>
    </row>
    <row r="153" spans="1:3" hidden="1" x14ac:dyDescent="0.2">
      <c r="A153" s="105"/>
      <c r="B153" s="110">
        <f t="shared" si="0"/>
        <v>2030</v>
      </c>
      <c r="C153" s="111">
        <f>[16]С2.5!$O$11</f>
        <v>0</v>
      </c>
    </row>
    <row r="154" spans="1:3" hidden="1" x14ac:dyDescent="0.2">
      <c r="A154" s="105"/>
      <c r="B154" s="110">
        <f t="shared" si="0"/>
        <v>2031</v>
      </c>
      <c r="C154" s="111">
        <f>[16]С2.5!$P$11</f>
        <v>0</v>
      </c>
    </row>
    <row r="155" spans="1:3" hidden="1" x14ac:dyDescent="0.2">
      <c r="A155" s="89"/>
      <c r="B155" s="110">
        <f t="shared" si="0"/>
        <v>2032</v>
      </c>
      <c r="C155" s="111">
        <f>[16]С2.5!$Q$11</f>
        <v>0</v>
      </c>
    </row>
    <row r="156" spans="1:3" hidden="1" x14ac:dyDescent="0.2">
      <c r="A156" s="89"/>
      <c r="B156" s="110">
        <f t="shared" si="0"/>
        <v>2033</v>
      </c>
      <c r="C156" s="111">
        <f>[16]С2.5!$R$11</f>
        <v>0</v>
      </c>
    </row>
    <row r="157" spans="1:3" hidden="1" x14ac:dyDescent="0.2">
      <c r="B157" s="110">
        <f t="shared" si="0"/>
        <v>2034</v>
      </c>
      <c r="C157" s="111">
        <f>[16]С2.5!$S$11</f>
        <v>0</v>
      </c>
    </row>
    <row r="158" spans="1:3" hidden="1" x14ac:dyDescent="0.2">
      <c r="B158" s="110">
        <f t="shared" si="0"/>
        <v>2035</v>
      </c>
      <c r="C158" s="111">
        <f>[16]С2.5!$T$11</f>
        <v>0</v>
      </c>
    </row>
    <row r="159" spans="1:3" hidden="1" x14ac:dyDescent="0.2">
      <c r="B159" s="110">
        <f t="shared" si="0"/>
        <v>2036</v>
      </c>
      <c r="C159" s="111">
        <f>[16]С2.5!$U$11</f>
        <v>0</v>
      </c>
    </row>
    <row r="160" spans="1:3" hidden="1" x14ac:dyDescent="0.2">
      <c r="B160" s="110">
        <f t="shared" si="0"/>
        <v>2037</v>
      </c>
      <c r="C160" s="111">
        <f>[16]С2.5!$V$11</f>
        <v>0</v>
      </c>
    </row>
    <row r="161" spans="2:3" hidden="1" x14ac:dyDescent="0.2">
      <c r="B161" s="110">
        <f t="shared" si="0"/>
        <v>2038</v>
      </c>
      <c r="C161" s="111">
        <f>[16]С2.5!$W$11</f>
        <v>0</v>
      </c>
    </row>
    <row r="162" spans="2:3" hidden="1" x14ac:dyDescent="0.2">
      <c r="B162" s="110">
        <f t="shared" si="0"/>
        <v>2039</v>
      </c>
      <c r="C162" s="111">
        <f>[16]С2.5!$X$11</f>
        <v>0</v>
      </c>
    </row>
    <row r="163" spans="2:3" hidden="1" x14ac:dyDescent="0.2">
      <c r="B163" s="110">
        <f t="shared" si="0"/>
        <v>2040</v>
      </c>
      <c r="C163" s="111">
        <f>[16]С2.5!$Y$11</f>
        <v>0</v>
      </c>
    </row>
    <row r="164" spans="2:3" hidden="1" x14ac:dyDescent="0.2">
      <c r="B164" s="110">
        <f t="shared" si="0"/>
        <v>2041</v>
      </c>
      <c r="C164" s="111">
        <f>[16]С2.5!$Z$11</f>
        <v>0</v>
      </c>
    </row>
    <row r="165" spans="2:3" hidden="1" x14ac:dyDescent="0.2">
      <c r="B165" s="110">
        <f t="shared" si="0"/>
        <v>2042</v>
      </c>
      <c r="C165" s="111">
        <f>[16]С2.5!$AA$11</f>
        <v>0</v>
      </c>
    </row>
    <row r="166" spans="2:3" hidden="1" x14ac:dyDescent="0.2">
      <c r="B166" s="110">
        <f t="shared" si="0"/>
        <v>2043</v>
      </c>
      <c r="C166" s="111">
        <f>[16]С2.5!$AB$11</f>
        <v>0</v>
      </c>
    </row>
    <row r="167" spans="2:3" hidden="1" x14ac:dyDescent="0.2">
      <c r="B167" s="110">
        <f t="shared" si="0"/>
        <v>2044</v>
      </c>
      <c r="C167" s="111">
        <f>[16]С2.5!$AC$11</f>
        <v>0</v>
      </c>
    </row>
    <row r="168" spans="2:3" hidden="1" x14ac:dyDescent="0.2">
      <c r="B168" s="110">
        <f t="shared" si="0"/>
        <v>2045</v>
      </c>
      <c r="C168" s="111">
        <f>[16]С2.5!$AD$11</f>
        <v>0</v>
      </c>
    </row>
    <row r="169" spans="2:3" hidden="1" x14ac:dyDescent="0.2">
      <c r="B169" s="110">
        <f t="shared" si="0"/>
        <v>2046</v>
      </c>
      <c r="C169" s="111">
        <f>[16]С2.5!$AE$11</f>
        <v>0</v>
      </c>
    </row>
    <row r="170" spans="2:3" hidden="1" x14ac:dyDescent="0.2">
      <c r="B170" s="110">
        <f t="shared" si="0"/>
        <v>2047</v>
      </c>
      <c r="C170" s="111">
        <f>[16]С2.5!$AF$11</f>
        <v>0</v>
      </c>
    </row>
    <row r="171" spans="2:3" hidden="1" x14ac:dyDescent="0.2">
      <c r="B171" s="110">
        <f t="shared" si="0"/>
        <v>2048</v>
      </c>
      <c r="C171" s="111">
        <f>[16]С2.5!$AG$11</f>
        <v>0</v>
      </c>
    </row>
    <row r="172" spans="2:3" hidden="1" x14ac:dyDescent="0.2">
      <c r="B172" s="110">
        <f t="shared" si="0"/>
        <v>2049</v>
      </c>
      <c r="C172" s="111">
        <f>[16]С2.5!$AH$11</f>
        <v>0</v>
      </c>
    </row>
    <row r="173" spans="2:3" hidden="1" x14ac:dyDescent="0.2">
      <c r="B173" s="110">
        <f t="shared" si="0"/>
        <v>2050</v>
      </c>
      <c r="C173" s="111">
        <f>[16]С2.5!$AI$11</f>
        <v>0</v>
      </c>
    </row>
    <row r="174" spans="2:3" hidden="1" x14ac:dyDescent="0.2">
      <c r="B174" s="110">
        <f t="shared" si="0"/>
        <v>2051</v>
      </c>
      <c r="C174" s="111">
        <f>[16]С2.5!$AJ$11</f>
        <v>0</v>
      </c>
    </row>
    <row r="175" spans="2:3" hidden="1" x14ac:dyDescent="0.2">
      <c r="B175" s="110">
        <f t="shared" si="0"/>
        <v>2052</v>
      </c>
      <c r="C175" s="111">
        <f>[16]С2.5!$AK$11</f>
        <v>0</v>
      </c>
    </row>
    <row r="176" spans="2:3" hidden="1" x14ac:dyDescent="0.2">
      <c r="B176" s="110">
        <f t="shared" si="0"/>
        <v>2053</v>
      </c>
      <c r="C176" s="111">
        <f>[16]С2.5!$AL$11</f>
        <v>0</v>
      </c>
    </row>
    <row r="177" spans="2:3" hidden="1" x14ac:dyDescent="0.2">
      <c r="B177" s="110">
        <f t="shared" si="0"/>
        <v>2054</v>
      </c>
      <c r="C177" s="111">
        <f>[16]С2.5!$AM$11</f>
        <v>0</v>
      </c>
    </row>
    <row r="178" spans="2:3" hidden="1" x14ac:dyDescent="0.2">
      <c r="B178" s="110">
        <f t="shared" si="0"/>
        <v>2055</v>
      </c>
      <c r="C178" s="111">
        <f>[16]С2.5!$AN$11</f>
        <v>0</v>
      </c>
    </row>
    <row r="179" spans="2:3" hidden="1" x14ac:dyDescent="0.2">
      <c r="B179" s="110">
        <f t="shared" si="0"/>
        <v>2056</v>
      </c>
      <c r="C179" s="111">
        <f>[16]С2.5!$AO$11</f>
        <v>0</v>
      </c>
    </row>
    <row r="180" spans="2:3" hidden="1" x14ac:dyDescent="0.2">
      <c r="B180" s="110">
        <f t="shared" si="0"/>
        <v>2057</v>
      </c>
      <c r="C180" s="111">
        <f>[16]С2.5!$AP$11</f>
        <v>0</v>
      </c>
    </row>
    <row r="181" spans="2:3" hidden="1" x14ac:dyDescent="0.2">
      <c r="B181" s="110">
        <f t="shared" si="0"/>
        <v>2058</v>
      </c>
      <c r="C181" s="111">
        <f>[16]С2.5!$AQ$11</f>
        <v>0</v>
      </c>
    </row>
    <row r="182" spans="2:3" hidden="1" x14ac:dyDescent="0.2">
      <c r="B182" s="110">
        <f t="shared" si="0"/>
        <v>2059</v>
      </c>
      <c r="C182" s="111">
        <f>[16]С2.5!$AR$11</f>
        <v>0</v>
      </c>
    </row>
    <row r="183" spans="2:3" hidden="1" x14ac:dyDescent="0.2">
      <c r="B183" s="110">
        <f t="shared" si="0"/>
        <v>2060</v>
      </c>
      <c r="C183" s="111">
        <f>[16]С2.5!$AS$11</f>
        <v>0</v>
      </c>
    </row>
    <row r="184" spans="2:3" hidden="1" x14ac:dyDescent="0.2">
      <c r="B184" s="110">
        <f t="shared" si="0"/>
        <v>2061</v>
      </c>
      <c r="C184" s="111">
        <f>[16]С2.5!$AT$11</f>
        <v>0</v>
      </c>
    </row>
    <row r="185" spans="2:3" hidden="1" x14ac:dyDescent="0.2">
      <c r="B185" s="110">
        <f t="shared" si="0"/>
        <v>2062</v>
      </c>
      <c r="C185" s="111">
        <f>[16]С2.5!$AU$11</f>
        <v>0</v>
      </c>
    </row>
    <row r="186" spans="2:3" hidden="1" x14ac:dyDescent="0.2">
      <c r="B186" s="110">
        <f t="shared" si="0"/>
        <v>2063</v>
      </c>
      <c r="C186" s="111">
        <f>[16]С2.5!$AV$11</f>
        <v>0</v>
      </c>
    </row>
    <row r="187" spans="2:3" hidden="1" x14ac:dyDescent="0.2">
      <c r="B187" s="110">
        <f t="shared" si="0"/>
        <v>2064</v>
      </c>
      <c r="C187" s="111">
        <f>[16]С2.5!$AW$11</f>
        <v>0</v>
      </c>
    </row>
    <row r="188" spans="2:3" hidden="1" x14ac:dyDescent="0.2">
      <c r="B188" s="110">
        <f t="shared" si="0"/>
        <v>2065</v>
      </c>
      <c r="C188" s="111">
        <f>[16]С2.5!$AX$11</f>
        <v>0</v>
      </c>
    </row>
    <row r="189" spans="2:3" hidden="1" x14ac:dyDescent="0.2">
      <c r="B189" s="110">
        <f t="shared" si="0"/>
        <v>2066</v>
      </c>
      <c r="C189" s="111">
        <f>[16]С2.5!$AY$11</f>
        <v>0</v>
      </c>
    </row>
    <row r="190" spans="2:3" hidden="1" x14ac:dyDescent="0.2">
      <c r="B190" s="110">
        <f t="shared" si="0"/>
        <v>2067</v>
      </c>
      <c r="C190" s="111">
        <f>[16]С2.5!$AZ$11</f>
        <v>0</v>
      </c>
    </row>
    <row r="191" spans="2:3" hidden="1" x14ac:dyDescent="0.2">
      <c r="B191" s="110">
        <f t="shared" si="0"/>
        <v>2068</v>
      </c>
      <c r="C191" s="111">
        <f>[16]С2.5!$BA$11</f>
        <v>0</v>
      </c>
    </row>
    <row r="192" spans="2:3" hidden="1" x14ac:dyDescent="0.2">
      <c r="B192" s="110">
        <f t="shared" si="0"/>
        <v>2069</v>
      </c>
      <c r="C192" s="111">
        <f>[16]С2.5!$BB$11</f>
        <v>0</v>
      </c>
    </row>
    <row r="193" spans="2:3" hidden="1" x14ac:dyDescent="0.2">
      <c r="B193" s="110">
        <f t="shared" si="0"/>
        <v>2070</v>
      </c>
      <c r="C193" s="111">
        <f>[16]С2.5!$BC$11</f>
        <v>0</v>
      </c>
    </row>
    <row r="194" spans="2:3" hidden="1" x14ac:dyDescent="0.2">
      <c r="B194" s="110">
        <f t="shared" si="0"/>
        <v>2071</v>
      </c>
      <c r="C194" s="111">
        <f>[16]С2.5!$BD$11</f>
        <v>0</v>
      </c>
    </row>
    <row r="195" spans="2:3" hidden="1" x14ac:dyDescent="0.2">
      <c r="B195" s="110">
        <f t="shared" si="0"/>
        <v>2072</v>
      </c>
      <c r="C195" s="111">
        <f>[16]С2.5!$BE$11</f>
        <v>0</v>
      </c>
    </row>
    <row r="196" spans="2:3" hidden="1" x14ac:dyDescent="0.2">
      <c r="B196" s="110">
        <f t="shared" si="0"/>
        <v>2073</v>
      </c>
      <c r="C196" s="111">
        <f>[16]С2.5!$BF$11</f>
        <v>0</v>
      </c>
    </row>
    <row r="197" spans="2:3" hidden="1" x14ac:dyDescent="0.2">
      <c r="B197" s="110">
        <f t="shared" si="0"/>
        <v>2074</v>
      </c>
      <c r="C197" s="111">
        <f>[16]С2.5!$BG$11</f>
        <v>0</v>
      </c>
    </row>
    <row r="198" spans="2:3" hidden="1" x14ac:dyDescent="0.2">
      <c r="B198" s="110">
        <f t="shared" si="0"/>
        <v>2075</v>
      </c>
      <c r="C198" s="111">
        <f>[16]С2.5!$BH$11</f>
        <v>0</v>
      </c>
    </row>
    <row r="199" spans="2:3" hidden="1" x14ac:dyDescent="0.2">
      <c r="B199" s="110">
        <f t="shared" si="0"/>
        <v>2076</v>
      </c>
      <c r="C199" s="111">
        <f>[16]С2.5!$BI$11</f>
        <v>0</v>
      </c>
    </row>
    <row r="200" spans="2:3" hidden="1" x14ac:dyDescent="0.2">
      <c r="B200" s="110">
        <f t="shared" si="0"/>
        <v>2077</v>
      </c>
      <c r="C200" s="111">
        <f>[16]С2.5!$BJ$11</f>
        <v>0</v>
      </c>
    </row>
    <row r="201" spans="2:3" hidden="1" x14ac:dyDescent="0.2">
      <c r="B201" s="110">
        <f t="shared" si="0"/>
        <v>2078</v>
      </c>
      <c r="C201" s="111">
        <f>[16]С2.5!$BK$11</f>
        <v>0</v>
      </c>
    </row>
    <row r="202" spans="2:3" hidden="1" x14ac:dyDescent="0.2">
      <c r="B202" s="110">
        <f t="shared" si="0"/>
        <v>2079</v>
      </c>
      <c r="C202" s="111">
        <f>[16]С2.5!$BL$11</f>
        <v>0</v>
      </c>
    </row>
    <row r="203" spans="2:3" hidden="1" x14ac:dyDescent="0.2">
      <c r="B203" s="110">
        <f t="shared" si="0"/>
        <v>2080</v>
      </c>
      <c r="C203" s="111">
        <f>[16]С2.5!$BM$11</f>
        <v>0</v>
      </c>
    </row>
    <row r="204" spans="2:3" hidden="1" x14ac:dyDescent="0.2">
      <c r="B204" s="110">
        <f t="shared" si="0"/>
        <v>2081</v>
      </c>
      <c r="C204" s="111">
        <f>[16]С2.5!$BN$11</f>
        <v>0</v>
      </c>
    </row>
    <row r="205" spans="2:3" hidden="1" x14ac:dyDescent="0.2">
      <c r="B205" s="110">
        <f t="shared" si="0"/>
        <v>2082</v>
      </c>
      <c r="C205" s="111">
        <f>[16]С2.5!$BO$11</f>
        <v>0</v>
      </c>
    </row>
    <row r="206" spans="2:3" hidden="1" x14ac:dyDescent="0.2">
      <c r="B206" s="110">
        <f t="shared" si="0"/>
        <v>2083</v>
      </c>
      <c r="C206" s="111">
        <f>[16]С2.5!$BP$11</f>
        <v>0</v>
      </c>
    </row>
    <row r="207" spans="2:3" hidden="1" x14ac:dyDescent="0.2">
      <c r="B207" s="110">
        <f t="shared" si="0"/>
        <v>2084</v>
      </c>
      <c r="C207" s="111">
        <f>[16]С2.5!$BQ$11</f>
        <v>0</v>
      </c>
    </row>
    <row r="208" spans="2:3" hidden="1" x14ac:dyDescent="0.2">
      <c r="B208" s="110">
        <f t="shared" si="0"/>
        <v>2085</v>
      </c>
      <c r="C208" s="111">
        <f>[16]С2.5!$BR$11</f>
        <v>0</v>
      </c>
    </row>
    <row r="209" spans="2:3" hidden="1" x14ac:dyDescent="0.2">
      <c r="B209" s="110">
        <f t="shared" ref="B209:B223" si="1">B208+1</f>
        <v>2086</v>
      </c>
      <c r="C209" s="111">
        <f>[16]С2.5!$BS$11</f>
        <v>0</v>
      </c>
    </row>
    <row r="210" spans="2:3" hidden="1" x14ac:dyDescent="0.2">
      <c r="B210" s="110">
        <f t="shared" si="1"/>
        <v>2087</v>
      </c>
      <c r="C210" s="111">
        <f>[16]С2.5!$BT$11</f>
        <v>0</v>
      </c>
    </row>
    <row r="211" spans="2:3" hidden="1" x14ac:dyDescent="0.2">
      <c r="B211" s="110">
        <f t="shared" si="1"/>
        <v>2088</v>
      </c>
      <c r="C211" s="111">
        <f>[16]С2.5!$BU$11</f>
        <v>0</v>
      </c>
    </row>
    <row r="212" spans="2:3" hidden="1" x14ac:dyDescent="0.2">
      <c r="B212" s="110">
        <f t="shared" si="1"/>
        <v>2089</v>
      </c>
      <c r="C212" s="111">
        <f>[16]С2.5!$BV$11</f>
        <v>0</v>
      </c>
    </row>
    <row r="213" spans="2:3" hidden="1" x14ac:dyDescent="0.2">
      <c r="B213" s="110">
        <f t="shared" si="1"/>
        <v>2090</v>
      </c>
      <c r="C213" s="111">
        <f>[16]С2.5!$BW$11</f>
        <v>0</v>
      </c>
    </row>
    <row r="214" spans="2:3" hidden="1" x14ac:dyDescent="0.2">
      <c r="B214" s="110">
        <f t="shared" si="1"/>
        <v>2091</v>
      </c>
      <c r="C214" s="111">
        <f>[16]С2.5!$BX$11</f>
        <v>0</v>
      </c>
    </row>
    <row r="215" spans="2:3" hidden="1" x14ac:dyDescent="0.2">
      <c r="B215" s="110">
        <f t="shared" si="1"/>
        <v>2092</v>
      </c>
      <c r="C215" s="111">
        <f>[16]С2.5!$BY$11</f>
        <v>0</v>
      </c>
    </row>
    <row r="216" spans="2:3" hidden="1" x14ac:dyDescent="0.2">
      <c r="B216" s="110">
        <f t="shared" si="1"/>
        <v>2093</v>
      </c>
      <c r="C216" s="111">
        <f>[16]С2.5!$BZ$11</f>
        <v>0</v>
      </c>
    </row>
    <row r="217" spans="2:3" hidden="1" x14ac:dyDescent="0.2">
      <c r="B217" s="110">
        <f t="shared" si="1"/>
        <v>2094</v>
      </c>
      <c r="C217" s="111">
        <f>[16]С2.5!$CA$11</f>
        <v>0</v>
      </c>
    </row>
    <row r="218" spans="2:3" hidden="1" x14ac:dyDescent="0.2">
      <c r="B218" s="110">
        <f t="shared" si="1"/>
        <v>2095</v>
      </c>
      <c r="C218" s="111">
        <f>[16]С2.5!$CB$11</f>
        <v>0</v>
      </c>
    </row>
    <row r="219" spans="2:3" hidden="1" x14ac:dyDescent="0.2">
      <c r="B219" s="110">
        <f t="shared" si="1"/>
        <v>2096</v>
      </c>
      <c r="C219" s="111">
        <f>[16]С2.5!$CC$11</f>
        <v>0</v>
      </c>
    </row>
    <row r="220" spans="2:3" hidden="1" x14ac:dyDescent="0.2">
      <c r="B220" s="110">
        <f t="shared" si="1"/>
        <v>2097</v>
      </c>
      <c r="C220" s="111">
        <f>[16]С2.5!$CD$11</f>
        <v>0</v>
      </c>
    </row>
    <row r="221" spans="2:3" hidden="1" x14ac:dyDescent="0.2">
      <c r="B221" s="110">
        <f t="shared" si="1"/>
        <v>2098</v>
      </c>
      <c r="C221" s="111">
        <f>[16]С2.5!$CE$11</f>
        <v>0</v>
      </c>
    </row>
    <row r="222" spans="2:3" hidden="1" x14ac:dyDescent="0.2">
      <c r="B222" s="110">
        <f t="shared" si="1"/>
        <v>2099</v>
      </c>
      <c r="C222" s="111">
        <f>[16]С2.5!$CF$11</f>
        <v>0</v>
      </c>
    </row>
    <row r="223" spans="2:3" ht="13.5" hidden="1" thickBot="1" x14ac:dyDescent="0.25">
      <c r="B223" s="112">
        <f t="shared" si="1"/>
        <v>2100</v>
      </c>
      <c r="C223" s="113">
        <f>[16]С2.5!$CG$11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226"/>
  <sheetViews>
    <sheetView workbookViewId="0">
      <selection activeCell="F19" sqref="F19"/>
    </sheetView>
  </sheetViews>
  <sheetFormatPr defaultRowHeight="12.75" x14ac:dyDescent="0.2"/>
  <cols>
    <col min="1" max="1" width="9.140625" style="2" customWidth="1"/>
    <col min="2" max="2" width="100.5703125" style="2" customWidth="1"/>
    <col min="3" max="3" width="20.85546875" style="7" customWidth="1"/>
    <col min="4" max="4" width="28.5703125" style="118" customWidth="1"/>
    <col min="5" max="5" width="5.140625" style="2" customWidth="1"/>
    <col min="6" max="6" width="17.5703125" style="2" customWidth="1"/>
    <col min="7" max="250" width="9.140625" style="2"/>
    <col min="251" max="251" width="3.5703125" style="2" customWidth="1"/>
    <col min="252" max="252" width="96.85546875" style="2" customWidth="1"/>
    <col min="253" max="253" width="30.85546875" style="2" customWidth="1"/>
    <col min="254" max="254" width="12.5703125" style="2" customWidth="1"/>
    <col min="255" max="255" width="5.140625" style="2" customWidth="1"/>
    <col min="256" max="256" width="9.140625" style="2"/>
    <col min="257" max="257" width="4.85546875" style="2" customWidth="1"/>
    <col min="258" max="258" width="30.5703125" style="2" customWidth="1"/>
    <col min="259" max="259" width="33.85546875" style="2" customWidth="1"/>
    <col min="260" max="260" width="5.140625" style="2" customWidth="1"/>
    <col min="261" max="262" width="17.5703125" style="2" customWidth="1"/>
    <col min="263" max="506" width="9.140625" style="2"/>
    <col min="507" max="507" width="3.5703125" style="2" customWidth="1"/>
    <col min="508" max="508" width="96.85546875" style="2" customWidth="1"/>
    <col min="509" max="509" width="30.85546875" style="2" customWidth="1"/>
    <col min="510" max="510" width="12.5703125" style="2" customWidth="1"/>
    <col min="511" max="511" width="5.140625" style="2" customWidth="1"/>
    <col min="512" max="512" width="9.140625" style="2"/>
    <col min="513" max="513" width="4.85546875" style="2" customWidth="1"/>
    <col min="514" max="514" width="30.5703125" style="2" customWidth="1"/>
    <col min="515" max="515" width="33.85546875" style="2" customWidth="1"/>
    <col min="516" max="516" width="5.140625" style="2" customWidth="1"/>
    <col min="517" max="518" width="17.5703125" style="2" customWidth="1"/>
    <col min="519" max="762" width="9.140625" style="2"/>
    <col min="763" max="763" width="3.5703125" style="2" customWidth="1"/>
    <col min="764" max="764" width="96.85546875" style="2" customWidth="1"/>
    <col min="765" max="765" width="30.85546875" style="2" customWidth="1"/>
    <col min="766" max="766" width="12.5703125" style="2" customWidth="1"/>
    <col min="767" max="767" width="5.140625" style="2" customWidth="1"/>
    <col min="768" max="768" width="9.140625" style="2"/>
    <col min="769" max="769" width="4.85546875" style="2" customWidth="1"/>
    <col min="770" max="770" width="30.5703125" style="2" customWidth="1"/>
    <col min="771" max="771" width="33.85546875" style="2" customWidth="1"/>
    <col min="772" max="772" width="5.140625" style="2" customWidth="1"/>
    <col min="773" max="774" width="17.5703125" style="2" customWidth="1"/>
    <col min="775" max="1018" width="9.140625" style="2"/>
    <col min="1019" max="1019" width="3.5703125" style="2" customWidth="1"/>
    <col min="1020" max="1020" width="96.85546875" style="2" customWidth="1"/>
    <col min="1021" max="1021" width="30.85546875" style="2" customWidth="1"/>
    <col min="1022" max="1022" width="12.5703125" style="2" customWidth="1"/>
    <col min="1023" max="1023" width="5.140625" style="2" customWidth="1"/>
    <col min="1024" max="1024" width="9.140625" style="2"/>
    <col min="1025" max="1025" width="4.85546875" style="2" customWidth="1"/>
    <col min="1026" max="1026" width="30.5703125" style="2" customWidth="1"/>
    <col min="1027" max="1027" width="33.85546875" style="2" customWidth="1"/>
    <col min="1028" max="1028" width="5.140625" style="2" customWidth="1"/>
    <col min="1029" max="1030" width="17.5703125" style="2" customWidth="1"/>
    <col min="1031" max="1274" width="9.140625" style="2"/>
    <col min="1275" max="1275" width="3.5703125" style="2" customWidth="1"/>
    <col min="1276" max="1276" width="96.85546875" style="2" customWidth="1"/>
    <col min="1277" max="1277" width="30.85546875" style="2" customWidth="1"/>
    <col min="1278" max="1278" width="12.5703125" style="2" customWidth="1"/>
    <col min="1279" max="1279" width="5.140625" style="2" customWidth="1"/>
    <col min="1280" max="1280" width="9.140625" style="2"/>
    <col min="1281" max="1281" width="4.85546875" style="2" customWidth="1"/>
    <col min="1282" max="1282" width="30.5703125" style="2" customWidth="1"/>
    <col min="1283" max="1283" width="33.85546875" style="2" customWidth="1"/>
    <col min="1284" max="1284" width="5.140625" style="2" customWidth="1"/>
    <col min="1285" max="1286" width="17.5703125" style="2" customWidth="1"/>
    <col min="1287" max="1530" width="9.140625" style="2"/>
    <col min="1531" max="1531" width="3.5703125" style="2" customWidth="1"/>
    <col min="1532" max="1532" width="96.85546875" style="2" customWidth="1"/>
    <col min="1533" max="1533" width="30.85546875" style="2" customWidth="1"/>
    <col min="1534" max="1534" width="12.5703125" style="2" customWidth="1"/>
    <col min="1535" max="1535" width="5.140625" style="2" customWidth="1"/>
    <col min="1536" max="1536" width="9.140625" style="2"/>
    <col min="1537" max="1537" width="4.85546875" style="2" customWidth="1"/>
    <col min="1538" max="1538" width="30.5703125" style="2" customWidth="1"/>
    <col min="1539" max="1539" width="33.85546875" style="2" customWidth="1"/>
    <col min="1540" max="1540" width="5.140625" style="2" customWidth="1"/>
    <col min="1541" max="1542" width="17.5703125" style="2" customWidth="1"/>
    <col min="1543" max="1786" width="9.140625" style="2"/>
    <col min="1787" max="1787" width="3.5703125" style="2" customWidth="1"/>
    <col min="1788" max="1788" width="96.85546875" style="2" customWidth="1"/>
    <col min="1789" max="1789" width="30.85546875" style="2" customWidth="1"/>
    <col min="1790" max="1790" width="12.5703125" style="2" customWidth="1"/>
    <col min="1791" max="1791" width="5.140625" style="2" customWidth="1"/>
    <col min="1792" max="1792" width="9.140625" style="2"/>
    <col min="1793" max="1793" width="4.85546875" style="2" customWidth="1"/>
    <col min="1794" max="1794" width="30.5703125" style="2" customWidth="1"/>
    <col min="1795" max="1795" width="33.85546875" style="2" customWidth="1"/>
    <col min="1796" max="1796" width="5.140625" style="2" customWidth="1"/>
    <col min="1797" max="1798" width="17.5703125" style="2" customWidth="1"/>
    <col min="1799" max="2042" width="9.140625" style="2"/>
    <col min="2043" max="2043" width="3.5703125" style="2" customWidth="1"/>
    <col min="2044" max="2044" width="96.85546875" style="2" customWidth="1"/>
    <col min="2045" max="2045" width="30.85546875" style="2" customWidth="1"/>
    <col min="2046" max="2046" width="12.5703125" style="2" customWidth="1"/>
    <col min="2047" max="2047" width="5.140625" style="2" customWidth="1"/>
    <col min="2048" max="2048" width="9.140625" style="2"/>
    <col min="2049" max="2049" width="4.85546875" style="2" customWidth="1"/>
    <col min="2050" max="2050" width="30.5703125" style="2" customWidth="1"/>
    <col min="2051" max="2051" width="33.85546875" style="2" customWidth="1"/>
    <col min="2052" max="2052" width="5.140625" style="2" customWidth="1"/>
    <col min="2053" max="2054" width="17.5703125" style="2" customWidth="1"/>
    <col min="2055" max="2298" width="9.140625" style="2"/>
    <col min="2299" max="2299" width="3.5703125" style="2" customWidth="1"/>
    <col min="2300" max="2300" width="96.85546875" style="2" customWidth="1"/>
    <col min="2301" max="2301" width="30.85546875" style="2" customWidth="1"/>
    <col min="2302" max="2302" width="12.5703125" style="2" customWidth="1"/>
    <col min="2303" max="2303" width="5.140625" style="2" customWidth="1"/>
    <col min="2304" max="2304" width="9.140625" style="2"/>
    <col min="2305" max="2305" width="4.85546875" style="2" customWidth="1"/>
    <col min="2306" max="2306" width="30.5703125" style="2" customWidth="1"/>
    <col min="2307" max="2307" width="33.85546875" style="2" customWidth="1"/>
    <col min="2308" max="2308" width="5.140625" style="2" customWidth="1"/>
    <col min="2309" max="2310" width="17.5703125" style="2" customWidth="1"/>
    <col min="2311" max="2554" width="9.140625" style="2"/>
    <col min="2555" max="2555" width="3.5703125" style="2" customWidth="1"/>
    <col min="2556" max="2556" width="96.85546875" style="2" customWidth="1"/>
    <col min="2557" max="2557" width="30.85546875" style="2" customWidth="1"/>
    <col min="2558" max="2558" width="12.5703125" style="2" customWidth="1"/>
    <col min="2559" max="2559" width="5.140625" style="2" customWidth="1"/>
    <col min="2560" max="2560" width="9.140625" style="2"/>
    <col min="2561" max="2561" width="4.85546875" style="2" customWidth="1"/>
    <col min="2562" max="2562" width="30.5703125" style="2" customWidth="1"/>
    <col min="2563" max="2563" width="33.85546875" style="2" customWidth="1"/>
    <col min="2564" max="2564" width="5.140625" style="2" customWidth="1"/>
    <col min="2565" max="2566" width="17.5703125" style="2" customWidth="1"/>
    <col min="2567" max="2810" width="9.140625" style="2"/>
    <col min="2811" max="2811" width="3.5703125" style="2" customWidth="1"/>
    <col min="2812" max="2812" width="96.85546875" style="2" customWidth="1"/>
    <col min="2813" max="2813" width="30.85546875" style="2" customWidth="1"/>
    <col min="2814" max="2814" width="12.5703125" style="2" customWidth="1"/>
    <col min="2815" max="2815" width="5.140625" style="2" customWidth="1"/>
    <col min="2816" max="2816" width="9.140625" style="2"/>
    <col min="2817" max="2817" width="4.85546875" style="2" customWidth="1"/>
    <col min="2818" max="2818" width="30.5703125" style="2" customWidth="1"/>
    <col min="2819" max="2819" width="33.85546875" style="2" customWidth="1"/>
    <col min="2820" max="2820" width="5.140625" style="2" customWidth="1"/>
    <col min="2821" max="2822" width="17.5703125" style="2" customWidth="1"/>
    <col min="2823" max="3066" width="9.140625" style="2"/>
    <col min="3067" max="3067" width="3.5703125" style="2" customWidth="1"/>
    <col min="3068" max="3068" width="96.85546875" style="2" customWidth="1"/>
    <col min="3069" max="3069" width="30.85546875" style="2" customWidth="1"/>
    <col min="3070" max="3070" width="12.5703125" style="2" customWidth="1"/>
    <col min="3071" max="3071" width="5.140625" style="2" customWidth="1"/>
    <col min="3072" max="3072" width="9.140625" style="2"/>
    <col min="3073" max="3073" width="4.85546875" style="2" customWidth="1"/>
    <col min="3074" max="3074" width="30.5703125" style="2" customWidth="1"/>
    <col min="3075" max="3075" width="33.85546875" style="2" customWidth="1"/>
    <col min="3076" max="3076" width="5.140625" style="2" customWidth="1"/>
    <col min="3077" max="3078" width="17.5703125" style="2" customWidth="1"/>
    <col min="3079" max="3322" width="9.140625" style="2"/>
    <col min="3323" max="3323" width="3.5703125" style="2" customWidth="1"/>
    <col min="3324" max="3324" width="96.85546875" style="2" customWidth="1"/>
    <col min="3325" max="3325" width="30.85546875" style="2" customWidth="1"/>
    <col min="3326" max="3326" width="12.5703125" style="2" customWidth="1"/>
    <col min="3327" max="3327" width="5.140625" style="2" customWidth="1"/>
    <col min="3328" max="3328" width="9.140625" style="2"/>
    <col min="3329" max="3329" width="4.85546875" style="2" customWidth="1"/>
    <col min="3330" max="3330" width="30.5703125" style="2" customWidth="1"/>
    <col min="3331" max="3331" width="33.85546875" style="2" customWidth="1"/>
    <col min="3332" max="3332" width="5.140625" style="2" customWidth="1"/>
    <col min="3333" max="3334" width="17.5703125" style="2" customWidth="1"/>
    <col min="3335" max="3578" width="9.140625" style="2"/>
    <col min="3579" max="3579" width="3.5703125" style="2" customWidth="1"/>
    <col min="3580" max="3580" width="96.85546875" style="2" customWidth="1"/>
    <col min="3581" max="3581" width="30.85546875" style="2" customWidth="1"/>
    <col min="3582" max="3582" width="12.5703125" style="2" customWidth="1"/>
    <col min="3583" max="3583" width="5.140625" style="2" customWidth="1"/>
    <col min="3584" max="3584" width="9.140625" style="2"/>
    <col min="3585" max="3585" width="4.85546875" style="2" customWidth="1"/>
    <col min="3586" max="3586" width="30.5703125" style="2" customWidth="1"/>
    <col min="3587" max="3587" width="33.85546875" style="2" customWidth="1"/>
    <col min="3588" max="3588" width="5.140625" style="2" customWidth="1"/>
    <col min="3589" max="3590" width="17.5703125" style="2" customWidth="1"/>
    <col min="3591" max="3834" width="9.140625" style="2"/>
    <col min="3835" max="3835" width="3.5703125" style="2" customWidth="1"/>
    <col min="3836" max="3836" width="96.85546875" style="2" customWidth="1"/>
    <col min="3837" max="3837" width="30.85546875" style="2" customWidth="1"/>
    <col min="3838" max="3838" width="12.5703125" style="2" customWidth="1"/>
    <col min="3839" max="3839" width="5.140625" style="2" customWidth="1"/>
    <col min="3840" max="3840" width="9.140625" style="2"/>
    <col min="3841" max="3841" width="4.85546875" style="2" customWidth="1"/>
    <col min="3842" max="3842" width="30.5703125" style="2" customWidth="1"/>
    <col min="3843" max="3843" width="33.85546875" style="2" customWidth="1"/>
    <col min="3844" max="3844" width="5.140625" style="2" customWidth="1"/>
    <col min="3845" max="3846" width="17.5703125" style="2" customWidth="1"/>
    <col min="3847" max="4090" width="9.140625" style="2"/>
    <col min="4091" max="4091" width="3.5703125" style="2" customWidth="1"/>
    <col min="4092" max="4092" width="96.85546875" style="2" customWidth="1"/>
    <col min="4093" max="4093" width="30.85546875" style="2" customWidth="1"/>
    <col min="4094" max="4094" width="12.5703125" style="2" customWidth="1"/>
    <col min="4095" max="4095" width="5.140625" style="2" customWidth="1"/>
    <col min="4096" max="4096" width="9.140625" style="2"/>
    <col min="4097" max="4097" width="4.85546875" style="2" customWidth="1"/>
    <col min="4098" max="4098" width="30.5703125" style="2" customWidth="1"/>
    <col min="4099" max="4099" width="33.85546875" style="2" customWidth="1"/>
    <col min="4100" max="4100" width="5.140625" style="2" customWidth="1"/>
    <col min="4101" max="4102" width="17.5703125" style="2" customWidth="1"/>
    <col min="4103" max="4346" width="9.140625" style="2"/>
    <col min="4347" max="4347" width="3.5703125" style="2" customWidth="1"/>
    <col min="4348" max="4348" width="96.85546875" style="2" customWidth="1"/>
    <col min="4349" max="4349" width="30.85546875" style="2" customWidth="1"/>
    <col min="4350" max="4350" width="12.5703125" style="2" customWidth="1"/>
    <col min="4351" max="4351" width="5.140625" style="2" customWidth="1"/>
    <col min="4352" max="4352" width="9.140625" style="2"/>
    <col min="4353" max="4353" width="4.85546875" style="2" customWidth="1"/>
    <col min="4354" max="4354" width="30.5703125" style="2" customWidth="1"/>
    <col min="4355" max="4355" width="33.85546875" style="2" customWidth="1"/>
    <col min="4356" max="4356" width="5.140625" style="2" customWidth="1"/>
    <col min="4357" max="4358" width="17.5703125" style="2" customWidth="1"/>
    <col min="4359" max="4602" width="9.140625" style="2"/>
    <col min="4603" max="4603" width="3.5703125" style="2" customWidth="1"/>
    <col min="4604" max="4604" width="96.85546875" style="2" customWidth="1"/>
    <col min="4605" max="4605" width="30.85546875" style="2" customWidth="1"/>
    <col min="4606" max="4606" width="12.5703125" style="2" customWidth="1"/>
    <col min="4607" max="4607" width="5.140625" style="2" customWidth="1"/>
    <col min="4608" max="4608" width="9.140625" style="2"/>
    <col min="4609" max="4609" width="4.85546875" style="2" customWidth="1"/>
    <col min="4610" max="4610" width="30.5703125" style="2" customWidth="1"/>
    <col min="4611" max="4611" width="33.85546875" style="2" customWidth="1"/>
    <col min="4612" max="4612" width="5.140625" style="2" customWidth="1"/>
    <col min="4613" max="4614" width="17.5703125" style="2" customWidth="1"/>
    <col min="4615" max="4858" width="9.140625" style="2"/>
    <col min="4859" max="4859" width="3.5703125" style="2" customWidth="1"/>
    <col min="4860" max="4860" width="96.85546875" style="2" customWidth="1"/>
    <col min="4861" max="4861" width="30.85546875" style="2" customWidth="1"/>
    <col min="4862" max="4862" width="12.5703125" style="2" customWidth="1"/>
    <col min="4863" max="4863" width="5.140625" style="2" customWidth="1"/>
    <col min="4864" max="4864" width="9.140625" style="2"/>
    <col min="4865" max="4865" width="4.85546875" style="2" customWidth="1"/>
    <col min="4866" max="4866" width="30.5703125" style="2" customWidth="1"/>
    <col min="4867" max="4867" width="33.85546875" style="2" customWidth="1"/>
    <col min="4868" max="4868" width="5.140625" style="2" customWidth="1"/>
    <col min="4869" max="4870" width="17.5703125" style="2" customWidth="1"/>
    <col min="4871" max="5114" width="9.140625" style="2"/>
    <col min="5115" max="5115" width="3.5703125" style="2" customWidth="1"/>
    <col min="5116" max="5116" width="96.85546875" style="2" customWidth="1"/>
    <col min="5117" max="5117" width="30.85546875" style="2" customWidth="1"/>
    <col min="5118" max="5118" width="12.5703125" style="2" customWidth="1"/>
    <col min="5119" max="5119" width="5.140625" style="2" customWidth="1"/>
    <col min="5120" max="5120" width="9.140625" style="2"/>
    <col min="5121" max="5121" width="4.85546875" style="2" customWidth="1"/>
    <col min="5122" max="5122" width="30.5703125" style="2" customWidth="1"/>
    <col min="5123" max="5123" width="33.85546875" style="2" customWidth="1"/>
    <col min="5124" max="5124" width="5.140625" style="2" customWidth="1"/>
    <col min="5125" max="5126" width="17.5703125" style="2" customWidth="1"/>
    <col min="5127" max="5370" width="9.140625" style="2"/>
    <col min="5371" max="5371" width="3.5703125" style="2" customWidth="1"/>
    <col min="5372" max="5372" width="96.85546875" style="2" customWidth="1"/>
    <col min="5373" max="5373" width="30.85546875" style="2" customWidth="1"/>
    <col min="5374" max="5374" width="12.5703125" style="2" customWidth="1"/>
    <col min="5375" max="5375" width="5.140625" style="2" customWidth="1"/>
    <col min="5376" max="5376" width="9.140625" style="2"/>
    <col min="5377" max="5377" width="4.85546875" style="2" customWidth="1"/>
    <col min="5378" max="5378" width="30.5703125" style="2" customWidth="1"/>
    <col min="5379" max="5379" width="33.85546875" style="2" customWidth="1"/>
    <col min="5380" max="5380" width="5.140625" style="2" customWidth="1"/>
    <col min="5381" max="5382" width="17.5703125" style="2" customWidth="1"/>
    <col min="5383" max="5626" width="9.140625" style="2"/>
    <col min="5627" max="5627" width="3.5703125" style="2" customWidth="1"/>
    <col min="5628" max="5628" width="96.85546875" style="2" customWidth="1"/>
    <col min="5629" max="5629" width="30.85546875" style="2" customWidth="1"/>
    <col min="5630" max="5630" width="12.5703125" style="2" customWidth="1"/>
    <col min="5631" max="5631" width="5.140625" style="2" customWidth="1"/>
    <col min="5632" max="5632" width="9.140625" style="2"/>
    <col min="5633" max="5633" width="4.85546875" style="2" customWidth="1"/>
    <col min="5634" max="5634" width="30.5703125" style="2" customWidth="1"/>
    <col min="5635" max="5635" width="33.85546875" style="2" customWidth="1"/>
    <col min="5636" max="5636" width="5.140625" style="2" customWidth="1"/>
    <col min="5637" max="5638" width="17.5703125" style="2" customWidth="1"/>
    <col min="5639" max="5882" width="9.140625" style="2"/>
    <col min="5883" max="5883" width="3.5703125" style="2" customWidth="1"/>
    <col min="5884" max="5884" width="96.85546875" style="2" customWidth="1"/>
    <col min="5885" max="5885" width="30.85546875" style="2" customWidth="1"/>
    <col min="5886" max="5886" width="12.5703125" style="2" customWidth="1"/>
    <col min="5887" max="5887" width="5.140625" style="2" customWidth="1"/>
    <col min="5888" max="5888" width="9.140625" style="2"/>
    <col min="5889" max="5889" width="4.85546875" style="2" customWidth="1"/>
    <col min="5890" max="5890" width="30.5703125" style="2" customWidth="1"/>
    <col min="5891" max="5891" width="33.85546875" style="2" customWidth="1"/>
    <col min="5892" max="5892" width="5.140625" style="2" customWidth="1"/>
    <col min="5893" max="5894" width="17.5703125" style="2" customWidth="1"/>
    <col min="5895" max="6138" width="9.140625" style="2"/>
    <col min="6139" max="6139" width="3.5703125" style="2" customWidth="1"/>
    <col min="6140" max="6140" width="96.85546875" style="2" customWidth="1"/>
    <col min="6141" max="6141" width="30.85546875" style="2" customWidth="1"/>
    <col min="6142" max="6142" width="12.5703125" style="2" customWidth="1"/>
    <col min="6143" max="6143" width="5.140625" style="2" customWidth="1"/>
    <col min="6144" max="6144" width="9.140625" style="2"/>
    <col min="6145" max="6145" width="4.85546875" style="2" customWidth="1"/>
    <col min="6146" max="6146" width="30.5703125" style="2" customWidth="1"/>
    <col min="6147" max="6147" width="33.85546875" style="2" customWidth="1"/>
    <col min="6148" max="6148" width="5.140625" style="2" customWidth="1"/>
    <col min="6149" max="6150" width="17.5703125" style="2" customWidth="1"/>
    <col min="6151" max="6394" width="9.140625" style="2"/>
    <col min="6395" max="6395" width="3.5703125" style="2" customWidth="1"/>
    <col min="6396" max="6396" width="96.85546875" style="2" customWidth="1"/>
    <col min="6397" max="6397" width="30.85546875" style="2" customWidth="1"/>
    <col min="6398" max="6398" width="12.5703125" style="2" customWidth="1"/>
    <col min="6399" max="6399" width="5.140625" style="2" customWidth="1"/>
    <col min="6400" max="6400" width="9.140625" style="2"/>
    <col min="6401" max="6401" width="4.85546875" style="2" customWidth="1"/>
    <col min="6402" max="6402" width="30.5703125" style="2" customWidth="1"/>
    <col min="6403" max="6403" width="33.85546875" style="2" customWidth="1"/>
    <col min="6404" max="6404" width="5.140625" style="2" customWidth="1"/>
    <col min="6405" max="6406" width="17.5703125" style="2" customWidth="1"/>
    <col min="6407" max="6650" width="9.140625" style="2"/>
    <col min="6651" max="6651" width="3.5703125" style="2" customWidth="1"/>
    <col min="6652" max="6652" width="96.85546875" style="2" customWidth="1"/>
    <col min="6653" max="6653" width="30.85546875" style="2" customWidth="1"/>
    <col min="6654" max="6654" width="12.5703125" style="2" customWidth="1"/>
    <col min="6655" max="6655" width="5.140625" style="2" customWidth="1"/>
    <col min="6656" max="6656" width="9.140625" style="2"/>
    <col min="6657" max="6657" width="4.85546875" style="2" customWidth="1"/>
    <col min="6658" max="6658" width="30.5703125" style="2" customWidth="1"/>
    <col min="6659" max="6659" width="33.85546875" style="2" customWidth="1"/>
    <col min="6660" max="6660" width="5.140625" style="2" customWidth="1"/>
    <col min="6661" max="6662" width="17.5703125" style="2" customWidth="1"/>
    <col min="6663" max="6906" width="9.140625" style="2"/>
    <col min="6907" max="6907" width="3.5703125" style="2" customWidth="1"/>
    <col min="6908" max="6908" width="96.85546875" style="2" customWidth="1"/>
    <col min="6909" max="6909" width="30.85546875" style="2" customWidth="1"/>
    <col min="6910" max="6910" width="12.5703125" style="2" customWidth="1"/>
    <col min="6911" max="6911" width="5.140625" style="2" customWidth="1"/>
    <col min="6912" max="6912" width="9.140625" style="2"/>
    <col min="6913" max="6913" width="4.85546875" style="2" customWidth="1"/>
    <col min="6914" max="6914" width="30.5703125" style="2" customWidth="1"/>
    <col min="6915" max="6915" width="33.85546875" style="2" customWidth="1"/>
    <col min="6916" max="6916" width="5.140625" style="2" customWidth="1"/>
    <col min="6917" max="6918" width="17.5703125" style="2" customWidth="1"/>
    <col min="6919" max="7162" width="9.140625" style="2"/>
    <col min="7163" max="7163" width="3.5703125" style="2" customWidth="1"/>
    <col min="7164" max="7164" width="96.85546875" style="2" customWidth="1"/>
    <col min="7165" max="7165" width="30.85546875" style="2" customWidth="1"/>
    <col min="7166" max="7166" width="12.5703125" style="2" customWidth="1"/>
    <col min="7167" max="7167" width="5.140625" style="2" customWidth="1"/>
    <col min="7168" max="7168" width="9.140625" style="2"/>
    <col min="7169" max="7169" width="4.85546875" style="2" customWidth="1"/>
    <col min="7170" max="7170" width="30.5703125" style="2" customWidth="1"/>
    <col min="7171" max="7171" width="33.85546875" style="2" customWidth="1"/>
    <col min="7172" max="7172" width="5.140625" style="2" customWidth="1"/>
    <col min="7173" max="7174" width="17.5703125" style="2" customWidth="1"/>
    <col min="7175" max="7418" width="9.140625" style="2"/>
    <col min="7419" max="7419" width="3.5703125" style="2" customWidth="1"/>
    <col min="7420" max="7420" width="96.85546875" style="2" customWidth="1"/>
    <col min="7421" max="7421" width="30.85546875" style="2" customWidth="1"/>
    <col min="7422" max="7422" width="12.5703125" style="2" customWidth="1"/>
    <col min="7423" max="7423" width="5.140625" style="2" customWidth="1"/>
    <col min="7424" max="7424" width="9.140625" style="2"/>
    <col min="7425" max="7425" width="4.85546875" style="2" customWidth="1"/>
    <col min="7426" max="7426" width="30.5703125" style="2" customWidth="1"/>
    <col min="7427" max="7427" width="33.85546875" style="2" customWidth="1"/>
    <col min="7428" max="7428" width="5.140625" style="2" customWidth="1"/>
    <col min="7429" max="7430" width="17.5703125" style="2" customWidth="1"/>
    <col min="7431" max="7674" width="9.140625" style="2"/>
    <col min="7675" max="7675" width="3.5703125" style="2" customWidth="1"/>
    <col min="7676" max="7676" width="96.85546875" style="2" customWidth="1"/>
    <col min="7677" max="7677" width="30.85546875" style="2" customWidth="1"/>
    <col min="7678" max="7678" width="12.5703125" style="2" customWidth="1"/>
    <col min="7679" max="7679" width="5.140625" style="2" customWidth="1"/>
    <col min="7680" max="7680" width="9.140625" style="2"/>
    <col min="7681" max="7681" width="4.85546875" style="2" customWidth="1"/>
    <col min="7682" max="7682" width="30.5703125" style="2" customWidth="1"/>
    <col min="7683" max="7683" width="33.85546875" style="2" customWidth="1"/>
    <col min="7684" max="7684" width="5.140625" style="2" customWidth="1"/>
    <col min="7685" max="7686" width="17.5703125" style="2" customWidth="1"/>
    <col min="7687" max="7930" width="9.140625" style="2"/>
    <col min="7931" max="7931" width="3.5703125" style="2" customWidth="1"/>
    <col min="7932" max="7932" width="96.85546875" style="2" customWidth="1"/>
    <col min="7933" max="7933" width="30.85546875" style="2" customWidth="1"/>
    <col min="7934" max="7934" width="12.5703125" style="2" customWidth="1"/>
    <col min="7935" max="7935" width="5.140625" style="2" customWidth="1"/>
    <col min="7936" max="7936" width="9.140625" style="2"/>
    <col min="7937" max="7937" width="4.85546875" style="2" customWidth="1"/>
    <col min="7938" max="7938" width="30.5703125" style="2" customWidth="1"/>
    <col min="7939" max="7939" width="33.85546875" style="2" customWidth="1"/>
    <col min="7940" max="7940" width="5.140625" style="2" customWidth="1"/>
    <col min="7941" max="7942" width="17.5703125" style="2" customWidth="1"/>
    <col min="7943" max="8186" width="9.140625" style="2"/>
    <col min="8187" max="8187" width="3.5703125" style="2" customWidth="1"/>
    <col min="8188" max="8188" width="96.85546875" style="2" customWidth="1"/>
    <col min="8189" max="8189" width="30.85546875" style="2" customWidth="1"/>
    <col min="8190" max="8190" width="12.5703125" style="2" customWidth="1"/>
    <col min="8191" max="8191" width="5.140625" style="2" customWidth="1"/>
    <col min="8192" max="8192" width="9.140625" style="2"/>
    <col min="8193" max="8193" width="4.85546875" style="2" customWidth="1"/>
    <col min="8194" max="8194" width="30.5703125" style="2" customWidth="1"/>
    <col min="8195" max="8195" width="33.85546875" style="2" customWidth="1"/>
    <col min="8196" max="8196" width="5.140625" style="2" customWidth="1"/>
    <col min="8197" max="8198" width="17.5703125" style="2" customWidth="1"/>
    <col min="8199" max="8442" width="9.140625" style="2"/>
    <col min="8443" max="8443" width="3.5703125" style="2" customWidth="1"/>
    <col min="8444" max="8444" width="96.85546875" style="2" customWidth="1"/>
    <col min="8445" max="8445" width="30.85546875" style="2" customWidth="1"/>
    <col min="8446" max="8446" width="12.5703125" style="2" customWidth="1"/>
    <col min="8447" max="8447" width="5.140625" style="2" customWidth="1"/>
    <col min="8448" max="8448" width="9.140625" style="2"/>
    <col min="8449" max="8449" width="4.85546875" style="2" customWidth="1"/>
    <col min="8450" max="8450" width="30.5703125" style="2" customWidth="1"/>
    <col min="8451" max="8451" width="33.85546875" style="2" customWidth="1"/>
    <col min="8452" max="8452" width="5.140625" style="2" customWidth="1"/>
    <col min="8453" max="8454" width="17.5703125" style="2" customWidth="1"/>
    <col min="8455" max="8698" width="9.140625" style="2"/>
    <col min="8699" max="8699" width="3.5703125" style="2" customWidth="1"/>
    <col min="8700" max="8700" width="96.85546875" style="2" customWidth="1"/>
    <col min="8701" max="8701" width="30.85546875" style="2" customWidth="1"/>
    <col min="8702" max="8702" width="12.5703125" style="2" customWidth="1"/>
    <col min="8703" max="8703" width="5.140625" style="2" customWidth="1"/>
    <col min="8704" max="8704" width="9.140625" style="2"/>
    <col min="8705" max="8705" width="4.85546875" style="2" customWidth="1"/>
    <col min="8706" max="8706" width="30.5703125" style="2" customWidth="1"/>
    <col min="8707" max="8707" width="33.85546875" style="2" customWidth="1"/>
    <col min="8708" max="8708" width="5.140625" style="2" customWidth="1"/>
    <col min="8709" max="8710" width="17.5703125" style="2" customWidth="1"/>
    <col min="8711" max="8954" width="9.140625" style="2"/>
    <col min="8955" max="8955" width="3.5703125" style="2" customWidth="1"/>
    <col min="8956" max="8956" width="96.85546875" style="2" customWidth="1"/>
    <col min="8957" max="8957" width="30.85546875" style="2" customWidth="1"/>
    <col min="8958" max="8958" width="12.5703125" style="2" customWidth="1"/>
    <col min="8959" max="8959" width="5.140625" style="2" customWidth="1"/>
    <col min="8960" max="8960" width="9.140625" style="2"/>
    <col min="8961" max="8961" width="4.85546875" style="2" customWidth="1"/>
    <col min="8962" max="8962" width="30.5703125" style="2" customWidth="1"/>
    <col min="8963" max="8963" width="33.85546875" style="2" customWidth="1"/>
    <col min="8964" max="8964" width="5.140625" style="2" customWidth="1"/>
    <col min="8965" max="8966" width="17.5703125" style="2" customWidth="1"/>
    <col min="8967" max="9210" width="9.140625" style="2"/>
    <col min="9211" max="9211" width="3.5703125" style="2" customWidth="1"/>
    <col min="9212" max="9212" width="96.85546875" style="2" customWidth="1"/>
    <col min="9213" max="9213" width="30.85546875" style="2" customWidth="1"/>
    <col min="9214" max="9214" width="12.5703125" style="2" customWidth="1"/>
    <col min="9215" max="9215" width="5.140625" style="2" customWidth="1"/>
    <col min="9216" max="9216" width="9.140625" style="2"/>
    <col min="9217" max="9217" width="4.85546875" style="2" customWidth="1"/>
    <col min="9218" max="9218" width="30.5703125" style="2" customWidth="1"/>
    <col min="9219" max="9219" width="33.85546875" style="2" customWidth="1"/>
    <col min="9220" max="9220" width="5.140625" style="2" customWidth="1"/>
    <col min="9221" max="9222" width="17.5703125" style="2" customWidth="1"/>
    <col min="9223" max="9466" width="9.140625" style="2"/>
    <col min="9467" max="9467" width="3.5703125" style="2" customWidth="1"/>
    <col min="9468" max="9468" width="96.85546875" style="2" customWidth="1"/>
    <col min="9469" max="9469" width="30.85546875" style="2" customWidth="1"/>
    <col min="9470" max="9470" width="12.5703125" style="2" customWidth="1"/>
    <col min="9471" max="9471" width="5.140625" style="2" customWidth="1"/>
    <col min="9472" max="9472" width="9.140625" style="2"/>
    <col min="9473" max="9473" width="4.85546875" style="2" customWidth="1"/>
    <col min="9474" max="9474" width="30.5703125" style="2" customWidth="1"/>
    <col min="9475" max="9475" width="33.85546875" style="2" customWidth="1"/>
    <col min="9476" max="9476" width="5.140625" style="2" customWidth="1"/>
    <col min="9477" max="9478" width="17.5703125" style="2" customWidth="1"/>
    <col min="9479" max="9722" width="9.140625" style="2"/>
    <col min="9723" max="9723" width="3.5703125" style="2" customWidth="1"/>
    <col min="9724" max="9724" width="96.85546875" style="2" customWidth="1"/>
    <col min="9725" max="9725" width="30.85546875" style="2" customWidth="1"/>
    <col min="9726" max="9726" width="12.5703125" style="2" customWidth="1"/>
    <col min="9727" max="9727" width="5.140625" style="2" customWidth="1"/>
    <col min="9728" max="9728" width="9.140625" style="2"/>
    <col min="9729" max="9729" width="4.85546875" style="2" customWidth="1"/>
    <col min="9730" max="9730" width="30.5703125" style="2" customWidth="1"/>
    <col min="9731" max="9731" width="33.85546875" style="2" customWidth="1"/>
    <col min="9732" max="9732" width="5.140625" style="2" customWidth="1"/>
    <col min="9733" max="9734" width="17.5703125" style="2" customWidth="1"/>
    <col min="9735" max="9978" width="9.140625" style="2"/>
    <col min="9979" max="9979" width="3.5703125" style="2" customWidth="1"/>
    <col min="9980" max="9980" width="96.85546875" style="2" customWidth="1"/>
    <col min="9981" max="9981" width="30.85546875" style="2" customWidth="1"/>
    <col min="9982" max="9982" width="12.5703125" style="2" customWidth="1"/>
    <col min="9983" max="9983" width="5.140625" style="2" customWidth="1"/>
    <col min="9984" max="9984" width="9.140625" style="2"/>
    <col min="9985" max="9985" width="4.85546875" style="2" customWidth="1"/>
    <col min="9986" max="9986" width="30.5703125" style="2" customWidth="1"/>
    <col min="9987" max="9987" width="33.85546875" style="2" customWidth="1"/>
    <col min="9988" max="9988" width="5.140625" style="2" customWidth="1"/>
    <col min="9989" max="9990" width="17.5703125" style="2" customWidth="1"/>
    <col min="9991" max="10234" width="9.140625" style="2"/>
    <col min="10235" max="10235" width="3.5703125" style="2" customWidth="1"/>
    <col min="10236" max="10236" width="96.85546875" style="2" customWidth="1"/>
    <col min="10237" max="10237" width="30.85546875" style="2" customWidth="1"/>
    <col min="10238" max="10238" width="12.5703125" style="2" customWidth="1"/>
    <col min="10239" max="10239" width="5.140625" style="2" customWidth="1"/>
    <col min="10240" max="10240" width="9.140625" style="2"/>
    <col min="10241" max="10241" width="4.85546875" style="2" customWidth="1"/>
    <col min="10242" max="10242" width="30.5703125" style="2" customWidth="1"/>
    <col min="10243" max="10243" width="33.85546875" style="2" customWidth="1"/>
    <col min="10244" max="10244" width="5.140625" style="2" customWidth="1"/>
    <col min="10245" max="10246" width="17.5703125" style="2" customWidth="1"/>
    <col min="10247" max="10490" width="9.140625" style="2"/>
    <col min="10491" max="10491" width="3.5703125" style="2" customWidth="1"/>
    <col min="10492" max="10492" width="96.85546875" style="2" customWidth="1"/>
    <col min="10493" max="10493" width="30.85546875" style="2" customWidth="1"/>
    <col min="10494" max="10494" width="12.5703125" style="2" customWidth="1"/>
    <col min="10495" max="10495" width="5.140625" style="2" customWidth="1"/>
    <col min="10496" max="10496" width="9.140625" style="2"/>
    <col min="10497" max="10497" width="4.85546875" style="2" customWidth="1"/>
    <col min="10498" max="10498" width="30.5703125" style="2" customWidth="1"/>
    <col min="10499" max="10499" width="33.85546875" style="2" customWidth="1"/>
    <col min="10500" max="10500" width="5.140625" style="2" customWidth="1"/>
    <col min="10501" max="10502" width="17.5703125" style="2" customWidth="1"/>
    <col min="10503" max="10746" width="9.140625" style="2"/>
    <col min="10747" max="10747" width="3.5703125" style="2" customWidth="1"/>
    <col min="10748" max="10748" width="96.85546875" style="2" customWidth="1"/>
    <col min="10749" max="10749" width="30.85546875" style="2" customWidth="1"/>
    <col min="10750" max="10750" width="12.5703125" style="2" customWidth="1"/>
    <col min="10751" max="10751" width="5.140625" style="2" customWidth="1"/>
    <col min="10752" max="10752" width="9.140625" style="2"/>
    <col min="10753" max="10753" width="4.85546875" style="2" customWidth="1"/>
    <col min="10754" max="10754" width="30.5703125" style="2" customWidth="1"/>
    <col min="10755" max="10755" width="33.85546875" style="2" customWidth="1"/>
    <col min="10756" max="10756" width="5.140625" style="2" customWidth="1"/>
    <col min="10757" max="10758" width="17.5703125" style="2" customWidth="1"/>
    <col min="10759" max="11002" width="9.140625" style="2"/>
    <col min="11003" max="11003" width="3.5703125" style="2" customWidth="1"/>
    <col min="11004" max="11004" width="96.85546875" style="2" customWidth="1"/>
    <col min="11005" max="11005" width="30.85546875" style="2" customWidth="1"/>
    <col min="11006" max="11006" width="12.5703125" style="2" customWidth="1"/>
    <col min="11007" max="11007" width="5.140625" style="2" customWidth="1"/>
    <col min="11008" max="11008" width="9.140625" style="2"/>
    <col min="11009" max="11009" width="4.85546875" style="2" customWidth="1"/>
    <col min="11010" max="11010" width="30.5703125" style="2" customWidth="1"/>
    <col min="11011" max="11011" width="33.85546875" style="2" customWidth="1"/>
    <col min="11012" max="11012" width="5.140625" style="2" customWidth="1"/>
    <col min="11013" max="11014" width="17.5703125" style="2" customWidth="1"/>
    <col min="11015" max="11258" width="9.140625" style="2"/>
    <col min="11259" max="11259" width="3.5703125" style="2" customWidth="1"/>
    <col min="11260" max="11260" width="96.85546875" style="2" customWidth="1"/>
    <col min="11261" max="11261" width="30.85546875" style="2" customWidth="1"/>
    <col min="11262" max="11262" width="12.5703125" style="2" customWidth="1"/>
    <col min="11263" max="11263" width="5.140625" style="2" customWidth="1"/>
    <col min="11264" max="11264" width="9.140625" style="2"/>
    <col min="11265" max="11265" width="4.85546875" style="2" customWidth="1"/>
    <col min="11266" max="11266" width="30.5703125" style="2" customWidth="1"/>
    <col min="11267" max="11267" width="33.85546875" style="2" customWidth="1"/>
    <col min="11268" max="11268" width="5.140625" style="2" customWidth="1"/>
    <col min="11269" max="11270" width="17.5703125" style="2" customWidth="1"/>
    <col min="11271" max="11514" width="9.140625" style="2"/>
    <col min="11515" max="11515" width="3.5703125" style="2" customWidth="1"/>
    <col min="11516" max="11516" width="96.85546875" style="2" customWidth="1"/>
    <col min="11517" max="11517" width="30.85546875" style="2" customWidth="1"/>
    <col min="11518" max="11518" width="12.5703125" style="2" customWidth="1"/>
    <col min="11519" max="11519" width="5.140625" style="2" customWidth="1"/>
    <col min="11520" max="11520" width="9.140625" style="2"/>
    <col min="11521" max="11521" width="4.85546875" style="2" customWidth="1"/>
    <col min="11522" max="11522" width="30.5703125" style="2" customWidth="1"/>
    <col min="11523" max="11523" width="33.85546875" style="2" customWidth="1"/>
    <col min="11524" max="11524" width="5.140625" style="2" customWidth="1"/>
    <col min="11525" max="11526" width="17.5703125" style="2" customWidth="1"/>
    <col min="11527" max="11770" width="9.140625" style="2"/>
    <col min="11771" max="11771" width="3.5703125" style="2" customWidth="1"/>
    <col min="11772" max="11772" width="96.85546875" style="2" customWidth="1"/>
    <col min="11773" max="11773" width="30.85546875" style="2" customWidth="1"/>
    <col min="11774" max="11774" width="12.5703125" style="2" customWidth="1"/>
    <col min="11775" max="11775" width="5.140625" style="2" customWidth="1"/>
    <col min="11776" max="11776" width="9.140625" style="2"/>
    <col min="11777" max="11777" width="4.85546875" style="2" customWidth="1"/>
    <col min="11778" max="11778" width="30.5703125" style="2" customWidth="1"/>
    <col min="11779" max="11779" width="33.85546875" style="2" customWidth="1"/>
    <col min="11780" max="11780" width="5.140625" style="2" customWidth="1"/>
    <col min="11781" max="11782" width="17.5703125" style="2" customWidth="1"/>
    <col min="11783" max="12026" width="9.140625" style="2"/>
    <col min="12027" max="12027" width="3.5703125" style="2" customWidth="1"/>
    <col min="12028" max="12028" width="96.85546875" style="2" customWidth="1"/>
    <col min="12029" max="12029" width="30.85546875" style="2" customWidth="1"/>
    <col min="12030" max="12030" width="12.5703125" style="2" customWidth="1"/>
    <col min="12031" max="12031" width="5.140625" style="2" customWidth="1"/>
    <col min="12032" max="12032" width="9.140625" style="2"/>
    <col min="12033" max="12033" width="4.85546875" style="2" customWidth="1"/>
    <col min="12034" max="12034" width="30.5703125" style="2" customWidth="1"/>
    <col min="12035" max="12035" width="33.85546875" style="2" customWidth="1"/>
    <col min="12036" max="12036" width="5.140625" style="2" customWidth="1"/>
    <col min="12037" max="12038" width="17.5703125" style="2" customWidth="1"/>
    <col min="12039" max="12282" width="9.140625" style="2"/>
    <col min="12283" max="12283" width="3.5703125" style="2" customWidth="1"/>
    <col min="12284" max="12284" width="96.85546875" style="2" customWidth="1"/>
    <col min="12285" max="12285" width="30.85546875" style="2" customWidth="1"/>
    <col min="12286" max="12286" width="12.5703125" style="2" customWidth="1"/>
    <col min="12287" max="12287" width="5.140625" style="2" customWidth="1"/>
    <col min="12288" max="12288" width="9.140625" style="2"/>
    <col min="12289" max="12289" width="4.85546875" style="2" customWidth="1"/>
    <col min="12290" max="12290" width="30.5703125" style="2" customWidth="1"/>
    <col min="12291" max="12291" width="33.85546875" style="2" customWidth="1"/>
    <col min="12292" max="12292" width="5.140625" style="2" customWidth="1"/>
    <col min="12293" max="12294" width="17.5703125" style="2" customWidth="1"/>
    <col min="12295" max="12538" width="9.140625" style="2"/>
    <col min="12539" max="12539" width="3.5703125" style="2" customWidth="1"/>
    <col min="12540" max="12540" width="96.85546875" style="2" customWidth="1"/>
    <col min="12541" max="12541" width="30.85546875" style="2" customWidth="1"/>
    <col min="12542" max="12542" width="12.5703125" style="2" customWidth="1"/>
    <col min="12543" max="12543" width="5.140625" style="2" customWidth="1"/>
    <col min="12544" max="12544" width="9.140625" style="2"/>
    <col min="12545" max="12545" width="4.85546875" style="2" customWidth="1"/>
    <col min="12546" max="12546" width="30.5703125" style="2" customWidth="1"/>
    <col min="12547" max="12547" width="33.85546875" style="2" customWidth="1"/>
    <col min="12548" max="12548" width="5.140625" style="2" customWidth="1"/>
    <col min="12549" max="12550" width="17.5703125" style="2" customWidth="1"/>
    <col min="12551" max="12794" width="9.140625" style="2"/>
    <col min="12795" max="12795" width="3.5703125" style="2" customWidth="1"/>
    <col min="12796" max="12796" width="96.85546875" style="2" customWidth="1"/>
    <col min="12797" max="12797" width="30.85546875" style="2" customWidth="1"/>
    <col min="12798" max="12798" width="12.5703125" style="2" customWidth="1"/>
    <col min="12799" max="12799" width="5.140625" style="2" customWidth="1"/>
    <col min="12800" max="12800" width="9.140625" style="2"/>
    <col min="12801" max="12801" width="4.85546875" style="2" customWidth="1"/>
    <col min="12802" max="12802" width="30.5703125" style="2" customWidth="1"/>
    <col min="12803" max="12803" width="33.85546875" style="2" customWidth="1"/>
    <col min="12804" max="12804" width="5.140625" style="2" customWidth="1"/>
    <col min="12805" max="12806" width="17.5703125" style="2" customWidth="1"/>
    <col min="12807" max="13050" width="9.140625" style="2"/>
    <col min="13051" max="13051" width="3.5703125" style="2" customWidth="1"/>
    <col min="13052" max="13052" width="96.85546875" style="2" customWidth="1"/>
    <col min="13053" max="13053" width="30.85546875" style="2" customWidth="1"/>
    <col min="13054" max="13054" width="12.5703125" style="2" customWidth="1"/>
    <col min="13055" max="13055" width="5.140625" style="2" customWidth="1"/>
    <col min="13056" max="13056" width="9.140625" style="2"/>
    <col min="13057" max="13057" width="4.85546875" style="2" customWidth="1"/>
    <col min="13058" max="13058" width="30.5703125" style="2" customWidth="1"/>
    <col min="13059" max="13059" width="33.85546875" style="2" customWidth="1"/>
    <col min="13060" max="13060" width="5.140625" style="2" customWidth="1"/>
    <col min="13061" max="13062" width="17.5703125" style="2" customWidth="1"/>
    <col min="13063" max="13306" width="9.140625" style="2"/>
    <col min="13307" max="13307" width="3.5703125" style="2" customWidth="1"/>
    <col min="13308" max="13308" width="96.85546875" style="2" customWidth="1"/>
    <col min="13309" max="13309" width="30.85546875" style="2" customWidth="1"/>
    <col min="13310" max="13310" width="12.5703125" style="2" customWidth="1"/>
    <col min="13311" max="13311" width="5.140625" style="2" customWidth="1"/>
    <col min="13312" max="13312" width="9.140625" style="2"/>
    <col min="13313" max="13313" width="4.85546875" style="2" customWidth="1"/>
    <col min="13314" max="13314" width="30.5703125" style="2" customWidth="1"/>
    <col min="13315" max="13315" width="33.85546875" style="2" customWidth="1"/>
    <col min="13316" max="13316" width="5.140625" style="2" customWidth="1"/>
    <col min="13317" max="13318" width="17.5703125" style="2" customWidth="1"/>
    <col min="13319" max="13562" width="9.140625" style="2"/>
    <col min="13563" max="13563" width="3.5703125" style="2" customWidth="1"/>
    <col min="13564" max="13564" width="96.85546875" style="2" customWidth="1"/>
    <col min="13565" max="13565" width="30.85546875" style="2" customWidth="1"/>
    <col min="13566" max="13566" width="12.5703125" style="2" customWidth="1"/>
    <col min="13567" max="13567" width="5.140625" style="2" customWidth="1"/>
    <col min="13568" max="13568" width="9.140625" style="2"/>
    <col min="13569" max="13569" width="4.85546875" style="2" customWidth="1"/>
    <col min="13570" max="13570" width="30.5703125" style="2" customWidth="1"/>
    <col min="13571" max="13571" width="33.85546875" style="2" customWidth="1"/>
    <col min="13572" max="13572" width="5.140625" style="2" customWidth="1"/>
    <col min="13573" max="13574" width="17.5703125" style="2" customWidth="1"/>
    <col min="13575" max="13818" width="9.140625" style="2"/>
    <col min="13819" max="13819" width="3.5703125" style="2" customWidth="1"/>
    <col min="13820" max="13820" width="96.85546875" style="2" customWidth="1"/>
    <col min="13821" max="13821" width="30.85546875" style="2" customWidth="1"/>
    <col min="13822" max="13822" width="12.5703125" style="2" customWidth="1"/>
    <col min="13823" max="13823" width="5.140625" style="2" customWidth="1"/>
    <col min="13824" max="13824" width="9.140625" style="2"/>
    <col min="13825" max="13825" width="4.85546875" style="2" customWidth="1"/>
    <col min="13826" max="13826" width="30.5703125" style="2" customWidth="1"/>
    <col min="13827" max="13827" width="33.85546875" style="2" customWidth="1"/>
    <col min="13828" max="13828" width="5.140625" style="2" customWidth="1"/>
    <col min="13829" max="13830" width="17.5703125" style="2" customWidth="1"/>
    <col min="13831" max="14074" width="9.140625" style="2"/>
    <col min="14075" max="14075" width="3.5703125" style="2" customWidth="1"/>
    <col min="14076" max="14076" width="96.85546875" style="2" customWidth="1"/>
    <col min="14077" max="14077" width="30.85546875" style="2" customWidth="1"/>
    <col min="14078" max="14078" width="12.5703125" style="2" customWidth="1"/>
    <col min="14079" max="14079" width="5.140625" style="2" customWidth="1"/>
    <col min="14080" max="14080" width="9.140625" style="2"/>
    <col min="14081" max="14081" width="4.85546875" style="2" customWidth="1"/>
    <col min="14082" max="14082" width="30.5703125" style="2" customWidth="1"/>
    <col min="14083" max="14083" width="33.85546875" style="2" customWidth="1"/>
    <col min="14084" max="14084" width="5.140625" style="2" customWidth="1"/>
    <col min="14085" max="14086" width="17.5703125" style="2" customWidth="1"/>
    <col min="14087" max="14330" width="9.140625" style="2"/>
    <col min="14331" max="14331" width="3.5703125" style="2" customWidth="1"/>
    <col min="14332" max="14332" width="96.85546875" style="2" customWidth="1"/>
    <col min="14333" max="14333" width="30.85546875" style="2" customWidth="1"/>
    <col min="14334" max="14334" width="12.5703125" style="2" customWidth="1"/>
    <col min="14335" max="14335" width="5.140625" style="2" customWidth="1"/>
    <col min="14336" max="14336" width="9.140625" style="2"/>
    <col min="14337" max="14337" width="4.85546875" style="2" customWidth="1"/>
    <col min="14338" max="14338" width="30.5703125" style="2" customWidth="1"/>
    <col min="14339" max="14339" width="33.85546875" style="2" customWidth="1"/>
    <col min="14340" max="14340" width="5.140625" style="2" customWidth="1"/>
    <col min="14341" max="14342" width="17.5703125" style="2" customWidth="1"/>
    <col min="14343" max="14586" width="9.140625" style="2"/>
    <col min="14587" max="14587" width="3.5703125" style="2" customWidth="1"/>
    <col min="14588" max="14588" width="96.85546875" style="2" customWidth="1"/>
    <col min="14589" max="14589" width="30.85546875" style="2" customWidth="1"/>
    <col min="14590" max="14590" width="12.5703125" style="2" customWidth="1"/>
    <col min="14591" max="14591" width="5.140625" style="2" customWidth="1"/>
    <col min="14592" max="14592" width="9.140625" style="2"/>
    <col min="14593" max="14593" width="4.85546875" style="2" customWidth="1"/>
    <col min="14594" max="14594" width="30.5703125" style="2" customWidth="1"/>
    <col min="14595" max="14595" width="33.85546875" style="2" customWidth="1"/>
    <col min="14596" max="14596" width="5.140625" style="2" customWidth="1"/>
    <col min="14597" max="14598" width="17.5703125" style="2" customWidth="1"/>
    <col min="14599" max="14842" width="9.140625" style="2"/>
    <col min="14843" max="14843" width="3.5703125" style="2" customWidth="1"/>
    <col min="14844" max="14844" width="96.85546875" style="2" customWidth="1"/>
    <col min="14845" max="14845" width="30.85546875" style="2" customWidth="1"/>
    <col min="14846" max="14846" width="12.5703125" style="2" customWidth="1"/>
    <col min="14847" max="14847" width="5.140625" style="2" customWidth="1"/>
    <col min="14848" max="14848" width="9.140625" style="2"/>
    <col min="14849" max="14849" width="4.85546875" style="2" customWidth="1"/>
    <col min="14850" max="14850" width="30.5703125" style="2" customWidth="1"/>
    <col min="14851" max="14851" width="33.85546875" style="2" customWidth="1"/>
    <col min="14852" max="14852" width="5.140625" style="2" customWidth="1"/>
    <col min="14853" max="14854" width="17.5703125" style="2" customWidth="1"/>
    <col min="14855" max="15098" width="9.140625" style="2"/>
    <col min="15099" max="15099" width="3.5703125" style="2" customWidth="1"/>
    <col min="15100" max="15100" width="96.85546875" style="2" customWidth="1"/>
    <col min="15101" max="15101" width="30.85546875" style="2" customWidth="1"/>
    <col min="15102" max="15102" width="12.5703125" style="2" customWidth="1"/>
    <col min="15103" max="15103" width="5.140625" style="2" customWidth="1"/>
    <col min="15104" max="15104" width="9.140625" style="2"/>
    <col min="15105" max="15105" width="4.85546875" style="2" customWidth="1"/>
    <col min="15106" max="15106" width="30.5703125" style="2" customWidth="1"/>
    <col min="15107" max="15107" width="33.85546875" style="2" customWidth="1"/>
    <col min="15108" max="15108" width="5.140625" style="2" customWidth="1"/>
    <col min="15109" max="15110" width="17.5703125" style="2" customWidth="1"/>
    <col min="15111" max="15354" width="9.140625" style="2"/>
    <col min="15355" max="15355" width="3.5703125" style="2" customWidth="1"/>
    <col min="15356" max="15356" width="96.85546875" style="2" customWidth="1"/>
    <col min="15357" max="15357" width="30.85546875" style="2" customWidth="1"/>
    <col min="15358" max="15358" width="12.5703125" style="2" customWidth="1"/>
    <col min="15359" max="15359" width="5.140625" style="2" customWidth="1"/>
    <col min="15360" max="15360" width="9.140625" style="2"/>
    <col min="15361" max="15361" width="4.85546875" style="2" customWidth="1"/>
    <col min="15362" max="15362" width="30.5703125" style="2" customWidth="1"/>
    <col min="15363" max="15363" width="33.85546875" style="2" customWidth="1"/>
    <col min="15364" max="15364" width="5.140625" style="2" customWidth="1"/>
    <col min="15365" max="15366" width="17.5703125" style="2" customWidth="1"/>
    <col min="15367" max="15610" width="9.140625" style="2"/>
    <col min="15611" max="15611" width="3.5703125" style="2" customWidth="1"/>
    <col min="15612" max="15612" width="96.85546875" style="2" customWidth="1"/>
    <col min="15613" max="15613" width="30.85546875" style="2" customWidth="1"/>
    <col min="15614" max="15614" width="12.5703125" style="2" customWidth="1"/>
    <col min="15615" max="15615" width="5.140625" style="2" customWidth="1"/>
    <col min="15616" max="15616" width="9.140625" style="2"/>
    <col min="15617" max="15617" width="4.85546875" style="2" customWidth="1"/>
    <col min="15618" max="15618" width="30.5703125" style="2" customWidth="1"/>
    <col min="15619" max="15619" width="33.85546875" style="2" customWidth="1"/>
    <col min="15620" max="15620" width="5.140625" style="2" customWidth="1"/>
    <col min="15621" max="15622" width="17.5703125" style="2" customWidth="1"/>
    <col min="15623" max="15866" width="9.140625" style="2"/>
    <col min="15867" max="15867" width="3.5703125" style="2" customWidth="1"/>
    <col min="15868" max="15868" width="96.85546875" style="2" customWidth="1"/>
    <col min="15869" max="15869" width="30.85546875" style="2" customWidth="1"/>
    <col min="15870" max="15870" width="12.5703125" style="2" customWidth="1"/>
    <col min="15871" max="15871" width="5.140625" style="2" customWidth="1"/>
    <col min="15872" max="15872" width="9.140625" style="2"/>
    <col min="15873" max="15873" width="4.85546875" style="2" customWidth="1"/>
    <col min="15874" max="15874" width="30.5703125" style="2" customWidth="1"/>
    <col min="15875" max="15875" width="33.85546875" style="2" customWidth="1"/>
    <col min="15876" max="15876" width="5.140625" style="2" customWidth="1"/>
    <col min="15877" max="15878" width="17.5703125" style="2" customWidth="1"/>
    <col min="15879" max="16122" width="9.140625" style="2"/>
    <col min="16123" max="16123" width="3.5703125" style="2" customWidth="1"/>
    <col min="16124" max="16124" width="96.85546875" style="2" customWidth="1"/>
    <col min="16125" max="16125" width="30.85546875" style="2" customWidth="1"/>
    <col min="16126" max="16126" width="12.5703125" style="2" customWidth="1"/>
    <col min="16127" max="16127" width="5.140625" style="2" customWidth="1"/>
    <col min="16128" max="16128" width="9.140625" style="2"/>
    <col min="16129" max="16129" width="4.85546875" style="2" customWidth="1"/>
    <col min="16130" max="16130" width="30.5703125" style="2" customWidth="1"/>
    <col min="16131" max="16131" width="33.85546875" style="2" customWidth="1"/>
    <col min="16132" max="16132" width="5.140625" style="2" customWidth="1"/>
    <col min="16133" max="16134" width="17.5703125" style="2" customWidth="1"/>
    <col min="16135" max="16384" width="9.140625" style="2"/>
  </cols>
  <sheetData>
    <row r="1" spans="1:4" ht="48" customHeight="1" x14ac:dyDescent="0.2">
      <c r="A1" s="1"/>
      <c r="B1" s="139" t="s">
        <v>0</v>
      </c>
      <c r="C1" s="139"/>
      <c r="D1" s="139"/>
    </row>
    <row r="2" spans="1:4" x14ac:dyDescent="0.2">
      <c r="A2" s="3"/>
      <c r="B2" s="4" t="s">
        <v>1</v>
      </c>
      <c r="C2" s="5">
        <v>45687</v>
      </c>
    </row>
    <row r="3" spans="1:4" x14ac:dyDescent="0.2">
      <c r="A3" s="3"/>
      <c r="B3" s="6" t="s">
        <v>2</v>
      </c>
    </row>
    <row r="4" spans="1:4" ht="25.5" x14ac:dyDescent="0.2">
      <c r="A4" s="8"/>
      <c r="B4" s="9" t="str">
        <f>[17]И1!D13</f>
        <v>Субъект Российской Федерации</v>
      </c>
      <c r="C4" s="10" t="str">
        <f>[17]И1!E13</f>
        <v>Новосибирская область</v>
      </c>
      <c r="D4" s="119"/>
    </row>
    <row r="5" spans="1:4" ht="46.9" customHeight="1" x14ac:dyDescent="0.2">
      <c r="A5" s="8"/>
      <c r="B5" s="9" t="str">
        <f>[17]И1!D14</f>
        <v>Тип муниципального образования (выберите из списка)</v>
      </c>
      <c r="C5" s="10" t="str">
        <f>[17]И1!E14</f>
        <v>село Полойка, Краснозерский муниципальный район</v>
      </c>
      <c r="D5" s="119"/>
    </row>
    <row r="6" spans="1:4" x14ac:dyDescent="0.2">
      <c r="A6" s="8"/>
      <c r="B6" s="9" t="str">
        <f>IF([17]И1!E15="","",[17]И1!D15)</f>
        <v/>
      </c>
      <c r="C6" s="10" t="str">
        <f>IF([17]И1!E15="","",[17]И1!E15)</f>
        <v/>
      </c>
      <c r="D6" s="119"/>
    </row>
    <row r="7" spans="1:4" x14ac:dyDescent="0.2">
      <c r="A7" s="8"/>
      <c r="B7" s="9" t="str">
        <f>[17]И1!D16</f>
        <v>Код ОКТМО</v>
      </c>
      <c r="C7" s="11" t="str">
        <f>[17]И1!E16</f>
        <v xml:space="preserve"> (50627440101)</v>
      </c>
      <c r="D7" s="119"/>
    </row>
    <row r="8" spans="1:4" x14ac:dyDescent="0.2">
      <c r="A8" s="8"/>
      <c r="B8" s="12" t="str">
        <f>[17]И1!D17</f>
        <v>Система теплоснабжения</v>
      </c>
      <c r="C8" s="13">
        <f>[17]И1!E17</f>
        <v>0</v>
      </c>
      <c r="D8" s="119"/>
    </row>
    <row r="9" spans="1:4" x14ac:dyDescent="0.2">
      <c r="A9" s="8"/>
      <c r="B9" s="9" t="str">
        <f>[17]И1!D8</f>
        <v>Период регулирования (i)-й</v>
      </c>
      <c r="C9" s="14">
        <f>[17]И1!E8</f>
        <v>2025</v>
      </c>
      <c r="D9" s="119"/>
    </row>
    <row r="10" spans="1:4" x14ac:dyDescent="0.2">
      <c r="A10" s="8"/>
      <c r="B10" s="9" t="str">
        <f>[17]И1!D9</f>
        <v>Период регулирования (i-1)-й</v>
      </c>
      <c r="C10" s="14">
        <f>[17]И1!E9</f>
        <v>2024</v>
      </c>
      <c r="D10" s="119"/>
    </row>
    <row r="11" spans="1:4" x14ac:dyDescent="0.2">
      <c r="A11" s="8"/>
      <c r="B11" s="9" t="str">
        <f>[17]И1!D10</f>
        <v>Период регулирования (i-2)-й</v>
      </c>
      <c r="C11" s="14">
        <f>[17]И1!E10</f>
        <v>2023</v>
      </c>
      <c r="D11" s="119"/>
    </row>
    <row r="12" spans="1:4" x14ac:dyDescent="0.2">
      <c r="A12" s="8"/>
      <c r="B12" s="9" t="str">
        <f>[17]И1!D11</f>
        <v>Базовый год (б)</v>
      </c>
      <c r="C12" s="14">
        <f>[17]И1!E11</f>
        <v>2019</v>
      </c>
      <c r="D12" s="119"/>
    </row>
    <row r="13" spans="1:4" ht="38.25" x14ac:dyDescent="0.2">
      <c r="A13" s="8"/>
      <c r="B13" s="9" t="str">
        <f>[17]И1!D18</f>
        <v>Вид топлива, использование которого преобладает в системе теплоснабжения</v>
      </c>
      <c r="C13" s="15" t="str">
        <f>[17]С1.1!E13</f>
        <v>уголь (вид угля не указан в топливном балансе)</v>
      </c>
      <c r="D13" s="119"/>
    </row>
    <row r="14" spans="1:4" ht="31.7" customHeight="1" thickBot="1" x14ac:dyDescent="0.25">
      <c r="A14" s="140" t="s">
        <v>3</v>
      </c>
      <c r="B14" s="140"/>
      <c r="C14" s="140"/>
    </row>
    <row r="15" spans="1:4" x14ac:dyDescent="0.2">
      <c r="A15" s="16" t="s">
        <v>4</v>
      </c>
      <c r="B15" s="17" t="s">
        <v>5</v>
      </c>
      <c r="C15" s="18" t="s">
        <v>6</v>
      </c>
    </row>
    <row r="16" spans="1:4" x14ac:dyDescent="0.2">
      <c r="A16" s="19">
        <v>1</v>
      </c>
      <c r="B16" s="20">
        <v>2</v>
      </c>
      <c r="C16" s="21">
        <v>3</v>
      </c>
    </row>
    <row r="17" spans="1:4" x14ac:dyDescent="0.2">
      <c r="A17" s="22">
        <v>1</v>
      </c>
      <c r="B17" s="23" t="s">
        <v>7</v>
      </c>
      <c r="C17" s="24">
        <f>SUM(C18:C22)</f>
        <v>5682.0747673874621</v>
      </c>
    </row>
    <row r="18" spans="1:4" ht="42.75" x14ac:dyDescent="0.2">
      <c r="A18" s="22" t="s">
        <v>8</v>
      </c>
      <c r="B18" s="25" t="s">
        <v>9</v>
      </c>
      <c r="C18" s="26">
        <f>[17]С1!F12</f>
        <v>1087.0385350710806</v>
      </c>
    </row>
    <row r="19" spans="1:4" ht="42.75" x14ac:dyDescent="0.2">
      <c r="A19" s="22" t="s">
        <v>10</v>
      </c>
      <c r="B19" s="25" t="s">
        <v>11</v>
      </c>
      <c r="C19" s="26">
        <f>[17]С2!F12</f>
        <v>3044.8315746726421</v>
      </c>
    </row>
    <row r="20" spans="1:4" ht="30" x14ac:dyDescent="0.2">
      <c r="A20" s="22" t="s">
        <v>12</v>
      </c>
      <c r="B20" s="25" t="s">
        <v>13</v>
      </c>
      <c r="C20" s="26">
        <f>[17]С3!F12</f>
        <v>911.5178018038722</v>
      </c>
    </row>
    <row r="21" spans="1:4" ht="42.75" x14ac:dyDescent="0.2">
      <c r="A21" s="22" t="s">
        <v>14</v>
      </c>
      <c r="B21" s="25" t="s">
        <v>15</v>
      </c>
      <c r="C21" s="26">
        <f>[17]С4!F12</f>
        <v>527.27362510677995</v>
      </c>
    </row>
    <row r="22" spans="1:4" ht="30" x14ac:dyDescent="0.2">
      <c r="A22" s="22" t="s">
        <v>16</v>
      </c>
      <c r="B22" s="25" t="s">
        <v>17</v>
      </c>
      <c r="C22" s="26">
        <f>[17]С5!F12</f>
        <v>111.4132307330875</v>
      </c>
    </row>
    <row r="23" spans="1:4" ht="43.5" thickBot="1" x14ac:dyDescent="0.25">
      <c r="A23" s="27" t="s">
        <v>18</v>
      </c>
      <c r="B23" s="117" t="s">
        <v>19</v>
      </c>
      <c r="C23" s="28" t="str">
        <f>[17]С6!F12</f>
        <v>-</v>
      </c>
    </row>
    <row r="24" spans="1:4" ht="13.5" thickBot="1" x14ac:dyDescent="0.25">
      <c r="A24" s="3"/>
    </row>
    <row r="25" spans="1:4" x14ac:dyDescent="0.2">
      <c r="A25" s="16" t="s">
        <v>4</v>
      </c>
      <c r="B25" s="29" t="s">
        <v>5</v>
      </c>
      <c r="C25" s="30" t="s">
        <v>6</v>
      </c>
      <c r="D25" s="120" t="s">
        <v>227</v>
      </c>
    </row>
    <row r="26" spans="1:4" x14ac:dyDescent="0.2">
      <c r="A26" s="19">
        <v>1</v>
      </c>
      <c r="B26" s="31">
        <v>2</v>
      </c>
      <c r="C26" s="32">
        <v>3</v>
      </c>
      <c r="D26" s="121">
        <v>4</v>
      </c>
    </row>
    <row r="27" spans="1:4" ht="30" customHeight="1" x14ac:dyDescent="0.2">
      <c r="A27" s="22">
        <v>1</v>
      </c>
      <c r="B27" s="141" t="s">
        <v>20</v>
      </c>
      <c r="C27" s="141"/>
      <c r="D27" s="145"/>
    </row>
    <row r="28" spans="1:4" x14ac:dyDescent="0.2">
      <c r="A28" s="22" t="s">
        <v>8</v>
      </c>
      <c r="B28" s="33" t="s">
        <v>21</v>
      </c>
      <c r="C28" s="34">
        <f>[17]С1.1!E16</f>
        <v>5100</v>
      </c>
      <c r="D28" s="122">
        <f>[17]С1.1!F16</f>
        <v>0</v>
      </c>
    </row>
    <row r="29" spans="1:4" ht="42.75" x14ac:dyDescent="0.2">
      <c r="A29" s="22" t="s">
        <v>10</v>
      </c>
      <c r="B29" s="33" t="s">
        <v>22</v>
      </c>
      <c r="C29" s="34">
        <f>[17]С1.1!E27</f>
        <v>3921.2250000000004</v>
      </c>
      <c r="D29" s="122">
        <f>IF([17]С1.1!E23=[17]С1.1!I9,[17]С1.1!F24,IF([17]С1.1!E23=[17]С1.1!I10,[17]С1.1!I10,IF([17]С1.1!E23=[17]С1.1!I11,[17]С1.3!G9,IF([17]С1.1!E23=[17]С1.1!I12,[17]С1.1!F25,IF([17]С1.1!E23=[17]С1.1!I13,[17]С1.1!F26,"")))))</f>
        <v>0</v>
      </c>
    </row>
    <row r="30" spans="1:4" ht="267.75" x14ac:dyDescent="0.2">
      <c r="A30" s="22" t="s">
        <v>12</v>
      </c>
      <c r="B30" s="33" t="s">
        <v>23</v>
      </c>
      <c r="C30" s="35">
        <f>[17]С1.1!E19</f>
        <v>1.4E-2</v>
      </c>
      <c r="D30" s="122" t="str">
        <f>[17]С1.1!F19</f>
        <v xml:space="preserve">Прогноз социально-экономического развития Российской Федерации на 2023 год и на плановый период 2024 и 2025 годов (размещен на официальном сайте Министерства экономического развития Российской Федерации (далее -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
    </row>
    <row r="31" spans="1:4" ht="229.5" x14ac:dyDescent="0.2">
      <c r="A31" s="22" t="s">
        <v>14</v>
      </c>
      <c r="B31" s="33" t="s">
        <v>24</v>
      </c>
      <c r="C31" s="35">
        <f>[17]С1.1!E20</f>
        <v>0.04</v>
      </c>
      <c r="D31" s="122" t="str">
        <f>[17]С1.1!F20</f>
        <v xml:space="preserve">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
    </row>
    <row r="32" spans="1:4" ht="30" x14ac:dyDescent="0.2">
      <c r="A32" s="22" t="s">
        <v>16</v>
      </c>
      <c r="B32" s="36" t="s">
        <v>25</v>
      </c>
      <c r="C32" s="37">
        <f>[17]С1!F13</f>
        <v>176.4</v>
      </c>
      <c r="D32" s="123" t="s">
        <v>228</v>
      </c>
    </row>
    <row r="33" spans="1:4" x14ac:dyDescent="0.2">
      <c r="A33" s="22" t="s">
        <v>18</v>
      </c>
      <c r="B33" s="36" t="s">
        <v>26</v>
      </c>
      <c r="C33" s="38">
        <f>[17]С1!F16</f>
        <v>7000</v>
      </c>
      <c r="D33" s="124" t="s">
        <v>229</v>
      </c>
    </row>
    <row r="34" spans="1:4" ht="14.25" x14ac:dyDescent="0.2">
      <c r="A34" s="22" t="s">
        <v>27</v>
      </c>
      <c r="B34" s="39" t="s">
        <v>28</v>
      </c>
      <c r="C34" s="40">
        <f>[17]С1!F17</f>
        <v>0.72857142857142854</v>
      </c>
      <c r="D34" s="122"/>
    </row>
    <row r="35" spans="1:4" ht="15.75" x14ac:dyDescent="0.2">
      <c r="A35" s="41" t="s">
        <v>29</v>
      </c>
      <c r="B35" s="42" t="s">
        <v>30</v>
      </c>
      <c r="C35" s="40">
        <f>[17]С1!F20</f>
        <v>21.588411179999994</v>
      </c>
      <c r="D35" s="122"/>
    </row>
    <row r="36" spans="1:4" ht="15.75" x14ac:dyDescent="0.2">
      <c r="A36" s="41" t="s">
        <v>31</v>
      </c>
      <c r="B36" s="43" t="s">
        <v>32</v>
      </c>
      <c r="C36" s="40">
        <f>[17]С1!F21</f>
        <v>20.818139999999996</v>
      </c>
      <c r="D36" s="122"/>
    </row>
    <row r="37" spans="1:4" ht="14.25" x14ac:dyDescent="0.2">
      <c r="A37" s="41" t="s">
        <v>33</v>
      </c>
      <c r="B37" s="44" t="s">
        <v>34</v>
      </c>
      <c r="C37" s="40">
        <f>[17]С1!F22</f>
        <v>1.0369999999999999</v>
      </c>
      <c r="D37" s="122" t="s">
        <v>230</v>
      </c>
    </row>
    <row r="38" spans="1:4" ht="53.25" thickBot="1" x14ac:dyDescent="0.25">
      <c r="A38" s="27" t="s">
        <v>35</v>
      </c>
      <c r="B38" s="45" t="s">
        <v>36</v>
      </c>
      <c r="C38" s="46">
        <f>[17]С1!F23</f>
        <v>1.0469999999999999</v>
      </c>
      <c r="D38" s="125" t="s">
        <v>231</v>
      </c>
    </row>
    <row r="39" spans="1:4" ht="13.5" thickBot="1" x14ac:dyDescent="0.25">
      <c r="A39" s="47"/>
      <c r="B39" s="48"/>
      <c r="C39" s="49"/>
      <c r="D39" s="126"/>
    </row>
    <row r="40" spans="1:4" ht="30" customHeight="1" x14ac:dyDescent="0.2">
      <c r="A40" s="50" t="s">
        <v>37</v>
      </c>
      <c r="B40" s="136" t="s">
        <v>38</v>
      </c>
      <c r="C40" s="136"/>
      <c r="D40" s="142"/>
    </row>
    <row r="41" spans="1:4" ht="25.5" x14ac:dyDescent="0.2">
      <c r="A41" s="22" t="s">
        <v>39</v>
      </c>
      <c r="B41" s="36" t="s">
        <v>40</v>
      </c>
      <c r="C41" s="51" t="str">
        <f>[17]С2.1!E12</f>
        <v>V</v>
      </c>
      <c r="D41" s="122" t="s">
        <v>232</v>
      </c>
    </row>
    <row r="42" spans="1:4" ht="242.25" x14ac:dyDescent="0.2">
      <c r="A42" s="22" t="s">
        <v>41</v>
      </c>
      <c r="B42" s="33" t="s">
        <v>42</v>
      </c>
      <c r="C42" s="51" t="str">
        <f>[17]С2.1!E13</f>
        <v>6 и менее баллов</v>
      </c>
      <c r="D42" s="122" t="str">
        <f>[17]С2.1!F13</f>
        <v xml:space="preserve"> Приложение А (обязательное) "Общее сейсмическое районирование территории Российской Федерации ОСР-2015. Список населенных пунктов Российской Федерации, расположенных в сейсмических районах, с указанием расчетной сейсмической интенсивности в баллах шкалы MSK-64 для средних грунтовых условий и трех степеней сейсмической опасности - A (10%), B (5%), C (1%) в течение 50 лет" к своду правил "СП 14.13330.2018 Строительство в сейсмических районах. Актуализир. редакция СНиП II-7-81".</v>
      </c>
    </row>
    <row r="43" spans="1:4" ht="165.75" x14ac:dyDescent="0.2">
      <c r="A43" s="22" t="s">
        <v>43</v>
      </c>
      <c r="B43" s="33" t="s">
        <v>44</v>
      </c>
      <c r="C43" s="51" t="str">
        <f>[17]С2.1!E14</f>
        <v>от 200 до 500</v>
      </c>
      <c r="D43" s="122" t="str">
        <f>[17]С2.1!F14</f>
        <v>Карта Российской Федерации в масштабе, позволяющем определить расстояние на транспортировку основных средств котельной, определяется как расстояние от границы системы теплоснабжения до границы ближайшего административного центра субъекта РФ с железнодорожным сообщением</v>
      </c>
    </row>
    <row r="44" spans="1:4" ht="25.5" x14ac:dyDescent="0.2">
      <c r="A44" s="22" t="s">
        <v>45</v>
      </c>
      <c r="B44" s="33" t="s">
        <v>46</v>
      </c>
      <c r="C44" s="52" t="str">
        <f>[17]С2.1!E15</f>
        <v>нет</v>
      </c>
      <c r="D44" s="122">
        <f>[17]С2.1!F15</f>
        <v>0</v>
      </c>
    </row>
    <row r="45" spans="1:4" ht="30" x14ac:dyDescent="0.2">
      <c r="A45" s="22" t="s">
        <v>47</v>
      </c>
      <c r="B45" s="33" t="s">
        <v>48</v>
      </c>
      <c r="C45" s="34">
        <f>[17]С2!F18</f>
        <v>38910.02669467502</v>
      </c>
      <c r="D45" s="123"/>
    </row>
    <row r="46" spans="1:4" ht="30" x14ac:dyDescent="0.2">
      <c r="A46" s="22" t="s">
        <v>49</v>
      </c>
      <c r="B46" s="53" t="s">
        <v>50</v>
      </c>
      <c r="C46" s="34">
        <f>IF([17]С2!F19&gt;0,[17]С2!F19,[17]С2!F20)</f>
        <v>23441.524932855718</v>
      </c>
      <c r="D46" s="122"/>
    </row>
    <row r="47" spans="1:4" ht="38.25" x14ac:dyDescent="0.2">
      <c r="A47" s="22" t="s">
        <v>51</v>
      </c>
      <c r="B47" s="54" t="s">
        <v>52</v>
      </c>
      <c r="C47" s="34">
        <f>[17]С2.1!E19</f>
        <v>-38</v>
      </c>
      <c r="D47" s="122" t="str">
        <f>CONCATENATE([17]С2.1!F19,"  ",[17]С2.1!F20)</f>
        <v xml:space="preserve">Схема теплоснабжения (расчетная температура наружного воздуха)  </v>
      </c>
    </row>
    <row r="48" spans="1:4" ht="25.5" x14ac:dyDescent="0.2">
      <c r="A48" s="22" t="s">
        <v>53</v>
      </c>
      <c r="B48" s="54" t="s">
        <v>54</v>
      </c>
      <c r="C48" s="34" t="str">
        <f>[17]С2.1!E22</f>
        <v>нет</v>
      </c>
      <c r="D48" s="127">
        <f>[17]С2.1!F22</f>
        <v>0</v>
      </c>
    </row>
    <row r="49" spans="1:4" ht="38.25" x14ac:dyDescent="0.2">
      <c r="A49" s="22" t="s">
        <v>55</v>
      </c>
      <c r="B49" s="55" t="s">
        <v>56</v>
      </c>
      <c r="C49" s="34">
        <f>[17]С2.2!E10</f>
        <v>1287</v>
      </c>
      <c r="D49" s="122" t="s">
        <v>233</v>
      </c>
    </row>
    <row r="50" spans="1:4" ht="25.5" x14ac:dyDescent="0.2">
      <c r="A50" s="22" t="s">
        <v>57</v>
      </c>
      <c r="B50" s="56" t="s">
        <v>58</v>
      </c>
      <c r="C50" s="34">
        <f>[17]С2.2!E12</f>
        <v>5.97</v>
      </c>
      <c r="D50" s="122" t="s">
        <v>234</v>
      </c>
    </row>
    <row r="51" spans="1:4" ht="52.5" x14ac:dyDescent="0.2">
      <c r="A51" s="22" t="s">
        <v>59</v>
      </c>
      <c r="B51" s="57" t="s">
        <v>60</v>
      </c>
      <c r="C51" s="34">
        <f>[17]С2.2!E13</f>
        <v>1</v>
      </c>
      <c r="D51" s="124" t="s">
        <v>229</v>
      </c>
    </row>
    <row r="52" spans="1:4" ht="27.75" x14ac:dyDescent="0.2">
      <c r="A52" s="22" t="s">
        <v>61</v>
      </c>
      <c r="B52" s="56" t="s">
        <v>62</v>
      </c>
      <c r="C52" s="34">
        <f>[17]С2.2!E14</f>
        <v>12104</v>
      </c>
      <c r="D52" s="122" t="s">
        <v>233</v>
      </c>
    </row>
    <row r="53" spans="1:4" ht="63.75" x14ac:dyDescent="0.2">
      <c r="A53" s="22" t="s">
        <v>63</v>
      </c>
      <c r="B53" s="57" t="s">
        <v>64</v>
      </c>
      <c r="C53" s="35">
        <f>[17]С2.2!E15</f>
        <v>4.8000000000000001E-2</v>
      </c>
      <c r="D53" s="122" t="s">
        <v>235</v>
      </c>
    </row>
    <row r="54" spans="1:4" ht="76.5" x14ac:dyDescent="0.2">
      <c r="A54" s="22" t="s">
        <v>65</v>
      </c>
      <c r="B54" s="57" t="s">
        <v>66</v>
      </c>
      <c r="C54" s="34">
        <f>[17]С2.2!E16</f>
        <v>1</v>
      </c>
      <c r="D54" s="122" t="s">
        <v>236</v>
      </c>
    </row>
    <row r="55" spans="1:4" ht="15.75" x14ac:dyDescent="0.2">
      <c r="A55" s="22" t="s">
        <v>67</v>
      </c>
      <c r="B55" s="58" t="s">
        <v>68</v>
      </c>
      <c r="C55" s="34">
        <f>[17]С2!F21</f>
        <v>1</v>
      </c>
      <c r="D55" s="123" t="s">
        <v>237</v>
      </c>
    </row>
    <row r="56" spans="1:4" ht="30" x14ac:dyDescent="0.2">
      <c r="A56" s="59" t="s">
        <v>69</v>
      </c>
      <c r="B56" s="33" t="s">
        <v>70</v>
      </c>
      <c r="C56" s="34">
        <f>[17]С2!F13</f>
        <v>203708.97017230222</v>
      </c>
      <c r="D56" s="123"/>
    </row>
    <row r="57" spans="1:4" ht="30" x14ac:dyDescent="0.2">
      <c r="A57" s="59" t="s">
        <v>71</v>
      </c>
      <c r="B57" s="58" t="s">
        <v>72</v>
      </c>
      <c r="C57" s="34">
        <f>[17]С2!F14</f>
        <v>113455</v>
      </c>
      <c r="D57" s="123" t="s">
        <v>228</v>
      </c>
    </row>
    <row r="58" spans="1:4" ht="15.75" x14ac:dyDescent="0.2">
      <c r="A58" s="59" t="s">
        <v>73</v>
      </c>
      <c r="B58" s="60" t="s">
        <v>74</v>
      </c>
      <c r="C58" s="40">
        <f>[17]С2!F15</f>
        <v>1.071</v>
      </c>
      <c r="D58" s="123" t="s">
        <v>238</v>
      </c>
    </row>
    <row r="59" spans="1:4" ht="15.75" x14ac:dyDescent="0.2">
      <c r="A59" s="59" t="s">
        <v>75</v>
      </c>
      <c r="B59" s="60" t="s">
        <v>76</v>
      </c>
      <c r="C59" s="40">
        <f>[17]С2!F16</f>
        <v>1</v>
      </c>
      <c r="D59" s="123" t="s">
        <v>237</v>
      </c>
    </row>
    <row r="60" spans="1:4" ht="17.25" x14ac:dyDescent="0.2">
      <c r="A60" s="59" t="s">
        <v>77</v>
      </c>
      <c r="B60" s="58" t="s">
        <v>78</v>
      </c>
      <c r="C60" s="34">
        <f>[17]С2!F17</f>
        <v>1.01</v>
      </c>
      <c r="D60" s="123" t="s">
        <v>239</v>
      </c>
    </row>
    <row r="61" spans="1:4" s="63" customFormat="1" ht="14.25" x14ac:dyDescent="0.2">
      <c r="A61" s="59" t="s">
        <v>79</v>
      </c>
      <c r="B61" s="61" t="s">
        <v>80</v>
      </c>
      <c r="C61" s="62">
        <f>[17]С2!F33</f>
        <v>10</v>
      </c>
      <c r="D61" s="123" t="s">
        <v>240</v>
      </c>
    </row>
    <row r="62" spans="1:4" ht="30" x14ac:dyDescent="0.2">
      <c r="A62" s="59" t="s">
        <v>81</v>
      </c>
      <c r="B62" s="64" t="s">
        <v>82</v>
      </c>
      <c r="C62" s="34">
        <f>[17]С2!F26</f>
        <v>1349.309862285194</v>
      </c>
      <c r="D62" s="123"/>
    </row>
    <row r="63" spans="1:4" ht="165.75" x14ac:dyDescent="0.2">
      <c r="A63" s="59" t="s">
        <v>83</v>
      </c>
      <c r="B63" s="53" t="s">
        <v>84</v>
      </c>
      <c r="C63" s="34">
        <f>[17]С2!F27</f>
        <v>0.19354712999999998</v>
      </c>
      <c r="D63" s="122" t="str">
        <f>[17]С2.4!F12</f>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
    </row>
    <row r="64" spans="1:4" ht="17.25" x14ac:dyDescent="0.2">
      <c r="A64" s="59" t="s">
        <v>85</v>
      </c>
      <c r="B64" s="58" t="s">
        <v>86</v>
      </c>
      <c r="C64" s="62">
        <f>[17]С2!F28</f>
        <v>4200</v>
      </c>
      <c r="D64" s="123" t="s">
        <v>228</v>
      </c>
    </row>
    <row r="65" spans="1:4" ht="42.75" x14ac:dyDescent="0.2">
      <c r="A65" s="59" t="s">
        <v>87</v>
      </c>
      <c r="B65" s="33" t="s">
        <v>88</v>
      </c>
      <c r="C65" s="34">
        <f>[17]С2!F22</f>
        <v>42890.921752741691</v>
      </c>
      <c r="D65" s="123"/>
    </row>
    <row r="66" spans="1:4" ht="30" x14ac:dyDescent="0.2">
      <c r="A66" s="59" t="s">
        <v>89</v>
      </c>
      <c r="B66" s="60" t="s">
        <v>90</v>
      </c>
      <c r="C66" s="34">
        <f>[17]С2!F23</f>
        <v>1990</v>
      </c>
      <c r="D66" s="122" t="s">
        <v>241</v>
      </c>
    </row>
    <row r="67" spans="1:4" ht="30" x14ac:dyDescent="0.2">
      <c r="A67" s="59" t="s">
        <v>91</v>
      </c>
      <c r="B67" s="53" t="s">
        <v>92</v>
      </c>
      <c r="C67" s="34">
        <f>[17]С2.1!E27</f>
        <v>14307.876789999998</v>
      </c>
      <c r="D67" s="123"/>
    </row>
    <row r="68" spans="1:4" ht="38.25" x14ac:dyDescent="0.2">
      <c r="A68" s="59" t="s">
        <v>93</v>
      </c>
      <c r="B68" s="65" t="s">
        <v>94</v>
      </c>
      <c r="C68" s="52">
        <f>[17]С2.3!E21</f>
        <v>0</v>
      </c>
      <c r="D68" s="122">
        <f>[17]С2.3!F21</f>
        <v>0</v>
      </c>
    </row>
    <row r="69" spans="1:4" ht="25.5" x14ac:dyDescent="0.2">
      <c r="A69" s="59" t="s">
        <v>95</v>
      </c>
      <c r="B69" s="66" t="s">
        <v>96</v>
      </c>
      <c r="C69" s="67">
        <f>[17]С2.3!E11</f>
        <v>9.89</v>
      </c>
      <c r="D69" s="123" t="s">
        <v>242</v>
      </c>
    </row>
    <row r="70" spans="1:4" ht="25.5" x14ac:dyDescent="0.2">
      <c r="A70" s="59" t="s">
        <v>97</v>
      </c>
      <c r="B70" s="66" t="s">
        <v>98</v>
      </c>
      <c r="C70" s="62">
        <f>[17]С2.3!E13</f>
        <v>300</v>
      </c>
      <c r="D70" s="123" t="s">
        <v>242</v>
      </c>
    </row>
    <row r="71" spans="1:4" ht="25.5" x14ac:dyDescent="0.2">
      <c r="A71" s="59" t="s">
        <v>99</v>
      </c>
      <c r="B71" s="65" t="s">
        <v>100</v>
      </c>
      <c r="C71" s="68">
        <f>IF([17]С2.3!E22&gt;0,[17]С2.3!E22,[17]С2.3!E14)</f>
        <v>61211</v>
      </c>
      <c r="D71" s="122" t="str">
        <f>IF(C71=[17]С2.3!E14,"Таблица ТЭП (IV)",[17]С2.3!F22)</f>
        <v>Таблица ТЭП (IV)</v>
      </c>
    </row>
    <row r="72" spans="1:4" ht="38.25" x14ac:dyDescent="0.2">
      <c r="A72" s="59" t="s">
        <v>101</v>
      </c>
      <c r="B72" s="65" t="s">
        <v>102</v>
      </c>
      <c r="C72" s="68">
        <f>IF([17]С2.3!E23&gt;0,[17]С2.3!E23,[17]С2.3!E15)</f>
        <v>45675</v>
      </c>
      <c r="D72" s="122" t="str">
        <f>IF(C72=[17]С2.3!E15,"Таблица ТЭП (IV)",[17]С2.3!F23)</f>
        <v>Таблица ТЭП (IV)</v>
      </c>
    </row>
    <row r="73" spans="1:4" ht="30" x14ac:dyDescent="0.2">
      <c r="A73" s="59" t="s">
        <v>103</v>
      </c>
      <c r="B73" s="53" t="s">
        <v>104</v>
      </c>
      <c r="C73" s="34">
        <f>[17]С2.1!E28</f>
        <v>9541.9567200000001</v>
      </c>
      <c r="D73" s="123"/>
    </row>
    <row r="74" spans="1:4" ht="38.25" x14ac:dyDescent="0.2">
      <c r="A74" s="59" t="s">
        <v>105</v>
      </c>
      <c r="B74" s="65" t="s">
        <v>106</v>
      </c>
      <c r="C74" s="52">
        <f>[17]С2.3!E25</f>
        <v>0</v>
      </c>
      <c r="D74" s="122">
        <f>[17]С2.3!F25</f>
        <v>0</v>
      </c>
    </row>
    <row r="75" spans="1:4" ht="25.5" x14ac:dyDescent="0.2">
      <c r="A75" s="59" t="s">
        <v>107</v>
      </c>
      <c r="B75" s="66" t="s">
        <v>108</v>
      </c>
      <c r="C75" s="67">
        <f>[17]С2.3!E12</f>
        <v>0.56000000000000005</v>
      </c>
      <c r="D75" s="123" t="s">
        <v>242</v>
      </c>
    </row>
    <row r="76" spans="1:4" ht="25.5" x14ac:dyDescent="0.2">
      <c r="A76" s="59" t="s">
        <v>109</v>
      </c>
      <c r="B76" s="66" t="s">
        <v>98</v>
      </c>
      <c r="C76" s="62">
        <f>[17]С2.3!E13</f>
        <v>300</v>
      </c>
      <c r="D76" s="123" t="s">
        <v>242</v>
      </c>
    </row>
    <row r="77" spans="1:4" ht="25.5" x14ac:dyDescent="0.2">
      <c r="A77" s="59" t="s">
        <v>110</v>
      </c>
      <c r="B77" s="69" t="s">
        <v>111</v>
      </c>
      <c r="C77" s="68">
        <f>IF([17]С2.3!E26&gt;0,[17]С2.3!E26,[17]С2.3!E16)</f>
        <v>65637</v>
      </c>
      <c r="D77" s="122" t="str">
        <f>IF(C77=[17]С2.3!E16,"Таблица ТЭП (IV)",[17]С2.3!F26)</f>
        <v>Таблица ТЭП (IV)</v>
      </c>
    </row>
    <row r="78" spans="1:4" ht="38.25" x14ac:dyDescent="0.2">
      <c r="A78" s="59" t="s">
        <v>112</v>
      </c>
      <c r="B78" s="69" t="s">
        <v>113</v>
      </c>
      <c r="C78" s="68">
        <f>IF([17]С2.3!E27&gt;0,[17]С2.3!E27,[17]С2.3!E17)</f>
        <v>31684</v>
      </c>
      <c r="D78" s="122" t="str">
        <f>IF(C78=[17]С2.3!E17,"Таблица ТЭП (IV)",[17]С2.3!F27)</f>
        <v>Таблица ТЭП (IV)</v>
      </c>
    </row>
    <row r="79" spans="1:4" ht="17.25" x14ac:dyDescent="0.2">
      <c r="A79" s="59" t="s">
        <v>114</v>
      </c>
      <c r="B79" s="33" t="s">
        <v>115</v>
      </c>
      <c r="C79" s="35">
        <f>[17]С2!F29</f>
        <v>0.17804631770487722</v>
      </c>
      <c r="D79" s="128"/>
    </row>
    <row r="80" spans="1:4" ht="30" x14ac:dyDescent="0.2">
      <c r="A80" s="59" t="s">
        <v>116</v>
      </c>
      <c r="B80" s="53" t="s">
        <v>117</v>
      </c>
      <c r="C80" s="70">
        <f>[17]С2!F30</f>
        <v>0.1652189781021898</v>
      </c>
      <c r="D80" s="129" t="str">
        <f>[17]С2.6!G11</f>
        <v>Информация с официального сайта Банка России</v>
      </c>
    </row>
    <row r="81" spans="1:4" ht="17.25" x14ac:dyDescent="0.2">
      <c r="A81" s="59" t="s">
        <v>118</v>
      </c>
      <c r="B81" s="71" t="s">
        <v>119</v>
      </c>
      <c r="C81" s="35">
        <f>[17]С2!F31</f>
        <v>0.13880000000000001</v>
      </c>
      <c r="D81" s="123" t="s">
        <v>240</v>
      </c>
    </row>
    <row r="82" spans="1:4" s="63" customFormat="1" ht="18" thickBot="1" x14ac:dyDescent="0.25">
      <c r="A82" s="72" t="s">
        <v>120</v>
      </c>
      <c r="B82" s="73" t="s">
        <v>121</v>
      </c>
      <c r="C82" s="74">
        <f>[17]С2!F32</f>
        <v>0.12640000000000001</v>
      </c>
      <c r="D82" s="130" t="s">
        <v>240</v>
      </c>
    </row>
    <row r="83" spans="1:4" ht="13.5" thickBot="1" x14ac:dyDescent="0.25">
      <c r="A83" s="47"/>
      <c r="B83" s="75"/>
      <c r="C83" s="15"/>
      <c r="D83" s="131"/>
    </row>
    <row r="84" spans="1:4" s="63" customFormat="1" ht="30" customHeight="1" x14ac:dyDescent="0.2">
      <c r="A84" s="76" t="s">
        <v>122</v>
      </c>
      <c r="B84" s="136" t="s">
        <v>123</v>
      </c>
      <c r="C84" s="136"/>
      <c r="D84" s="142"/>
    </row>
    <row r="85" spans="1:4" s="63" customFormat="1" ht="30" x14ac:dyDescent="0.2">
      <c r="A85" s="77" t="s">
        <v>124</v>
      </c>
      <c r="B85" s="33" t="s">
        <v>125</v>
      </c>
      <c r="C85" s="34">
        <f>[17]С3!F14</f>
        <v>14784.578474435859</v>
      </c>
      <c r="D85" s="122"/>
    </row>
    <row r="86" spans="1:4" s="63" customFormat="1" ht="42.75" x14ac:dyDescent="0.2">
      <c r="A86" s="77" t="s">
        <v>126</v>
      </c>
      <c r="B86" s="53" t="s">
        <v>127</v>
      </c>
      <c r="C86" s="78">
        <f>[17]С3!F15</f>
        <v>0.25</v>
      </c>
      <c r="D86" s="122">
        <f>[17]С3.1!F12</f>
        <v>0</v>
      </c>
    </row>
    <row r="87" spans="1:4" s="63" customFormat="1" ht="14.25" x14ac:dyDescent="0.2">
      <c r="A87" s="77" t="s">
        <v>128</v>
      </c>
      <c r="B87" s="79" t="s">
        <v>129</v>
      </c>
      <c r="C87" s="62">
        <f>[17]С3!F18</f>
        <v>15</v>
      </c>
      <c r="D87" s="122" t="s">
        <v>240</v>
      </c>
    </row>
    <row r="88" spans="1:4" s="63" customFormat="1" ht="17.25" x14ac:dyDescent="0.2">
      <c r="A88" s="77" t="s">
        <v>130</v>
      </c>
      <c r="B88" s="33" t="s">
        <v>131</v>
      </c>
      <c r="C88" s="34">
        <f>[17]С3!F19</f>
        <v>4187.478806422544</v>
      </c>
      <c r="D88" s="122"/>
    </row>
    <row r="89" spans="1:4" s="63" customFormat="1" ht="55.5" x14ac:dyDescent="0.2">
      <c r="A89" s="77" t="s">
        <v>132</v>
      </c>
      <c r="B89" s="53" t="s">
        <v>133</v>
      </c>
      <c r="C89" s="80">
        <f>[17]С3!F20</f>
        <v>2.1999999999999999E-2</v>
      </c>
      <c r="D89" s="122">
        <f>[17]С3.1!F13</f>
        <v>0</v>
      </c>
    </row>
    <row r="90" spans="1:4" s="63" customFormat="1" ht="14.25" x14ac:dyDescent="0.2">
      <c r="A90" s="77" t="s">
        <v>134</v>
      </c>
      <c r="B90" s="58" t="s">
        <v>80</v>
      </c>
      <c r="C90" s="62">
        <f>[17]С3!F21</f>
        <v>10</v>
      </c>
      <c r="D90" s="122" t="s">
        <v>240</v>
      </c>
    </row>
    <row r="91" spans="1:4" s="63" customFormat="1" ht="17.25" x14ac:dyDescent="0.2">
      <c r="A91" s="77" t="s">
        <v>135</v>
      </c>
      <c r="B91" s="33" t="s">
        <v>136</v>
      </c>
      <c r="C91" s="34">
        <f>[17]С3!F22</f>
        <v>4.0479295868555818</v>
      </c>
      <c r="D91" s="122"/>
    </row>
    <row r="92" spans="1:4" s="63" customFormat="1" ht="55.5" x14ac:dyDescent="0.2">
      <c r="A92" s="77" t="s">
        <v>137</v>
      </c>
      <c r="B92" s="53" t="s">
        <v>138</v>
      </c>
      <c r="C92" s="80">
        <f>[17]С3!F23</f>
        <v>3.0000000000000001E-3</v>
      </c>
      <c r="D92" s="122">
        <f>[17]С3.1!F14</f>
        <v>0</v>
      </c>
    </row>
    <row r="93" spans="1:4" s="63" customFormat="1" ht="27.75" thickBot="1" x14ac:dyDescent="0.25">
      <c r="A93" s="81" t="s">
        <v>139</v>
      </c>
      <c r="B93" s="82" t="s">
        <v>140</v>
      </c>
      <c r="C93" s="83">
        <f>[17]С3!F24</f>
        <v>1349.309862285194</v>
      </c>
      <c r="D93" s="125"/>
    </row>
    <row r="94" spans="1:4" ht="13.5" thickBot="1" x14ac:dyDescent="0.25">
      <c r="A94" s="47"/>
      <c r="B94" s="75"/>
      <c r="C94" s="15"/>
      <c r="D94" s="131"/>
    </row>
    <row r="95" spans="1:4" ht="30" customHeight="1" x14ac:dyDescent="0.2">
      <c r="A95" s="84" t="s">
        <v>141</v>
      </c>
      <c r="B95" s="136" t="s">
        <v>142</v>
      </c>
      <c r="C95" s="136"/>
      <c r="D95" s="142"/>
    </row>
    <row r="96" spans="1:4" ht="30" x14ac:dyDescent="0.2">
      <c r="A96" s="59" t="s">
        <v>143</v>
      </c>
      <c r="B96" s="33" t="s">
        <v>144</v>
      </c>
      <c r="C96" s="34">
        <f>[17]С4!F16</f>
        <v>1652.5</v>
      </c>
      <c r="D96" s="122"/>
    </row>
    <row r="97" spans="1:4" ht="30" x14ac:dyDescent="0.2">
      <c r="A97" s="59" t="s">
        <v>145</v>
      </c>
      <c r="B97" s="58" t="s">
        <v>146</v>
      </c>
      <c r="C97" s="34">
        <f>[17]С4!F17</f>
        <v>73547</v>
      </c>
      <c r="D97" s="122" t="s">
        <v>228</v>
      </c>
    </row>
    <row r="98" spans="1:4" ht="17.25" x14ac:dyDescent="0.2">
      <c r="A98" s="59" t="s">
        <v>147</v>
      </c>
      <c r="B98" s="58" t="s">
        <v>148</v>
      </c>
      <c r="C98" s="40">
        <f>[17]С4!F18</f>
        <v>0.02</v>
      </c>
      <c r="D98" s="122" t="s">
        <v>228</v>
      </c>
    </row>
    <row r="99" spans="1:4" ht="30" x14ac:dyDescent="0.2">
      <c r="A99" s="59" t="s">
        <v>149</v>
      </c>
      <c r="B99" s="58" t="s">
        <v>150</v>
      </c>
      <c r="C99" s="34">
        <f>[17]С4!F19</f>
        <v>12104</v>
      </c>
      <c r="D99" s="122" t="s">
        <v>243</v>
      </c>
    </row>
    <row r="100" spans="1:4" ht="31.5" x14ac:dyDescent="0.2">
      <c r="A100" s="59" t="s">
        <v>151</v>
      </c>
      <c r="B100" s="58" t="s">
        <v>152</v>
      </c>
      <c r="C100" s="40">
        <f>[17]С4!F20</f>
        <v>1.4999999999999999E-2</v>
      </c>
      <c r="D100" s="122" t="s">
        <v>243</v>
      </c>
    </row>
    <row r="101" spans="1:4" ht="30" x14ac:dyDescent="0.2">
      <c r="A101" s="59" t="s">
        <v>153</v>
      </c>
      <c r="B101" s="33" t="s">
        <v>154</v>
      </c>
      <c r="C101" s="34">
        <f>[17]С4!F21</f>
        <v>1933.1949342509995</v>
      </c>
      <c r="D101" s="122"/>
    </row>
    <row r="102" spans="1:4" ht="24" customHeight="1" x14ac:dyDescent="0.2">
      <c r="A102" s="59" t="s">
        <v>155</v>
      </c>
      <c r="B102" s="53" t="s">
        <v>156</v>
      </c>
      <c r="C102" s="85">
        <f>IF([17]С4.2!F8="да",[17]С4.2!D21,[17]С4.2!D15)</f>
        <v>0</v>
      </c>
      <c r="D102" s="122"/>
    </row>
    <row r="103" spans="1:4" ht="68.25" x14ac:dyDescent="0.2">
      <c r="A103" s="59" t="s">
        <v>157</v>
      </c>
      <c r="B103" s="53" t="s">
        <v>158</v>
      </c>
      <c r="C103" s="34">
        <f>[17]С4!F22</f>
        <v>3.6112641666666665</v>
      </c>
      <c r="D103" s="122">
        <f>IF([17]С4.2!F8="да",[17]С4.2!E21,[17]С4.2!E15)</f>
        <v>0</v>
      </c>
    </row>
    <row r="104" spans="1:4" ht="30" x14ac:dyDescent="0.2">
      <c r="A104" s="59" t="s">
        <v>159</v>
      </c>
      <c r="B104" s="58" t="s">
        <v>160</v>
      </c>
      <c r="C104" s="34">
        <f>[17]С4!F23</f>
        <v>180</v>
      </c>
      <c r="D104" s="122" t="s">
        <v>241</v>
      </c>
    </row>
    <row r="105" spans="1:4" ht="14.25" x14ac:dyDescent="0.2">
      <c r="A105" s="59" t="s">
        <v>161</v>
      </c>
      <c r="B105" s="53" t="s">
        <v>162</v>
      </c>
      <c r="C105" s="34">
        <f>[17]С4!F24</f>
        <v>8497.1999999999989</v>
      </c>
      <c r="D105" s="122" t="s">
        <v>228</v>
      </c>
    </row>
    <row r="106" spans="1:4" ht="14.25" x14ac:dyDescent="0.2">
      <c r="A106" s="59" t="s">
        <v>163</v>
      </c>
      <c r="B106" s="58" t="s">
        <v>164</v>
      </c>
      <c r="C106" s="40">
        <f>[17]С4!F25</f>
        <v>0.35</v>
      </c>
      <c r="D106" s="122" t="s">
        <v>244</v>
      </c>
    </row>
    <row r="107" spans="1:4" ht="17.25" x14ac:dyDescent="0.2">
      <c r="A107" s="59" t="s">
        <v>165</v>
      </c>
      <c r="B107" s="33" t="s">
        <v>166</v>
      </c>
      <c r="C107" s="34">
        <f>[17]С4!F26</f>
        <v>50.147775000000003</v>
      </c>
      <c r="D107" s="122"/>
    </row>
    <row r="108" spans="1:4" ht="25.5" x14ac:dyDescent="0.2">
      <c r="A108" s="59" t="s">
        <v>167</v>
      </c>
      <c r="B108" s="53" t="s">
        <v>94</v>
      </c>
      <c r="C108" s="85">
        <f>[17]С4.3!E16</f>
        <v>0</v>
      </c>
      <c r="D108" s="122">
        <f>[17]С4.3!F16</f>
        <v>0</v>
      </c>
    </row>
    <row r="109" spans="1:4" ht="25.5" x14ac:dyDescent="0.2">
      <c r="A109" s="59" t="s">
        <v>168</v>
      </c>
      <c r="B109" s="53" t="s">
        <v>169</v>
      </c>
      <c r="C109" s="34">
        <f>[17]С4.3!E17</f>
        <v>13.325000000000001</v>
      </c>
      <c r="D109" s="127">
        <f>[17]С4.3!F17</f>
        <v>0</v>
      </c>
    </row>
    <row r="110" spans="1:4" ht="38.25" x14ac:dyDescent="0.2">
      <c r="A110" s="59" t="s">
        <v>170</v>
      </c>
      <c r="B110" s="53" t="s">
        <v>106</v>
      </c>
      <c r="C110" s="85">
        <f>[17]С4.3!E18</f>
        <v>0</v>
      </c>
      <c r="D110" s="122">
        <f>[17]С4.3!F18</f>
        <v>0</v>
      </c>
    </row>
    <row r="111" spans="1:4" x14ac:dyDescent="0.2">
      <c r="A111" s="59" t="s">
        <v>171</v>
      </c>
      <c r="B111" s="53" t="s">
        <v>172</v>
      </c>
      <c r="C111" s="34">
        <f>[17]С4.3!E19</f>
        <v>16.75</v>
      </c>
      <c r="D111" s="127">
        <f>[17]С4.3!F19</f>
        <v>0</v>
      </c>
    </row>
    <row r="112" spans="1:4" x14ac:dyDescent="0.2">
      <c r="A112" s="59" t="s">
        <v>173</v>
      </c>
      <c r="B112" s="58" t="s">
        <v>174</v>
      </c>
      <c r="C112" s="34">
        <f>[17]С4.3!E11</f>
        <v>1871</v>
      </c>
      <c r="D112" s="122" t="s">
        <v>228</v>
      </c>
    </row>
    <row r="113" spans="1:4" x14ac:dyDescent="0.2">
      <c r="A113" s="59" t="s">
        <v>175</v>
      </c>
      <c r="B113" s="58" t="s">
        <v>176</v>
      </c>
      <c r="C113" s="52">
        <f>[17]С4.3!E12</f>
        <v>1636</v>
      </c>
      <c r="D113" s="122" t="s">
        <v>228</v>
      </c>
    </row>
    <row r="114" spans="1:4" x14ac:dyDescent="0.2">
      <c r="A114" s="59" t="s">
        <v>177</v>
      </c>
      <c r="B114" s="58" t="s">
        <v>178</v>
      </c>
      <c r="C114" s="52">
        <f>[17]С4.3!E13</f>
        <v>204</v>
      </c>
      <c r="D114" s="122" t="s">
        <v>228</v>
      </c>
    </row>
    <row r="115" spans="1:4" ht="30" x14ac:dyDescent="0.2">
      <c r="A115" s="59" t="s">
        <v>179</v>
      </c>
      <c r="B115" s="33" t="s">
        <v>180</v>
      </c>
      <c r="C115" s="34">
        <f>[17]С4!F27</f>
        <v>1291.2863994686898</v>
      </c>
      <c r="D115" s="122"/>
    </row>
    <row r="116" spans="1:4" ht="25.5" x14ac:dyDescent="0.2">
      <c r="A116" s="59" t="s">
        <v>181</v>
      </c>
      <c r="B116" s="53" t="s">
        <v>182</v>
      </c>
      <c r="C116" s="34">
        <f>[17]С4!F28</f>
        <v>991.77142816335618</v>
      </c>
      <c r="D116" s="127"/>
    </row>
    <row r="117" spans="1:4" ht="42.75" x14ac:dyDescent="0.2">
      <c r="A117" s="59" t="s">
        <v>183</v>
      </c>
      <c r="B117" s="53" t="s">
        <v>184</v>
      </c>
      <c r="C117" s="34">
        <f>[17]С4!F29</f>
        <v>299.51497130533357</v>
      </c>
      <c r="D117" s="122"/>
    </row>
    <row r="118" spans="1:4" ht="30" x14ac:dyDescent="0.2">
      <c r="A118" s="59" t="s">
        <v>185</v>
      </c>
      <c r="B118" s="39" t="s">
        <v>186</v>
      </c>
      <c r="C118" s="34">
        <f>[17]С4!F30</f>
        <v>2798.4323573312072</v>
      </c>
      <c r="D118" s="122"/>
    </row>
    <row r="119" spans="1:4" ht="42.75" x14ac:dyDescent="0.2">
      <c r="A119" s="59" t="s">
        <v>187</v>
      </c>
      <c r="B119" s="86" t="s">
        <v>188</v>
      </c>
      <c r="C119" s="34">
        <f>[17]С4!F33</f>
        <v>1601.1491095953263</v>
      </c>
      <c r="D119" s="122"/>
    </row>
    <row r="120" spans="1:4" ht="30" x14ac:dyDescent="0.2">
      <c r="A120" s="59" t="s">
        <v>189</v>
      </c>
      <c r="B120" s="87" t="s">
        <v>190</v>
      </c>
      <c r="C120" s="34">
        <f>[17]С4!F35</f>
        <v>17.040680999999999</v>
      </c>
      <c r="D120" s="127"/>
    </row>
    <row r="121" spans="1:4" ht="14.25" x14ac:dyDescent="0.2">
      <c r="A121" s="59" t="s">
        <v>191</v>
      </c>
      <c r="B121" s="56" t="s">
        <v>192</v>
      </c>
      <c r="C121" s="34">
        <f>[17]С4!F36</f>
        <v>14319.9</v>
      </c>
      <c r="D121" s="122" t="s">
        <v>245</v>
      </c>
    </row>
    <row r="122" spans="1:4" ht="28.5" thickBot="1" x14ac:dyDescent="0.25">
      <c r="A122" s="72" t="s">
        <v>193</v>
      </c>
      <c r="B122" s="88" t="s">
        <v>194</v>
      </c>
      <c r="C122" s="83">
        <f>[17]С4!F37</f>
        <v>1.19</v>
      </c>
      <c r="D122" s="125" t="str">
        <f>[17]С4.1!F12</f>
        <v>пп № 274 от 01.03.2022</v>
      </c>
    </row>
    <row r="123" spans="1:4" s="89" customFormat="1" ht="13.5" thickBot="1" x14ac:dyDescent="0.25">
      <c r="A123" s="47"/>
      <c r="B123" s="75"/>
      <c r="C123" s="15"/>
      <c r="D123" s="131"/>
    </row>
    <row r="124" spans="1:4" s="63" customFormat="1" ht="30" customHeight="1" x14ac:dyDescent="0.2">
      <c r="A124" s="76" t="s">
        <v>195</v>
      </c>
      <c r="B124" s="136" t="s">
        <v>196</v>
      </c>
      <c r="C124" s="136"/>
      <c r="D124" s="142"/>
    </row>
    <row r="125" spans="1:4" ht="16.5" thickBot="1" x14ac:dyDescent="0.25">
      <c r="A125" s="27" t="s">
        <v>197</v>
      </c>
      <c r="B125" s="90" t="s">
        <v>198</v>
      </c>
      <c r="C125" s="83">
        <f>[17]С5!F17</f>
        <v>0.02</v>
      </c>
      <c r="D125" s="132" t="s">
        <v>229</v>
      </c>
    </row>
    <row r="126" spans="1:4" s="89" customFormat="1" ht="13.5" thickBot="1" x14ac:dyDescent="0.25">
      <c r="A126" s="47"/>
      <c r="B126" s="75"/>
      <c r="C126" s="15"/>
      <c r="D126" s="131"/>
    </row>
    <row r="127" spans="1:4" ht="42.75" customHeight="1" x14ac:dyDescent="0.2">
      <c r="A127" s="84" t="s">
        <v>199</v>
      </c>
      <c r="B127" s="137" t="s">
        <v>200</v>
      </c>
      <c r="C127" s="137"/>
      <c r="D127" s="143"/>
    </row>
    <row r="128" spans="1:4" ht="68.25" x14ac:dyDescent="0.2">
      <c r="A128" s="59" t="s">
        <v>201</v>
      </c>
      <c r="B128" s="91" t="s">
        <v>202</v>
      </c>
      <c r="C128" s="34" t="s">
        <v>203</v>
      </c>
      <c r="D128" s="123" t="s">
        <v>229</v>
      </c>
    </row>
    <row r="129" spans="1:5" ht="42.75" hidden="1" x14ac:dyDescent="0.2">
      <c r="A129" s="59" t="s">
        <v>204</v>
      </c>
      <c r="B129" s="86" t="s">
        <v>205</v>
      </c>
      <c r="C129" s="92"/>
      <c r="D129" s="122"/>
    </row>
    <row r="130" spans="1:5" ht="69" thickBot="1" x14ac:dyDescent="0.25">
      <c r="A130" s="72" t="s">
        <v>206</v>
      </c>
      <c r="B130" s="93" t="s">
        <v>207</v>
      </c>
      <c r="C130" s="94" t="s">
        <v>203</v>
      </c>
      <c r="D130" s="130" t="s">
        <v>229</v>
      </c>
    </row>
    <row r="131" spans="1:5" ht="62.25" hidden="1" customHeight="1" x14ac:dyDescent="0.2">
      <c r="A131" s="95" t="s">
        <v>208</v>
      </c>
      <c r="B131" s="96" t="s">
        <v>209</v>
      </c>
      <c r="C131" s="97"/>
      <c r="D131" s="133"/>
    </row>
    <row r="132" spans="1:5" ht="68.25" hidden="1" x14ac:dyDescent="0.2">
      <c r="A132" s="59" t="s">
        <v>210</v>
      </c>
      <c r="B132" s="86" t="s">
        <v>211</v>
      </c>
      <c r="C132" s="35"/>
      <c r="D132" s="122"/>
    </row>
    <row r="133" spans="1:5" ht="69" hidden="1" thickBot="1" x14ac:dyDescent="0.25">
      <c r="A133" s="72" t="s">
        <v>212</v>
      </c>
      <c r="B133" s="98" t="s">
        <v>213</v>
      </c>
      <c r="C133" s="74"/>
      <c r="D133" s="125"/>
    </row>
    <row r="134" spans="1:5" s="89" customFormat="1" ht="13.5" thickBot="1" x14ac:dyDescent="0.25">
      <c r="A134" s="47"/>
      <c r="B134" s="75"/>
      <c r="C134" s="15"/>
      <c r="D134" s="131"/>
    </row>
    <row r="135" spans="1:5" ht="26.25" customHeight="1" x14ac:dyDescent="0.2">
      <c r="A135" s="84" t="s">
        <v>214</v>
      </c>
      <c r="B135" s="99" t="s">
        <v>215</v>
      </c>
      <c r="C135" s="100">
        <f>[17]С2!F37</f>
        <v>20.818139999999996</v>
      </c>
      <c r="D135" s="134"/>
    </row>
    <row r="136" spans="1:5" ht="14.25" x14ac:dyDescent="0.2">
      <c r="A136" s="59" t="s">
        <v>216</v>
      </c>
      <c r="B136" s="101" t="s">
        <v>217</v>
      </c>
      <c r="C136" s="34">
        <f>[17]С2!F38</f>
        <v>7</v>
      </c>
      <c r="D136" s="122" t="s">
        <v>228</v>
      </c>
    </row>
    <row r="137" spans="1:5" ht="17.25" x14ac:dyDescent="0.2">
      <c r="A137" s="59" t="s">
        <v>218</v>
      </c>
      <c r="B137" s="101" t="s">
        <v>219</v>
      </c>
      <c r="C137" s="34">
        <f>[17]С2!F40</f>
        <v>0.97</v>
      </c>
      <c r="D137" s="122" t="s">
        <v>228</v>
      </c>
    </row>
    <row r="138" spans="1:5" ht="15" thickBot="1" x14ac:dyDescent="0.25">
      <c r="A138" s="72" t="s">
        <v>220</v>
      </c>
      <c r="B138" s="102" t="s">
        <v>221</v>
      </c>
      <c r="C138" s="46">
        <f>[17]С2!F42</f>
        <v>0.35</v>
      </c>
      <c r="D138" s="125" t="s">
        <v>244</v>
      </c>
    </row>
    <row r="139" spans="1:5" s="89" customFormat="1" ht="13.5" thickBot="1" x14ac:dyDescent="0.25">
      <c r="A139" s="47"/>
      <c r="B139" s="75"/>
      <c r="C139" s="15"/>
      <c r="D139" s="131"/>
    </row>
    <row r="140" spans="1:5" ht="409.5" x14ac:dyDescent="0.2">
      <c r="A140" s="84" t="s">
        <v>222</v>
      </c>
      <c r="B140" s="103" t="s">
        <v>223</v>
      </c>
      <c r="C140" s="104">
        <f>[17]С2!F35</f>
        <v>1.6598760876745948</v>
      </c>
      <c r="D140" s="135" t="str">
        <f>[17]С2.5!D15</f>
        <v>на 2020: Прогноз социально-экономического развития Российской Федерации на 2022 год и на плановый период 2023 и 2024 годов (размещен на официальном сайте Минэкономразвития России 30.09.2021): файл в формате Microsoft Excel «12. Дефляторы базовый», таблица «Прогноз индексов цен производителей и индексов-дефляторов по видам экономической деятельности, в % г/г (Базовый вариант)», отрасль «Промышленность (BСDE)», (показатель «ИЦП»)
на 2021-2023 годы:  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отрасль «Промышленность (BСDE)», (показатель «ИЦП»)</v>
      </c>
      <c r="E140" s="89"/>
    </row>
    <row r="141" spans="1:5" ht="22.7" customHeight="1" thickBot="1" x14ac:dyDescent="0.25">
      <c r="A141" s="72" t="s">
        <v>224</v>
      </c>
      <c r="B141" s="138" t="s">
        <v>225</v>
      </c>
      <c r="C141" s="138"/>
      <c r="D141" s="144"/>
      <c r="E141" s="89"/>
    </row>
    <row r="142" spans="1:5" ht="13.5" thickBot="1" x14ac:dyDescent="0.25">
      <c r="A142" s="105"/>
      <c r="B142" s="106" t="s">
        <v>226</v>
      </c>
      <c r="C142" s="107"/>
      <c r="D142" s="119"/>
      <c r="E142" s="89"/>
    </row>
    <row r="143" spans="1:5" x14ac:dyDescent="0.2">
      <c r="A143" s="105"/>
      <c r="B143" s="108">
        <v>2020</v>
      </c>
      <c r="C143" s="109">
        <f>[17]С2.5!$E$11</f>
        <v>-2.9000000000000026E-2</v>
      </c>
      <c r="D143" s="119"/>
      <c r="E143" s="89"/>
    </row>
    <row r="144" spans="1:5" x14ac:dyDescent="0.2">
      <c r="A144" s="105"/>
      <c r="B144" s="110">
        <f>B143+1</f>
        <v>2021</v>
      </c>
      <c r="C144" s="111">
        <f>[17]С2.5!$F$11</f>
        <v>0.245</v>
      </c>
      <c r="D144" s="119"/>
      <c r="E144" s="89"/>
    </row>
    <row r="145" spans="1:5" x14ac:dyDescent="0.2">
      <c r="A145" s="105"/>
      <c r="B145" s="110">
        <f t="shared" ref="B145:B208" si="0">B144+1</f>
        <v>2022</v>
      </c>
      <c r="C145" s="111">
        <f>[17]С2.5!$G$11</f>
        <v>0.114</v>
      </c>
      <c r="D145" s="119"/>
      <c r="E145" s="89"/>
    </row>
    <row r="146" spans="1:5" ht="13.5" thickBot="1" x14ac:dyDescent="0.25">
      <c r="A146" s="105"/>
      <c r="B146" s="112">
        <f t="shared" si="0"/>
        <v>2023</v>
      </c>
      <c r="C146" s="113">
        <f>[17]С2.5!$H$11</f>
        <v>0.04</v>
      </c>
      <c r="D146" s="119"/>
      <c r="E146" s="89"/>
    </row>
    <row r="147" spans="1:5" x14ac:dyDescent="0.2">
      <c r="A147" s="105"/>
      <c r="B147" s="114">
        <f t="shared" si="0"/>
        <v>2024</v>
      </c>
      <c r="C147" s="115">
        <f>[17]С2.5!$I$11</f>
        <v>0.11700000000000001</v>
      </c>
      <c r="D147" s="119"/>
      <c r="E147" s="89"/>
    </row>
    <row r="148" spans="1:5" x14ac:dyDescent="0.2">
      <c r="A148" s="105"/>
      <c r="B148" s="110">
        <f t="shared" si="0"/>
        <v>2025</v>
      </c>
      <c r="C148" s="111">
        <f>[17]С2.5!$J$11</f>
        <v>6.0999999999999999E-2</v>
      </c>
      <c r="D148" s="119"/>
      <c r="E148" s="89"/>
    </row>
    <row r="149" spans="1:5" hidden="1" x14ac:dyDescent="0.2">
      <c r="A149" s="105"/>
      <c r="B149" s="110">
        <f t="shared" si="0"/>
        <v>2026</v>
      </c>
      <c r="C149" s="111">
        <f>[17]С2.5!$K$11</f>
        <v>3.5813361771260002E-2</v>
      </c>
      <c r="D149" s="119"/>
      <c r="E149" s="89"/>
    </row>
    <row r="150" spans="1:5" hidden="1" x14ac:dyDescent="0.2">
      <c r="A150" s="105"/>
      <c r="B150" s="110">
        <f t="shared" si="0"/>
        <v>2027</v>
      </c>
      <c r="C150" s="111">
        <f>[17]С2.5!$L$11</f>
        <v>3.2682303599220003E-2</v>
      </c>
      <c r="D150" s="119"/>
      <c r="E150" s="89"/>
    </row>
    <row r="151" spans="1:5" hidden="1" x14ac:dyDescent="0.2">
      <c r="A151" s="105"/>
      <c r="B151" s="110">
        <f t="shared" si="0"/>
        <v>2028</v>
      </c>
      <c r="C151" s="111">
        <f>[17]С2.5!$M$11</f>
        <v>0</v>
      </c>
      <c r="D151" s="119"/>
      <c r="E151" s="89"/>
    </row>
    <row r="152" spans="1:5" hidden="1" x14ac:dyDescent="0.2">
      <c r="A152" s="105"/>
      <c r="B152" s="110">
        <f t="shared" si="0"/>
        <v>2029</v>
      </c>
      <c r="C152" s="111">
        <f>[17]С2.5!$N$11</f>
        <v>0</v>
      </c>
      <c r="D152" s="119"/>
      <c r="E152" s="89"/>
    </row>
    <row r="153" spans="1:5" hidden="1" x14ac:dyDescent="0.2">
      <c r="A153" s="105"/>
      <c r="B153" s="110">
        <f t="shared" si="0"/>
        <v>2030</v>
      </c>
      <c r="C153" s="111">
        <f>[17]С2.5!$O$11</f>
        <v>0</v>
      </c>
      <c r="D153" s="119"/>
      <c r="E153" s="89"/>
    </row>
    <row r="154" spans="1:5" hidden="1" x14ac:dyDescent="0.2">
      <c r="A154" s="105"/>
      <c r="B154" s="110">
        <f t="shared" si="0"/>
        <v>2031</v>
      </c>
      <c r="C154" s="111">
        <f>[17]С2.5!$P$11</f>
        <v>0</v>
      </c>
      <c r="D154" s="119"/>
      <c r="E154" s="89"/>
    </row>
    <row r="155" spans="1:5" hidden="1" x14ac:dyDescent="0.2">
      <c r="A155" s="89"/>
      <c r="B155" s="110">
        <f t="shared" si="0"/>
        <v>2032</v>
      </c>
      <c r="C155" s="111">
        <f>[17]С2.5!$Q$11</f>
        <v>0</v>
      </c>
      <c r="D155" s="119"/>
      <c r="E155" s="89"/>
    </row>
    <row r="156" spans="1:5" hidden="1" x14ac:dyDescent="0.2">
      <c r="A156" s="89"/>
      <c r="B156" s="110">
        <f t="shared" si="0"/>
        <v>2033</v>
      </c>
      <c r="C156" s="111">
        <f>[17]С2.5!$R$11</f>
        <v>0</v>
      </c>
      <c r="D156" s="119"/>
      <c r="E156" s="89"/>
    </row>
    <row r="157" spans="1:5" hidden="1" x14ac:dyDescent="0.2">
      <c r="B157" s="110">
        <f t="shared" si="0"/>
        <v>2034</v>
      </c>
      <c r="C157" s="111">
        <f>[17]С2.5!$S$11</f>
        <v>0</v>
      </c>
    </row>
    <row r="158" spans="1:5" hidden="1" x14ac:dyDescent="0.2">
      <c r="B158" s="110">
        <f t="shared" si="0"/>
        <v>2035</v>
      </c>
      <c r="C158" s="111">
        <f>[17]С2.5!$T$11</f>
        <v>0</v>
      </c>
    </row>
    <row r="159" spans="1:5" hidden="1" x14ac:dyDescent="0.2">
      <c r="B159" s="110">
        <f t="shared" si="0"/>
        <v>2036</v>
      </c>
      <c r="C159" s="111">
        <f>[17]С2.5!$U$11</f>
        <v>0</v>
      </c>
    </row>
    <row r="160" spans="1:5" hidden="1" x14ac:dyDescent="0.2">
      <c r="B160" s="110">
        <f t="shared" si="0"/>
        <v>2037</v>
      </c>
      <c r="C160" s="111">
        <f>[17]С2.5!$V$11</f>
        <v>0</v>
      </c>
    </row>
    <row r="161" spans="2:3" s="2" customFormat="1" hidden="1" x14ac:dyDescent="0.2">
      <c r="B161" s="110">
        <f t="shared" si="0"/>
        <v>2038</v>
      </c>
      <c r="C161" s="111">
        <f>[17]С2.5!$W$11</f>
        <v>0</v>
      </c>
    </row>
    <row r="162" spans="2:3" s="2" customFormat="1" hidden="1" x14ac:dyDescent="0.2">
      <c r="B162" s="110">
        <f t="shared" si="0"/>
        <v>2039</v>
      </c>
      <c r="C162" s="111">
        <f>[17]С2.5!$X$11</f>
        <v>0</v>
      </c>
    </row>
    <row r="163" spans="2:3" s="2" customFormat="1" hidden="1" x14ac:dyDescent="0.2">
      <c r="B163" s="110">
        <f t="shared" si="0"/>
        <v>2040</v>
      </c>
      <c r="C163" s="111">
        <f>[17]С2.5!$Y$11</f>
        <v>0</v>
      </c>
    </row>
    <row r="164" spans="2:3" s="2" customFormat="1" hidden="1" x14ac:dyDescent="0.2">
      <c r="B164" s="110">
        <f t="shared" si="0"/>
        <v>2041</v>
      </c>
      <c r="C164" s="111">
        <f>[17]С2.5!$Z$11</f>
        <v>0</v>
      </c>
    </row>
    <row r="165" spans="2:3" s="2" customFormat="1" hidden="1" x14ac:dyDescent="0.2">
      <c r="B165" s="110">
        <f t="shared" si="0"/>
        <v>2042</v>
      </c>
      <c r="C165" s="111">
        <f>[17]С2.5!$AA$11</f>
        <v>0</v>
      </c>
    </row>
    <row r="166" spans="2:3" s="2" customFormat="1" hidden="1" x14ac:dyDescent="0.2">
      <c r="B166" s="110">
        <f t="shared" si="0"/>
        <v>2043</v>
      </c>
      <c r="C166" s="111">
        <f>[17]С2.5!$AB$11</f>
        <v>0</v>
      </c>
    </row>
    <row r="167" spans="2:3" s="2" customFormat="1" hidden="1" x14ac:dyDescent="0.2">
      <c r="B167" s="110">
        <f t="shared" si="0"/>
        <v>2044</v>
      </c>
      <c r="C167" s="111">
        <f>[17]С2.5!$AC$11</f>
        <v>0</v>
      </c>
    </row>
    <row r="168" spans="2:3" s="2" customFormat="1" hidden="1" x14ac:dyDescent="0.2">
      <c r="B168" s="110">
        <f t="shared" si="0"/>
        <v>2045</v>
      </c>
      <c r="C168" s="111">
        <f>[17]С2.5!$AD$11</f>
        <v>0</v>
      </c>
    </row>
    <row r="169" spans="2:3" s="2" customFormat="1" hidden="1" x14ac:dyDescent="0.2">
      <c r="B169" s="110">
        <f t="shared" si="0"/>
        <v>2046</v>
      </c>
      <c r="C169" s="111">
        <f>[17]С2.5!$AE$11</f>
        <v>0</v>
      </c>
    </row>
    <row r="170" spans="2:3" s="2" customFormat="1" hidden="1" x14ac:dyDescent="0.2">
      <c r="B170" s="110">
        <f t="shared" si="0"/>
        <v>2047</v>
      </c>
      <c r="C170" s="111">
        <f>[17]С2.5!$AF$11</f>
        <v>0</v>
      </c>
    </row>
    <row r="171" spans="2:3" s="2" customFormat="1" hidden="1" x14ac:dyDescent="0.2">
      <c r="B171" s="110">
        <f t="shared" si="0"/>
        <v>2048</v>
      </c>
      <c r="C171" s="111">
        <f>[17]С2.5!$AG$11</f>
        <v>0</v>
      </c>
    </row>
    <row r="172" spans="2:3" s="2" customFormat="1" hidden="1" x14ac:dyDescent="0.2">
      <c r="B172" s="110">
        <f t="shared" si="0"/>
        <v>2049</v>
      </c>
      <c r="C172" s="111">
        <f>[17]С2.5!$AH$11</f>
        <v>0</v>
      </c>
    </row>
    <row r="173" spans="2:3" s="2" customFormat="1" hidden="1" x14ac:dyDescent="0.2">
      <c r="B173" s="110">
        <f t="shared" si="0"/>
        <v>2050</v>
      </c>
      <c r="C173" s="111">
        <f>[17]С2.5!$AI$11</f>
        <v>0</v>
      </c>
    </row>
    <row r="174" spans="2:3" s="2" customFormat="1" hidden="1" x14ac:dyDescent="0.2">
      <c r="B174" s="110">
        <f t="shared" si="0"/>
        <v>2051</v>
      </c>
      <c r="C174" s="111">
        <f>[17]С2.5!$AJ$11</f>
        <v>0</v>
      </c>
    </row>
    <row r="175" spans="2:3" s="2" customFormat="1" hidden="1" x14ac:dyDescent="0.2">
      <c r="B175" s="110">
        <f t="shared" si="0"/>
        <v>2052</v>
      </c>
      <c r="C175" s="111">
        <f>[17]С2.5!$AK$11</f>
        <v>0</v>
      </c>
    </row>
    <row r="176" spans="2:3" s="2" customFormat="1" hidden="1" x14ac:dyDescent="0.2">
      <c r="B176" s="110">
        <f t="shared" si="0"/>
        <v>2053</v>
      </c>
      <c r="C176" s="111">
        <f>[17]С2.5!$AL$11</f>
        <v>0</v>
      </c>
    </row>
    <row r="177" spans="2:3" s="2" customFormat="1" hidden="1" x14ac:dyDescent="0.2">
      <c r="B177" s="110">
        <f t="shared" si="0"/>
        <v>2054</v>
      </c>
      <c r="C177" s="111">
        <f>[17]С2.5!$AM$11</f>
        <v>0</v>
      </c>
    </row>
    <row r="178" spans="2:3" s="2" customFormat="1" hidden="1" x14ac:dyDescent="0.2">
      <c r="B178" s="110">
        <f t="shared" si="0"/>
        <v>2055</v>
      </c>
      <c r="C178" s="111">
        <f>[17]С2.5!$AN$11</f>
        <v>0</v>
      </c>
    </row>
    <row r="179" spans="2:3" s="2" customFormat="1" hidden="1" x14ac:dyDescent="0.2">
      <c r="B179" s="110">
        <f t="shared" si="0"/>
        <v>2056</v>
      </c>
      <c r="C179" s="111">
        <f>[17]С2.5!$AO$11</f>
        <v>0</v>
      </c>
    </row>
    <row r="180" spans="2:3" s="2" customFormat="1" hidden="1" x14ac:dyDescent="0.2">
      <c r="B180" s="110">
        <f t="shared" si="0"/>
        <v>2057</v>
      </c>
      <c r="C180" s="111">
        <f>[17]С2.5!$AP$11</f>
        <v>0</v>
      </c>
    </row>
    <row r="181" spans="2:3" s="2" customFormat="1" hidden="1" x14ac:dyDescent="0.2">
      <c r="B181" s="110">
        <f t="shared" si="0"/>
        <v>2058</v>
      </c>
      <c r="C181" s="111">
        <f>[17]С2.5!$AQ$11</f>
        <v>0</v>
      </c>
    </row>
    <row r="182" spans="2:3" s="2" customFormat="1" hidden="1" x14ac:dyDescent="0.2">
      <c r="B182" s="110">
        <f t="shared" si="0"/>
        <v>2059</v>
      </c>
      <c r="C182" s="111">
        <f>[17]С2.5!$AR$11</f>
        <v>0</v>
      </c>
    </row>
    <row r="183" spans="2:3" s="2" customFormat="1" hidden="1" x14ac:dyDescent="0.2">
      <c r="B183" s="110">
        <f t="shared" si="0"/>
        <v>2060</v>
      </c>
      <c r="C183" s="111">
        <f>[17]С2.5!$AS$11</f>
        <v>0</v>
      </c>
    </row>
    <row r="184" spans="2:3" s="2" customFormat="1" hidden="1" x14ac:dyDescent="0.2">
      <c r="B184" s="110">
        <f t="shared" si="0"/>
        <v>2061</v>
      </c>
      <c r="C184" s="111">
        <f>[17]С2.5!$AT$11</f>
        <v>0</v>
      </c>
    </row>
    <row r="185" spans="2:3" s="2" customFormat="1" hidden="1" x14ac:dyDescent="0.2">
      <c r="B185" s="110">
        <f t="shared" si="0"/>
        <v>2062</v>
      </c>
      <c r="C185" s="111">
        <f>[17]С2.5!$AU$11</f>
        <v>0</v>
      </c>
    </row>
    <row r="186" spans="2:3" s="2" customFormat="1" hidden="1" x14ac:dyDescent="0.2">
      <c r="B186" s="110">
        <f t="shared" si="0"/>
        <v>2063</v>
      </c>
      <c r="C186" s="111">
        <f>[17]С2.5!$AV$11</f>
        <v>0</v>
      </c>
    </row>
    <row r="187" spans="2:3" s="2" customFormat="1" hidden="1" x14ac:dyDescent="0.2">
      <c r="B187" s="110">
        <f t="shared" si="0"/>
        <v>2064</v>
      </c>
      <c r="C187" s="111">
        <f>[17]С2.5!$AW$11</f>
        <v>0</v>
      </c>
    </row>
    <row r="188" spans="2:3" s="2" customFormat="1" hidden="1" x14ac:dyDescent="0.2">
      <c r="B188" s="110">
        <f t="shared" si="0"/>
        <v>2065</v>
      </c>
      <c r="C188" s="111">
        <f>[17]С2.5!$AX$11</f>
        <v>0</v>
      </c>
    </row>
    <row r="189" spans="2:3" s="2" customFormat="1" hidden="1" x14ac:dyDescent="0.2">
      <c r="B189" s="110">
        <f t="shared" si="0"/>
        <v>2066</v>
      </c>
      <c r="C189" s="111">
        <f>[17]С2.5!$AY$11</f>
        <v>0</v>
      </c>
    </row>
    <row r="190" spans="2:3" s="2" customFormat="1" hidden="1" x14ac:dyDescent="0.2">
      <c r="B190" s="110">
        <f t="shared" si="0"/>
        <v>2067</v>
      </c>
      <c r="C190" s="111">
        <f>[17]С2.5!$AZ$11</f>
        <v>0</v>
      </c>
    </row>
    <row r="191" spans="2:3" s="2" customFormat="1" hidden="1" x14ac:dyDescent="0.2">
      <c r="B191" s="110">
        <f t="shared" si="0"/>
        <v>2068</v>
      </c>
      <c r="C191" s="111">
        <f>[17]С2.5!$BA$11</f>
        <v>0</v>
      </c>
    </row>
    <row r="192" spans="2:3" s="2" customFormat="1" hidden="1" x14ac:dyDescent="0.2">
      <c r="B192" s="110">
        <f t="shared" si="0"/>
        <v>2069</v>
      </c>
      <c r="C192" s="111">
        <f>[17]С2.5!$BB$11</f>
        <v>0</v>
      </c>
    </row>
    <row r="193" spans="2:3" s="2" customFormat="1" hidden="1" x14ac:dyDescent="0.2">
      <c r="B193" s="110">
        <f t="shared" si="0"/>
        <v>2070</v>
      </c>
      <c r="C193" s="111">
        <f>[17]С2.5!$BC$11</f>
        <v>0</v>
      </c>
    </row>
    <row r="194" spans="2:3" s="2" customFormat="1" hidden="1" x14ac:dyDescent="0.2">
      <c r="B194" s="110">
        <f t="shared" si="0"/>
        <v>2071</v>
      </c>
      <c r="C194" s="111">
        <f>[17]С2.5!$BD$11</f>
        <v>0</v>
      </c>
    </row>
    <row r="195" spans="2:3" s="2" customFormat="1" hidden="1" x14ac:dyDescent="0.2">
      <c r="B195" s="110">
        <f t="shared" si="0"/>
        <v>2072</v>
      </c>
      <c r="C195" s="111">
        <f>[17]С2.5!$BE$11</f>
        <v>0</v>
      </c>
    </row>
    <row r="196" spans="2:3" s="2" customFormat="1" hidden="1" x14ac:dyDescent="0.2">
      <c r="B196" s="110">
        <f t="shared" si="0"/>
        <v>2073</v>
      </c>
      <c r="C196" s="111">
        <f>[17]С2.5!$BF$11</f>
        <v>0</v>
      </c>
    </row>
    <row r="197" spans="2:3" s="2" customFormat="1" hidden="1" x14ac:dyDescent="0.2">
      <c r="B197" s="110">
        <f t="shared" si="0"/>
        <v>2074</v>
      </c>
      <c r="C197" s="111">
        <f>[17]С2.5!$BG$11</f>
        <v>0</v>
      </c>
    </row>
    <row r="198" spans="2:3" s="2" customFormat="1" hidden="1" x14ac:dyDescent="0.2">
      <c r="B198" s="110">
        <f t="shared" si="0"/>
        <v>2075</v>
      </c>
      <c r="C198" s="111">
        <f>[17]С2.5!$BH$11</f>
        <v>0</v>
      </c>
    </row>
    <row r="199" spans="2:3" s="2" customFormat="1" hidden="1" x14ac:dyDescent="0.2">
      <c r="B199" s="110">
        <f t="shared" si="0"/>
        <v>2076</v>
      </c>
      <c r="C199" s="111">
        <f>[17]С2.5!$BI$11</f>
        <v>0</v>
      </c>
    </row>
    <row r="200" spans="2:3" s="2" customFormat="1" hidden="1" x14ac:dyDescent="0.2">
      <c r="B200" s="110">
        <f t="shared" si="0"/>
        <v>2077</v>
      </c>
      <c r="C200" s="111">
        <f>[17]С2.5!$BJ$11</f>
        <v>0</v>
      </c>
    </row>
    <row r="201" spans="2:3" s="2" customFormat="1" hidden="1" x14ac:dyDescent="0.2">
      <c r="B201" s="110">
        <f t="shared" si="0"/>
        <v>2078</v>
      </c>
      <c r="C201" s="111">
        <f>[17]С2.5!$BK$11</f>
        <v>0</v>
      </c>
    </row>
    <row r="202" spans="2:3" s="2" customFormat="1" hidden="1" x14ac:dyDescent="0.2">
      <c r="B202" s="110">
        <f t="shared" si="0"/>
        <v>2079</v>
      </c>
      <c r="C202" s="111">
        <f>[17]С2.5!$BL$11</f>
        <v>0</v>
      </c>
    </row>
    <row r="203" spans="2:3" s="2" customFormat="1" hidden="1" x14ac:dyDescent="0.2">
      <c r="B203" s="110">
        <f t="shared" si="0"/>
        <v>2080</v>
      </c>
      <c r="C203" s="111">
        <f>[17]С2.5!$BM$11</f>
        <v>0</v>
      </c>
    </row>
    <row r="204" spans="2:3" s="2" customFormat="1" hidden="1" x14ac:dyDescent="0.2">
      <c r="B204" s="110">
        <f t="shared" si="0"/>
        <v>2081</v>
      </c>
      <c r="C204" s="111">
        <f>[17]С2.5!$BN$11</f>
        <v>0</v>
      </c>
    </row>
    <row r="205" spans="2:3" s="2" customFormat="1" hidden="1" x14ac:dyDescent="0.2">
      <c r="B205" s="110">
        <f t="shared" si="0"/>
        <v>2082</v>
      </c>
      <c r="C205" s="111">
        <f>[17]С2.5!$BO$11</f>
        <v>0</v>
      </c>
    </row>
    <row r="206" spans="2:3" s="2" customFormat="1" hidden="1" x14ac:dyDescent="0.2">
      <c r="B206" s="110">
        <f t="shared" si="0"/>
        <v>2083</v>
      </c>
      <c r="C206" s="111">
        <f>[17]С2.5!$BP$11</f>
        <v>0</v>
      </c>
    </row>
    <row r="207" spans="2:3" s="2" customFormat="1" hidden="1" x14ac:dyDescent="0.2">
      <c r="B207" s="110">
        <f t="shared" si="0"/>
        <v>2084</v>
      </c>
      <c r="C207" s="111">
        <f>[17]С2.5!$BQ$11</f>
        <v>0</v>
      </c>
    </row>
    <row r="208" spans="2:3" s="2" customFormat="1" hidden="1" x14ac:dyDescent="0.2">
      <c r="B208" s="110">
        <f t="shared" si="0"/>
        <v>2085</v>
      </c>
      <c r="C208" s="111">
        <f>[17]С2.5!$BR$11</f>
        <v>0</v>
      </c>
    </row>
    <row r="209" spans="2:3" s="2" customFormat="1" hidden="1" x14ac:dyDescent="0.2">
      <c r="B209" s="110">
        <f t="shared" ref="B209:B223" si="1">B208+1</f>
        <v>2086</v>
      </c>
      <c r="C209" s="111">
        <f>[17]С2.5!$BS$11</f>
        <v>0</v>
      </c>
    </row>
    <row r="210" spans="2:3" s="2" customFormat="1" hidden="1" x14ac:dyDescent="0.2">
      <c r="B210" s="110">
        <f t="shared" si="1"/>
        <v>2087</v>
      </c>
      <c r="C210" s="111">
        <f>[17]С2.5!$BT$11</f>
        <v>0</v>
      </c>
    </row>
    <row r="211" spans="2:3" s="2" customFormat="1" hidden="1" x14ac:dyDescent="0.2">
      <c r="B211" s="110">
        <f t="shared" si="1"/>
        <v>2088</v>
      </c>
      <c r="C211" s="111">
        <f>[17]С2.5!$BU$11</f>
        <v>0</v>
      </c>
    </row>
    <row r="212" spans="2:3" s="2" customFormat="1" hidden="1" x14ac:dyDescent="0.2">
      <c r="B212" s="110">
        <f t="shared" si="1"/>
        <v>2089</v>
      </c>
      <c r="C212" s="111">
        <f>[17]С2.5!$BV$11</f>
        <v>0</v>
      </c>
    </row>
    <row r="213" spans="2:3" s="2" customFormat="1" hidden="1" x14ac:dyDescent="0.2">
      <c r="B213" s="110">
        <f t="shared" si="1"/>
        <v>2090</v>
      </c>
      <c r="C213" s="111">
        <f>[17]С2.5!$BW$11</f>
        <v>0</v>
      </c>
    </row>
    <row r="214" spans="2:3" s="2" customFormat="1" hidden="1" x14ac:dyDescent="0.2">
      <c r="B214" s="110">
        <f t="shared" si="1"/>
        <v>2091</v>
      </c>
      <c r="C214" s="111">
        <f>[17]С2.5!$BX$11</f>
        <v>0</v>
      </c>
    </row>
    <row r="215" spans="2:3" s="2" customFormat="1" hidden="1" x14ac:dyDescent="0.2">
      <c r="B215" s="110">
        <f t="shared" si="1"/>
        <v>2092</v>
      </c>
      <c r="C215" s="111">
        <f>[17]С2.5!$BY$11</f>
        <v>0</v>
      </c>
    </row>
    <row r="216" spans="2:3" s="2" customFormat="1" hidden="1" x14ac:dyDescent="0.2">
      <c r="B216" s="110">
        <f t="shared" si="1"/>
        <v>2093</v>
      </c>
      <c r="C216" s="111">
        <f>[17]С2.5!$BZ$11</f>
        <v>0</v>
      </c>
    </row>
    <row r="217" spans="2:3" s="2" customFormat="1" hidden="1" x14ac:dyDescent="0.2">
      <c r="B217" s="110">
        <f t="shared" si="1"/>
        <v>2094</v>
      </c>
      <c r="C217" s="111">
        <f>[17]С2.5!$CA$11</f>
        <v>0</v>
      </c>
    </row>
    <row r="218" spans="2:3" s="2" customFormat="1" hidden="1" x14ac:dyDescent="0.2">
      <c r="B218" s="110">
        <f t="shared" si="1"/>
        <v>2095</v>
      </c>
      <c r="C218" s="111">
        <f>[17]С2.5!$CB$11</f>
        <v>0</v>
      </c>
    </row>
    <row r="219" spans="2:3" s="2" customFormat="1" hidden="1" x14ac:dyDescent="0.2">
      <c r="B219" s="110">
        <f t="shared" si="1"/>
        <v>2096</v>
      </c>
      <c r="C219" s="111">
        <f>[17]С2.5!$CC$11</f>
        <v>0</v>
      </c>
    </row>
    <row r="220" spans="2:3" s="2" customFormat="1" hidden="1" x14ac:dyDescent="0.2">
      <c r="B220" s="110">
        <f t="shared" si="1"/>
        <v>2097</v>
      </c>
      <c r="C220" s="111">
        <f>[17]С2.5!$CD$11</f>
        <v>0</v>
      </c>
    </row>
    <row r="221" spans="2:3" s="2" customFormat="1" hidden="1" x14ac:dyDescent="0.2">
      <c r="B221" s="110">
        <f t="shared" si="1"/>
        <v>2098</v>
      </c>
      <c r="C221" s="111">
        <f>[17]С2.5!$CE$11</f>
        <v>0</v>
      </c>
    </row>
    <row r="222" spans="2:3" s="2" customFormat="1" hidden="1" x14ac:dyDescent="0.2">
      <c r="B222" s="110">
        <f t="shared" si="1"/>
        <v>2099</v>
      </c>
      <c r="C222" s="111">
        <f>[17]С2.5!$CF$11</f>
        <v>0</v>
      </c>
    </row>
    <row r="223" spans="2:3" s="2" customFormat="1" ht="13.5" hidden="1" thickBot="1" x14ac:dyDescent="0.25">
      <c r="B223" s="112">
        <f t="shared" si="1"/>
        <v>2100</v>
      </c>
      <c r="C223" s="113">
        <f>[17]С2.5!$CG$11</f>
        <v>0</v>
      </c>
    </row>
    <row r="224" spans="2:3" s="2" customFormat="1" hidden="1" x14ac:dyDescent="0.2">
      <c r="C224" s="116"/>
    </row>
    <row r="225" spans="3:3" s="2" customFormat="1" hidden="1" x14ac:dyDescent="0.2">
      <c r="C225" s="116"/>
    </row>
    <row r="226" spans="3:3" s="2" customFormat="1" x14ac:dyDescent="0.2">
      <c r="C226" s="116"/>
    </row>
  </sheetData>
  <mergeCells count="9">
    <mergeCell ref="B124:D124"/>
    <mergeCell ref="B127:D127"/>
    <mergeCell ref="B141:D141"/>
    <mergeCell ref="B1:D1"/>
    <mergeCell ref="A14:C14"/>
    <mergeCell ref="B27:D27"/>
    <mergeCell ref="B40:D40"/>
    <mergeCell ref="B84:D84"/>
    <mergeCell ref="B95:D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7105" r:id="rId3" name="Button 1">
              <controlPr defaultSize="0" print="0" autoFill="0" autoPict="0" macro="[17]!Лист29.PrintBlock">
                <anchor moveWithCells="1" sizeWithCells="1">
                  <from>
                    <xdr:col>4</xdr:col>
                    <xdr:colOff>38100</xdr:colOff>
                    <xdr:row>0</xdr:row>
                    <xdr:rowOff>85725</xdr:rowOff>
                  </from>
                  <to>
                    <xdr:col>5</xdr:col>
                    <xdr:colOff>1000125</xdr:colOff>
                    <xdr:row>0</xdr:row>
                    <xdr:rowOff>238125</xdr:rowOff>
                  </to>
                </anchor>
              </controlPr>
            </control>
          </mc:Choice>
        </mc:AlternateContent>
      </controls>
    </mc:Choice>
  </mc:AlternateConten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39" t="s">
        <v>0</v>
      </c>
      <c r="C1" s="139"/>
    </row>
    <row r="2" spans="1:3" x14ac:dyDescent="0.2">
      <c r="A2" s="3"/>
      <c r="B2" s="4" t="s">
        <v>1</v>
      </c>
      <c r="C2" s="5">
        <v>45687</v>
      </c>
    </row>
    <row r="3" spans="1:3" x14ac:dyDescent="0.2">
      <c r="A3" s="3"/>
      <c r="B3" s="6" t="s">
        <v>2</v>
      </c>
    </row>
    <row r="4" spans="1:3" ht="25.5" x14ac:dyDescent="0.2">
      <c r="A4" s="8"/>
      <c r="B4" s="9" t="str">
        <f>[18]И1!D13</f>
        <v>Субъект Российской Федерации</v>
      </c>
      <c r="C4" s="10" t="str">
        <f>[18]И1!E13</f>
        <v>Новосибирская область</v>
      </c>
    </row>
    <row r="5" spans="1:3" ht="46.9" customHeight="1" x14ac:dyDescent="0.2">
      <c r="A5" s="8"/>
      <c r="B5" s="9" t="str">
        <f>[18]И1!D14</f>
        <v>Тип муниципального образования (выберите из списка)</v>
      </c>
      <c r="C5" s="10" t="str">
        <f>[18]И1!E14</f>
        <v>поселок Садовый, Краснозерский муниципальный район</v>
      </c>
    </row>
    <row r="6" spans="1:3" x14ac:dyDescent="0.2">
      <c r="A6" s="8"/>
      <c r="B6" s="9" t="str">
        <f>IF([18]И1!E15="","",[18]И1!D15)</f>
        <v/>
      </c>
      <c r="C6" s="10" t="str">
        <f>IF([18]И1!E15="","",[18]И1!E15)</f>
        <v/>
      </c>
    </row>
    <row r="7" spans="1:3" x14ac:dyDescent="0.2">
      <c r="A7" s="8"/>
      <c r="B7" s="9" t="str">
        <f>[18]И1!D16</f>
        <v>Код ОКТМО</v>
      </c>
      <c r="C7" s="11" t="str">
        <f>[18]И1!E16</f>
        <v xml:space="preserve"> (50627443101)</v>
      </c>
    </row>
    <row r="8" spans="1:3" x14ac:dyDescent="0.2">
      <c r="A8" s="8"/>
      <c r="B8" s="12" t="str">
        <f>[18]И1!D17</f>
        <v>Система теплоснабжения</v>
      </c>
      <c r="C8" s="13">
        <f>[18]И1!E17</f>
        <v>0</v>
      </c>
    </row>
    <row r="9" spans="1:3" x14ac:dyDescent="0.2">
      <c r="A9" s="8"/>
      <c r="B9" s="9" t="str">
        <f>[18]И1!D8</f>
        <v>Период регулирования (i)-й</v>
      </c>
      <c r="C9" s="14">
        <f>[18]И1!E8</f>
        <v>2025</v>
      </c>
    </row>
    <row r="10" spans="1:3" x14ac:dyDescent="0.2">
      <c r="A10" s="8"/>
      <c r="B10" s="9" t="str">
        <f>[18]И1!D9</f>
        <v>Период регулирования (i-1)-й</v>
      </c>
      <c r="C10" s="14">
        <f>[18]И1!E9</f>
        <v>2024</v>
      </c>
    </row>
    <row r="11" spans="1:3" x14ac:dyDescent="0.2">
      <c r="A11" s="8"/>
      <c r="B11" s="9" t="str">
        <f>[18]И1!D10</f>
        <v>Период регулирования (i-2)-й</v>
      </c>
      <c r="C11" s="14">
        <f>[18]И1!E10</f>
        <v>2023</v>
      </c>
    </row>
    <row r="12" spans="1:3" x14ac:dyDescent="0.2">
      <c r="A12" s="8"/>
      <c r="B12" s="9" t="str">
        <f>[18]И1!D11</f>
        <v>Базовый год (б)</v>
      </c>
      <c r="C12" s="14">
        <f>[18]И1!E11</f>
        <v>2019</v>
      </c>
    </row>
    <row r="13" spans="1:3" ht="38.25" x14ac:dyDescent="0.2">
      <c r="A13" s="8"/>
      <c r="B13" s="9" t="str">
        <f>[18]И1!D18</f>
        <v>Вид топлива, использование которого преобладает в системе теплоснабжения</v>
      </c>
      <c r="C13" s="15" t="str">
        <f>[18]С1.1!E13</f>
        <v>уголь (вид угля не указан в топливном балансе)</v>
      </c>
    </row>
    <row r="14" spans="1:3" ht="31.7" customHeight="1" thickBot="1" x14ac:dyDescent="0.25">
      <c r="A14" s="140" t="s">
        <v>3</v>
      </c>
      <c r="B14" s="140"/>
      <c r="C14" s="140"/>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5624.5496859516061</v>
      </c>
    </row>
    <row r="18" spans="1:3" ht="42.75" x14ac:dyDescent="0.2">
      <c r="A18" s="22" t="s">
        <v>8</v>
      </c>
      <c r="B18" s="25" t="s">
        <v>9</v>
      </c>
      <c r="C18" s="26">
        <f>[18]С1!F12</f>
        <v>1034.4269668372829</v>
      </c>
    </row>
    <row r="19" spans="1:3" ht="42.75" x14ac:dyDescent="0.2">
      <c r="A19" s="22" t="s">
        <v>10</v>
      </c>
      <c r="B19" s="25" t="s">
        <v>11</v>
      </c>
      <c r="C19" s="26">
        <f>[18]С2!F12</f>
        <v>3044.8315746726421</v>
      </c>
    </row>
    <row r="20" spans="1:3" ht="30" x14ac:dyDescent="0.2">
      <c r="A20" s="22" t="s">
        <v>12</v>
      </c>
      <c r="B20" s="25" t="s">
        <v>13</v>
      </c>
      <c r="C20" s="26">
        <f>[18]С3!F12</f>
        <v>911.5178018038722</v>
      </c>
    </row>
    <row r="21" spans="1:3" ht="42.75" x14ac:dyDescent="0.2">
      <c r="A21" s="22" t="s">
        <v>14</v>
      </c>
      <c r="B21" s="25" t="s">
        <v>15</v>
      </c>
      <c r="C21" s="26">
        <f>[18]С4!F12</f>
        <v>523.4880546779732</v>
      </c>
    </row>
    <row r="22" spans="1:3" ht="30" x14ac:dyDescent="0.2">
      <c r="A22" s="22" t="s">
        <v>16</v>
      </c>
      <c r="B22" s="25" t="s">
        <v>17</v>
      </c>
      <c r="C22" s="26">
        <f>[18]С5!F12</f>
        <v>110.2852879598354</v>
      </c>
    </row>
    <row r="23" spans="1:3" ht="43.5" thickBot="1" x14ac:dyDescent="0.25">
      <c r="A23" s="27" t="s">
        <v>18</v>
      </c>
      <c r="B23" s="117" t="s">
        <v>19</v>
      </c>
      <c r="C23" s="28" t="str">
        <f>[18]С6!F12</f>
        <v>-</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41" t="s">
        <v>20</v>
      </c>
      <c r="C27" s="141"/>
    </row>
    <row r="28" spans="1:3" x14ac:dyDescent="0.2">
      <c r="A28" s="22" t="s">
        <v>8</v>
      </c>
      <c r="B28" s="33" t="s">
        <v>21</v>
      </c>
      <c r="C28" s="34">
        <f>[18]С1.1!E16</f>
        <v>5100</v>
      </c>
    </row>
    <row r="29" spans="1:3" ht="42.75" x14ac:dyDescent="0.2">
      <c r="A29" s="22" t="s">
        <v>10</v>
      </c>
      <c r="B29" s="33" t="s">
        <v>22</v>
      </c>
      <c r="C29" s="34">
        <f>[18]С1.1!E27</f>
        <v>3731.4416666666666</v>
      </c>
    </row>
    <row r="30" spans="1:3" ht="17.25" x14ac:dyDescent="0.2">
      <c r="A30" s="22" t="s">
        <v>12</v>
      </c>
      <c r="B30" s="33" t="s">
        <v>23</v>
      </c>
      <c r="C30" s="35">
        <f>[18]С1.1!E19</f>
        <v>1.4E-2</v>
      </c>
    </row>
    <row r="31" spans="1:3" ht="17.25" x14ac:dyDescent="0.2">
      <c r="A31" s="22" t="s">
        <v>14</v>
      </c>
      <c r="B31" s="33" t="s">
        <v>24</v>
      </c>
      <c r="C31" s="35">
        <f>[18]С1.1!E20</f>
        <v>0.04</v>
      </c>
    </row>
    <row r="32" spans="1:3" ht="30" x14ac:dyDescent="0.2">
      <c r="A32" s="22" t="s">
        <v>16</v>
      </c>
      <c r="B32" s="36" t="s">
        <v>25</v>
      </c>
      <c r="C32" s="37">
        <f>[18]С1!F13</f>
        <v>176.4</v>
      </c>
    </row>
    <row r="33" spans="1:3" x14ac:dyDescent="0.2">
      <c r="A33" s="22" t="s">
        <v>18</v>
      </c>
      <c r="B33" s="36" t="s">
        <v>26</v>
      </c>
      <c r="C33" s="38">
        <f>[18]С1!F16</f>
        <v>7000</v>
      </c>
    </row>
    <row r="34" spans="1:3" ht="14.25" x14ac:dyDescent="0.2">
      <c r="A34" s="22" t="s">
        <v>27</v>
      </c>
      <c r="B34" s="39" t="s">
        <v>28</v>
      </c>
      <c r="C34" s="40">
        <f>[18]С1!F17</f>
        <v>0.72857142857142854</v>
      </c>
    </row>
    <row r="35" spans="1:3" ht="15.75" x14ac:dyDescent="0.2">
      <c r="A35" s="41" t="s">
        <v>29</v>
      </c>
      <c r="B35" s="42" t="s">
        <v>30</v>
      </c>
      <c r="C35" s="40">
        <f>[18]С1!F20</f>
        <v>21.588411179999994</v>
      </c>
    </row>
    <row r="36" spans="1:3" ht="15.75" x14ac:dyDescent="0.2">
      <c r="A36" s="41" t="s">
        <v>31</v>
      </c>
      <c r="B36" s="43" t="s">
        <v>32</v>
      </c>
      <c r="C36" s="40">
        <f>[18]С1!F21</f>
        <v>20.818139999999996</v>
      </c>
    </row>
    <row r="37" spans="1:3" ht="14.25" x14ac:dyDescent="0.2">
      <c r="A37" s="41" t="s">
        <v>33</v>
      </c>
      <c r="B37" s="44" t="s">
        <v>34</v>
      </c>
      <c r="C37" s="40">
        <f>[18]С1!F22</f>
        <v>1.0369999999999999</v>
      </c>
    </row>
    <row r="38" spans="1:3" ht="53.25" thickBot="1" x14ac:dyDescent="0.25">
      <c r="A38" s="27" t="s">
        <v>35</v>
      </c>
      <c r="B38" s="45" t="s">
        <v>36</v>
      </c>
      <c r="C38" s="46">
        <f>[18]С1!F23</f>
        <v>1.0469999999999999</v>
      </c>
    </row>
    <row r="39" spans="1:3" ht="13.5" thickBot="1" x14ac:dyDescent="0.25">
      <c r="A39" s="47"/>
      <c r="B39" s="48"/>
      <c r="C39" s="49"/>
    </row>
    <row r="40" spans="1:3" ht="30" customHeight="1" x14ac:dyDescent="0.2">
      <c r="A40" s="50" t="s">
        <v>37</v>
      </c>
      <c r="B40" s="136" t="s">
        <v>38</v>
      </c>
      <c r="C40" s="136"/>
    </row>
    <row r="41" spans="1:3" ht="25.5" x14ac:dyDescent="0.2">
      <c r="A41" s="22" t="s">
        <v>39</v>
      </c>
      <c r="B41" s="36" t="s">
        <v>40</v>
      </c>
      <c r="C41" s="51" t="str">
        <f>[18]С2.1!E12</f>
        <v>V</v>
      </c>
    </row>
    <row r="42" spans="1:3" ht="25.5" x14ac:dyDescent="0.2">
      <c r="A42" s="22" t="s">
        <v>41</v>
      </c>
      <c r="B42" s="33" t="s">
        <v>42</v>
      </c>
      <c r="C42" s="51" t="str">
        <f>[18]С2.1!E13</f>
        <v>6 и менее баллов</v>
      </c>
    </row>
    <row r="43" spans="1:3" ht="25.5" x14ac:dyDescent="0.2">
      <c r="A43" s="22" t="s">
        <v>43</v>
      </c>
      <c r="B43" s="33" t="s">
        <v>44</v>
      </c>
      <c r="C43" s="51" t="str">
        <f>[18]С2.1!E14</f>
        <v>от 200 до 500</v>
      </c>
    </row>
    <row r="44" spans="1:3" ht="25.5" x14ac:dyDescent="0.2">
      <c r="A44" s="22" t="s">
        <v>45</v>
      </c>
      <c r="B44" s="33" t="s">
        <v>46</v>
      </c>
      <c r="C44" s="52" t="str">
        <f>[18]С2.1!E15</f>
        <v>нет</v>
      </c>
    </row>
    <row r="45" spans="1:3" ht="30" x14ac:dyDescent="0.2">
      <c r="A45" s="22" t="s">
        <v>47</v>
      </c>
      <c r="B45" s="33" t="s">
        <v>48</v>
      </c>
      <c r="C45" s="34">
        <f>[18]С2!F18</f>
        <v>38910.02669467502</v>
      </c>
    </row>
    <row r="46" spans="1:3" ht="30" x14ac:dyDescent="0.2">
      <c r="A46" s="22" t="s">
        <v>49</v>
      </c>
      <c r="B46" s="53" t="s">
        <v>50</v>
      </c>
      <c r="C46" s="34">
        <f>IF([18]С2!F19&gt;0,[18]С2!F19,[18]С2!F20)</f>
        <v>23441.524932855718</v>
      </c>
    </row>
    <row r="47" spans="1:3" ht="25.5" x14ac:dyDescent="0.2">
      <c r="A47" s="22" t="s">
        <v>51</v>
      </c>
      <c r="B47" s="54" t="s">
        <v>52</v>
      </c>
      <c r="C47" s="34">
        <f>[18]С2.1!E19</f>
        <v>-38</v>
      </c>
    </row>
    <row r="48" spans="1:3" ht="25.5" x14ac:dyDescent="0.2">
      <c r="A48" s="22" t="s">
        <v>53</v>
      </c>
      <c r="B48" s="54" t="s">
        <v>54</v>
      </c>
      <c r="C48" s="34" t="str">
        <f>[18]С2.1!E22</f>
        <v>нет</v>
      </c>
    </row>
    <row r="49" spans="1:3" ht="38.25" x14ac:dyDescent="0.2">
      <c r="A49" s="22" t="s">
        <v>55</v>
      </c>
      <c r="B49" s="55" t="s">
        <v>56</v>
      </c>
      <c r="C49" s="34">
        <f>[18]С2.2!E10</f>
        <v>1287</v>
      </c>
    </row>
    <row r="50" spans="1:3" ht="25.5" x14ac:dyDescent="0.2">
      <c r="A50" s="22" t="s">
        <v>57</v>
      </c>
      <c r="B50" s="56" t="s">
        <v>58</v>
      </c>
      <c r="C50" s="34">
        <f>[18]С2.2!E12</f>
        <v>5.97</v>
      </c>
    </row>
    <row r="51" spans="1:3" ht="52.5" x14ac:dyDescent="0.2">
      <c r="A51" s="22" t="s">
        <v>59</v>
      </c>
      <c r="B51" s="57" t="s">
        <v>60</v>
      </c>
      <c r="C51" s="34">
        <f>[18]С2.2!E13</f>
        <v>1</v>
      </c>
    </row>
    <row r="52" spans="1:3" ht="27.75" x14ac:dyDescent="0.2">
      <c r="A52" s="22" t="s">
        <v>61</v>
      </c>
      <c r="B52" s="56" t="s">
        <v>62</v>
      </c>
      <c r="C52" s="34">
        <f>[18]С2.2!E14</f>
        <v>12104</v>
      </c>
    </row>
    <row r="53" spans="1:3" ht="25.5" x14ac:dyDescent="0.2">
      <c r="A53" s="22" t="s">
        <v>63</v>
      </c>
      <c r="B53" s="57" t="s">
        <v>64</v>
      </c>
      <c r="C53" s="35">
        <f>[18]С2.2!E15</f>
        <v>4.8000000000000001E-2</v>
      </c>
    </row>
    <row r="54" spans="1:3" x14ac:dyDescent="0.2">
      <c r="A54" s="22" t="s">
        <v>65</v>
      </c>
      <c r="B54" s="57" t="s">
        <v>66</v>
      </c>
      <c r="C54" s="34">
        <f>[18]С2.2!E16</f>
        <v>1</v>
      </c>
    </row>
    <row r="55" spans="1:3" ht="15.75" x14ac:dyDescent="0.2">
      <c r="A55" s="22" t="s">
        <v>67</v>
      </c>
      <c r="B55" s="58" t="s">
        <v>68</v>
      </c>
      <c r="C55" s="34">
        <f>[18]С2!F21</f>
        <v>1</v>
      </c>
    </row>
    <row r="56" spans="1:3" ht="30" x14ac:dyDescent="0.2">
      <c r="A56" s="59" t="s">
        <v>69</v>
      </c>
      <c r="B56" s="33" t="s">
        <v>70</v>
      </c>
      <c r="C56" s="34">
        <f>[18]С2!F13</f>
        <v>203708.97017230222</v>
      </c>
    </row>
    <row r="57" spans="1:3" ht="30" x14ac:dyDescent="0.2">
      <c r="A57" s="59" t="s">
        <v>71</v>
      </c>
      <c r="B57" s="58" t="s">
        <v>72</v>
      </c>
      <c r="C57" s="34">
        <f>[18]С2!F14</f>
        <v>113455</v>
      </c>
    </row>
    <row r="58" spans="1:3" ht="15.75" x14ac:dyDescent="0.2">
      <c r="A58" s="59" t="s">
        <v>73</v>
      </c>
      <c r="B58" s="60" t="s">
        <v>74</v>
      </c>
      <c r="C58" s="40">
        <f>[18]С2!F15</f>
        <v>1.071</v>
      </c>
    </row>
    <row r="59" spans="1:3" ht="15.75" x14ac:dyDescent="0.2">
      <c r="A59" s="59" t="s">
        <v>75</v>
      </c>
      <c r="B59" s="60" t="s">
        <v>76</v>
      </c>
      <c r="C59" s="40">
        <f>[18]С2!F16</f>
        <v>1</v>
      </c>
    </row>
    <row r="60" spans="1:3" ht="17.25" x14ac:dyDescent="0.2">
      <c r="A60" s="59" t="s">
        <v>77</v>
      </c>
      <c r="B60" s="58" t="s">
        <v>78</v>
      </c>
      <c r="C60" s="34">
        <f>[18]С2!F17</f>
        <v>1.01</v>
      </c>
    </row>
    <row r="61" spans="1:3" s="63" customFormat="1" ht="14.25" x14ac:dyDescent="0.2">
      <c r="A61" s="59" t="s">
        <v>79</v>
      </c>
      <c r="B61" s="61" t="s">
        <v>80</v>
      </c>
      <c r="C61" s="62">
        <f>[18]С2!F33</f>
        <v>10</v>
      </c>
    </row>
    <row r="62" spans="1:3" ht="30" x14ac:dyDescent="0.2">
      <c r="A62" s="59" t="s">
        <v>81</v>
      </c>
      <c r="B62" s="64" t="s">
        <v>82</v>
      </c>
      <c r="C62" s="34">
        <f>[18]С2!F26</f>
        <v>1349.309862285194</v>
      </c>
    </row>
    <row r="63" spans="1:3" ht="17.25" x14ac:dyDescent="0.2">
      <c r="A63" s="59" t="s">
        <v>83</v>
      </c>
      <c r="B63" s="53" t="s">
        <v>84</v>
      </c>
      <c r="C63" s="34">
        <f>[18]С2!F27</f>
        <v>0.19354712999999998</v>
      </c>
    </row>
    <row r="64" spans="1:3" ht="17.25" x14ac:dyDescent="0.2">
      <c r="A64" s="59" t="s">
        <v>85</v>
      </c>
      <c r="B64" s="58" t="s">
        <v>86</v>
      </c>
      <c r="C64" s="62">
        <f>[18]С2!F28</f>
        <v>4200</v>
      </c>
    </row>
    <row r="65" spans="1:3" ht="42.75" x14ac:dyDescent="0.2">
      <c r="A65" s="59" t="s">
        <v>87</v>
      </c>
      <c r="B65" s="33" t="s">
        <v>88</v>
      </c>
      <c r="C65" s="34">
        <f>[18]С2!F22</f>
        <v>42890.921752741691</v>
      </c>
    </row>
    <row r="66" spans="1:3" ht="30" x14ac:dyDescent="0.2">
      <c r="A66" s="59" t="s">
        <v>89</v>
      </c>
      <c r="B66" s="60" t="s">
        <v>90</v>
      </c>
      <c r="C66" s="34">
        <f>[18]С2!F23</f>
        <v>1990</v>
      </c>
    </row>
    <row r="67" spans="1:3" ht="30" x14ac:dyDescent="0.2">
      <c r="A67" s="59" t="s">
        <v>91</v>
      </c>
      <c r="B67" s="53" t="s">
        <v>92</v>
      </c>
      <c r="C67" s="34">
        <f>[18]С2.1!E27</f>
        <v>14307.876789999998</v>
      </c>
    </row>
    <row r="68" spans="1:3" ht="38.25" x14ac:dyDescent="0.2">
      <c r="A68" s="59" t="s">
        <v>93</v>
      </c>
      <c r="B68" s="65" t="s">
        <v>94</v>
      </c>
      <c r="C68" s="52">
        <f>[18]С2.3!E21</f>
        <v>0</v>
      </c>
    </row>
    <row r="69" spans="1:3" ht="25.5" x14ac:dyDescent="0.2">
      <c r="A69" s="59" t="s">
        <v>95</v>
      </c>
      <c r="B69" s="66" t="s">
        <v>96</v>
      </c>
      <c r="C69" s="67">
        <f>[18]С2.3!E11</f>
        <v>9.89</v>
      </c>
    </row>
    <row r="70" spans="1:3" ht="25.5" x14ac:dyDescent="0.2">
      <c r="A70" s="59" t="s">
        <v>97</v>
      </c>
      <c r="B70" s="66" t="s">
        <v>98</v>
      </c>
      <c r="C70" s="62">
        <f>[18]С2.3!E13</f>
        <v>300</v>
      </c>
    </row>
    <row r="71" spans="1:3" ht="25.5" x14ac:dyDescent="0.2">
      <c r="A71" s="59" t="s">
        <v>99</v>
      </c>
      <c r="B71" s="65" t="s">
        <v>100</v>
      </c>
      <c r="C71" s="68">
        <f>IF([18]С2.3!E22&gt;0,[18]С2.3!E22,[18]С2.3!E14)</f>
        <v>61211</v>
      </c>
    </row>
    <row r="72" spans="1:3" ht="38.25" x14ac:dyDescent="0.2">
      <c r="A72" s="59" t="s">
        <v>101</v>
      </c>
      <c r="B72" s="65" t="s">
        <v>102</v>
      </c>
      <c r="C72" s="68">
        <f>IF([18]С2.3!E23&gt;0,[18]С2.3!E23,[18]С2.3!E15)</f>
        <v>45675</v>
      </c>
    </row>
    <row r="73" spans="1:3" ht="30" x14ac:dyDescent="0.2">
      <c r="A73" s="59" t="s">
        <v>103</v>
      </c>
      <c r="B73" s="53" t="s">
        <v>104</v>
      </c>
      <c r="C73" s="34">
        <f>[18]С2.1!E28</f>
        <v>9541.9567200000001</v>
      </c>
    </row>
    <row r="74" spans="1:3" ht="38.25" x14ac:dyDescent="0.2">
      <c r="A74" s="59" t="s">
        <v>105</v>
      </c>
      <c r="B74" s="65" t="s">
        <v>106</v>
      </c>
      <c r="C74" s="52">
        <f>[18]С2.3!E25</f>
        <v>0</v>
      </c>
    </row>
    <row r="75" spans="1:3" ht="25.5" x14ac:dyDescent="0.2">
      <c r="A75" s="59" t="s">
        <v>107</v>
      </c>
      <c r="B75" s="66" t="s">
        <v>108</v>
      </c>
      <c r="C75" s="67">
        <f>[18]С2.3!E12</f>
        <v>0.56000000000000005</v>
      </c>
    </row>
    <row r="76" spans="1:3" ht="25.5" x14ac:dyDescent="0.2">
      <c r="A76" s="59" t="s">
        <v>109</v>
      </c>
      <c r="B76" s="66" t="s">
        <v>98</v>
      </c>
      <c r="C76" s="62">
        <f>[18]С2.3!E13</f>
        <v>300</v>
      </c>
    </row>
    <row r="77" spans="1:3" ht="25.5" x14ac:dyDescent="0.2">
      <c r="A77" s="59" t="s">
        <v>110</v>
      </c>
      <c r="B77" s="69" t="s">
        <v>111</v>
      </c>
      <c r="C77" s="68">
        <f>IF([18]С2.3!E26&gt;0,[18]С2.3!E26,[18]С2.3!E16)</f>
        <v>65637</v>
      </c>
    </row>
    <row r="78" spans="1:3" ht="38.25" x14ac:dyDescent="0.2">
      <c r="A78" s="59" t="s">
        <v>112</v>
      </c>
      <c r="B78" s="69" t="s">
        <v>113</v>
      </c>
      <c r="C78" s="68">
        <f>IF([18]С2.3!E27&gt;0,[18]С2.3!E27,[18]С2.3!E17)</f>
        <v>31684</v>
      </c>
    </row>
    <row r="79" spans="1:3" ht="17.25" x14ac:dyDescent="0.2">
      <c r="A79" s="59" t="s">
        <v>114</v>
      </c>
      <c r="B79" s="33" t="s">
        <v>115</v>
      </c>
      <c r="C79" s="35">
        <f>[18]С2!F29</f>
        <v>0.17804631770487722</v>
      </c>
    </row>
    <row r="80" spans="1:3" ht="30" x14ac:dyDescent="0.2">
      <c r="A80" s="59" t="s">
        <v>116</v>
      </c>
      <c r="B80" s="53" t="s">
        <v>117</v>
      </c>
      <c r="C80" s="70">
        <f>[18]С2!F30</f>
        <v>0.1652189781021898</v>
      </c>
    </row>
    <row r="81" spans="1:3" ht="17.25" x14ac:dyDescent="0.2">
      <c r="A81" s="59" t="s">
        <v>118</v>
      </c>
      <c r="B81" s="71" t="s">
        <v>119</v>
      </c>
      <c r="C81" s="35">
        <f>[18]С2!F31</f>
        <v>0.13880000000000001</v>
      </c>
    </row>
    <row r="82" spans="1:3" s="63" customFormat="1" ht="18" thickBot="1" x14ac:dyDescent="0.25">
      <c r="A82" s="72" t="s">
        <v>120</v>
      </c>
      <c r="B82" s="73" t="s">
        <v>121</v>
      </c>
      <c r="C82" s="74">
        <f>[18]С2!F32</f>
        <v>0.12640000000000001</v>
      </c>
    </row>
    <row r="83" spans="1:3" ht="13.5" thickBot="1" x14ac:dyDescent="0.25">
      <c r="A83" s="47"/>
      <c r="B83" s="75"/>
      <c r="C83" s="15"/>
    </row>
    <row r="84" spans="1:3" s="63" customFormat="1" ht="30" customHeight="1" x14ac:dyDescent="0.2">
      <c r="A84" s="76" t="s">
        <v>122</v>
      </c>
      <c r="B84" s="136" t="s">
        <v>123</v>
      </c>
      <c r="C84" s="136"/>
    </row>
    <row r="85" spans="1:3" s="63" customFormat="1" ht="30" x14ac:dyDescent="0.2">
      <c r="A85" s="77" t="s">
        <v>124</v>
      </c>
      <c r="B85" s="33" t="s">
        <v>125</v>
      </c>
      <c r="C85" s="34">
        <f>[18]С3!F14</f>
        <v>14784.578474435859</v>
      </c>
    </row>
    <row r="86" spans="1:3" s="63" customFormat="1" ht="42.75" x14ac:dyDescent="0.2">
      <c r="A86" s="77" t="s">
        <v>126</v>
      </c>
      <c r="B86" s="53" t="s">
        <v>127</v>
      </c>
      <c r="C86" s="78">
        <f>[18]С3!F15</f>
        <v>0.25</v>
      </c>
    </row>
    <row r="87" spans="1:3" s="63" customFormat="1" ht="14.25" x14ac:dyDescent="0.2">
      <c r="A87" s="77" t="s">
        <v>128</v>
      </c>
      <c r="B87" s="79" t="s">
        <v>129</v>
      </c>
      <c r="C87" s="62">
        <f>[18]С3!F18</f>
        <v>15</v>
      </c>
    </row>
    <row r="88" spans="1:3" s="63" customFormat="1" ht="17.25" x14ac:dyDescent="0.2">
      <c r="A88" s="77" t="s">
        <v>130</v>
      </c>
      <c r="B88" s="33" t="s">
        <v>131</v>
      </c>
      <c r="C88" s="34">
        <f>[18]С3!F19</f>
        <v>4187.478806422544</v>
      </c>
    </row>
    <row r="89" spans="1:3" s="63" customFormat="1" ht="55.5" x14ac:dyDescent="0.2">
      <c r="A89" s="77" t="s">
        <v>132</v>
      </c>
      <c r="B89" s="53" t="s">
        <v>133</v>
      </c>
      <c r="C89" s="80">
        <f>[18]С3!F20</f>
        <v>2.1999999999999999E-2</v>
      </c>
    </row>
    <row r="90" spans="1:3" s="63" customFormat="1" ht="14.25" x14ac:dyDescent="0.2">
      <c r="A90" s="77" t="s">
        <v>134</v>
      </c>
      <c r="B90" s="58" t="s">
        <v>80</v>
      </c>
      <c r="C90" s="62">
        <f>[18]С3!F21</f>
        <v>10</v>
      </c>
    </row>
    <row r="91" spans="1:3" s="63" customFormat="1" ht="17.25" x14ac:dyDescent="0.2">
      <c r="A91" s="77" t="s">
        <v>135</v>
      </c>
      <c r="B91" s="33" t="s">
        <v>136</v>
      </c>
      <c r="C91" s="34">
        <f>[18]С3!F22</f>
        <v>4.0479295868555818</v>
      </c>
    </row>
    <row r="92" spans="1:3" s="63" customFormat="1" ht="55.5" x14ac:dyDescent="0.2">
      <c r="A92" s="77" t="s">
        <v>137</v>
      </c>
      <c r="B92" s="53" t="s">
        <v>138</v>
      </c>
      <c r="C92" s="80">
        <f>[18]С3!F23</f>
        <v>3.0000000000000001E-3</v>
      </c>
    </row>
    <row r="93" spans="1:3" s="63" customFormat="1" ht="27.75" thickBot="1" x14ac:dyDescent="0.25">
      <c r="A93" s="81" t="s">
        <v>139</v>
      </c>
      <c r="B93" s="82" t="s">
        <v>140</v>
      </c>
      <c r="C93" s="83">
        <f>[18]С3!F24</f>
        <v>1349.309862285194</v>
      </c>
    </row>
    <row r="94" spans="1:3" ht="13.5" thickBot="1" x14ac:dyDescent="0.25">
      <c r="A94" s="47"/>
      <c r="B94" s="75"/>
      <c r="C94" s="15"/>
    </row>
    <row r="95" spans="1:3" ht="30" customHeight="1" x14ac:dyDescent="0.2">
      <c r="A95" s="84" t="s">
        <v>141</v>
      </c>
      <c r="B95" s="136" t="s">
        <v>142</v>
      </c>
      <c r="C95" s="136"/>
    </row>
    <row r="96" spans="1:3" ht="30" x14ac:dyDescent="0.2">
      <c r="A96" s="59" t="s">
        <v>143</v>
      </c>
      <c r="B96" s="33" t="s">
        <v>144</v>
      </c>
      <c r="C96" s="34">
        <f>[18]С4!F16</f>
        <v>1652.5</v>
      </c>
    </row>
    <row r="97" spans="1:3" ht="30" x14ac:dyDescent="0.2">
      <c r="A97" s="59" t="s">
        <v>145</v>
      </c>
      <c r="B97" s="58" t="s">
        <v>146</v>
      </c>
      <c r="C97" s="34">
        <f>[18]С4!F17</f>
        <v>73547</v>
      </c>
    </row>
    <row r="98" spans="1:3" ht="17.25" x14ac:dyDescent="0.2">
      <c r="A98" s="59" t="s">
        <v>147</v>
      </c>
      <c r="B98" s="58" t="s">
        <v>148</v>
      </c>
      <c r="C98" s="40">
        <f>[18]С4!F18</f>
        <v>0.02</v>
      </c>
    </row>
    <row r="99" spans="1:3" ht="30" x14ac:dyDescent="0.2">
      <c r="A99" s="59" t="s">
        <v>149</v>
      </c>
      <c r="B99" s="58" t="s">
        <v>150</v>
      </c>
      <c r="C99" s="34">
        <f>[18]С4!F19</f>
        <v>12104</v>
      </c>
    </row>
    <row r="100" spans="1:3" ht="31.5" x14ac:dyDescent="0.2">
      <c r="A100" s="59" t="s">
        <v>151</v>
      </c>
      <c r="B100" s="58" t="s">
        <v>152</v>
      </c>
      <c r="C100" s="40">
        <f>[18]С4!F20</f>
        <v>1.4999999999999999E-2</v>
      </c>
    </row>
    <row r="101" spans="1:3" ht="30" x14ac:dyDescent="0.2">
      <c r="A101" s="59" t="s">
        <v>153</v>
      </c>
      <c r="B101" s="33" t="s">
        <v>154</v>
      </c>
      <c r="C101" s="34">
        <f>[18]С4!F21</f>
        <v>1933.1949342509995</v>
      </c>
    </row>
    <row r="102" spans="1:3" ht="24" customHeight="1" x14ac:dyDescent="0.2">
      <c r="A102" s="59" t="s">
        <v>155</v>
      </c>
      <c r="B102" s="53" t="s">
        <v>156</v>
      </c>
      <c r="C102" s="85">
        <f>IF([18]С4.2!F8="да",[18]С4.2!D21,[18]С4.2!D15)</f>
        <v>0</v>
      </c>
    </row>
    <row r="103" spans="1:3" ht="68.25" x14ac:dyDescent="0.2">
      <c r="A103" s="59" t="s">
        <v>157</v>
      </c>
      <c r="B103" s="53" t="s">
        <v>158</v>
      </c>
      <c r="C103" s="34">
        <f>[18]С4!F22</f>
        <v>3.6112641666666665</v>
      </c>
    </row>
    <row r="104" spans="1:3" ht="30" x14ac:dyDescent="0.2">
      <c r="A104" s="59" t="s">
        <v>159</v>
      </c>
      <c r="B104" s="58" t="s">
        <v>160</v>
      </c>
      <c r="C104" s="34">
        <f>[18]С4!F23</f>
        <v>180</v>
      </c>
    </row>
    <row r="105" spans="1:3" ht="14.25" x14ac:dyDescent="0.2">
      <c r="A105" s="59" t="s">
        <v>161</v>
      </c>
      <c r="B105" s="53" t="s">
        <v>162</v>
      </c>
      <c r="C105" s="34">
        <f>[18]С4!F24</f>
        <v>8497.1999999999989</v>
      </c>
    </row>
    <row r="106" spans="1:3" ht="14.25" x14ac:dyDescent="0.2">
      <c r="A106" s="59" t="s">
        <v>163</v>
      </c>
      <c r="B106" s="58" t="s">
        <v>164</v>
      </c>
      <c r="C106" s="40">
        <f>[18]С4!F25</f>
        <v>0.35</v>
      </c>
    </row>
    <row r="107" spans="1:3" ht="17.25" x14ac:dyDescent="0.2">
      <c r="A107" s="59" t="s">
        <v>165</v>
      </c>
      <c r="B107" s="33" t="s">
        <v>166</v>
      </c>
      <c r="C107" s="34">
        <f>[18]С4!F26</f>
        <v>48.920325000000005</v>
      </c>
    </row>
    <row r="108" spans="1:3" ht="25.5" x14ac:dyDescent="0.2">
      <c r="A108" s="59" t="s">
        <v>167</v>
      </c>
      <c r="B108" s="53" t="s">
        <v>94</v>
      </c>
      <c r="C108" s="85">
        <f>[18]С4.3!E16</f>
        <v>0</v>
      </c>
    </row>
    <row r="109" spans="1:3" ht="25.5" x14ac:dyDescent="0.2">
      <c r="A109" s="59" t="s">
        <v>168</v>
      </c>
      <c r="B109" s="53" t="s">
        <v>169</v>
      </c>
      <c r="C109" s="34">
        <f>[18]С4.3!E17</f>
        <v>12.975000000000001</v>
      </c>
    </row>
    <row r="110" spans="1:3" ht="38.25" x14ac:dyDescent="0.2">
      <c r="A110" s="59" t="s">
        <v>170</v>
      </c>
      <c r="B110" s="53" t="s">
        <v>106</v>
      </c>
      <c r="C110" s="85">
        <f>[18]С4.3!E18</f>
        <v>0</v>
      </c>
    </row>
    <row r="111" spans="1:3" x14ac:dyDescent="0.2">
      <c r="A111" s="59" t="s">
        <v>171</v>
      </c>
      <c r="B111" s="53" t="s">
        <v>172</v>
      </c>
      <c r="C111" s="34">
        <f>[18]С4.3!E19</f>
        <v>16.75</v>
      </c>
    </row>
    <row r="112" spans="1:3" x14ac:dyDescent="0.2">
      <c r="A112" s="59" t="s">
        <v>173</v>
      </c>
      <c r="B112" s="58" t="s">
        <v>174</v>
      </c>
      <c r="C112" s="34">
        <f>[18]С4.3!E11</f>
        <v>1871</v>
      </c>
    </row>
    <row r="113" spans="1:3" x14ac:dyDescent="0.2">
      <c r="A113" s="59" t="s">
        <v>175</v>
      </c>
      <c r="B113" s="58" t="s">
        <v>176</v>
      </c>
      <c r="C113" s="52">
        <f>[18]С4.3!E12</f>
        <v>1636</v>
      </c>
    </row>
    <row r="114" spans="1:3" x14ac:dyDescent="0.2">
      <c r="A114" s="59" t="s">
        <v>177</v>
      </c>
      <c r="B114" s="58" t="s">
        <v>178</v>
      </c>
      <c r="C114" s="52">
        <f>[18]С4.3!E13</f>
        <v>204</v>
      </c>
    </row>
    <row r="115" spans="1:3" ht="30" x14ac:dyDescent="0.2">
      <c r="A115" s="59" t="s">
        <v>179</v>
      </c>
      <c r="B115" s="33" t="s">
        <v>180</v>
      </c>
      <c r="C115" s="34">
        <f>[18]С4!F27</f>
        <v>1291.2863994686898</v>
      </c>
    </row>
    <row r="116" spans="1:3" ht="25.5" x14ac:dyDescent="0.2">
      <c r="A116" s="59" t="s">
        <v>181</v>
      </c>
      <c r="B116" s="53" t="s">
        <v>182</v>
      </c>
      <c r="C116" s="34">
        <f>[18]С4!F28</f>
        <v>991.77142816335618</v>
      </c>
    </row>
    <row r="117" spans="1:3" ht="42.75" x14ac:dyDescent="0.2">
      <c r="A117" s="59" t="s">
        <v>183</v>
      </c>
      <c r="B117" s="53" t="s">
        <v>184</v>
      </c>
      <c r="C117" s="34">
        <f>[18]С4!F29</f>
        <v>299.51497130533357</v>
      </c>
    </row>
    <row r="118" spans="1:3" ht="30" x14ac:dyDescent="0.2">
      <c r="A118" s="59" t="s">
        <v>185</v>
      </c>
      <c r="B118" s="39" t="s">
        <v>186</v>
      </c>
      <c r="C118" s="34">
        <f>[18]С4!F30</f>
        <v>2721.6612370682637</v>
      </c>
    </row>
    <row r="119" spans="1:3" ht="42.75" x14ac:dyDescent="0.2">
      <c r="A119" s="59" t="s">
        <v>187</v>
      </c>
      <c r="B119" s="86" t="s">
        <v>188</v>
      </c>
      <c r="C119" s="34">
        <f>[18]С4!F33</f>
        <v>1524.4798600775737</v>
      </c>
    </row>
    <row r="120" spans="1:3" ht="30" x14ac:dyDescent="0.2">
      <c r="A120" s="59" t="s">
        <v>189</v>
      </c>
      <c r="B120" s="87" t="s">
        <v>190</v>
      </c>
      <c r="C120" s="34">
        <f>[18]С4!F35</f>
        <v>17.040680999999999</v>
      </c>
    </row>
    <row r="121" spans="1:3" ht="14.25" x14ac:dyDescent="0.2">
      <c r="A121" s="59" t="s">
        <v>191</v>
      </c>
      <c r="B121" s="56" t="s">
        <v>192</v>
      </c>
      <c r="C121" s="34">
        <f>[18]С4!F36</f>
        <v>14319.9</v>
      </c>
    </row>
    <row r="122" spans="1:3" ht="28.5" thickBot="1" x14ac:dyDescent="0.25">
      <c r="A122" s="72" t="s">
        <v>193</v>
      </c>
      <c r="B122" s="88" t="s">
        <v>194</v>
      </c>
      <c r="C122" s="83">
        <f>[18]С4!F37</f>
        <v>1.19</v>
      </c>
    </row>
    <row r="123" spans="1:3" s="89" customFormat="1" ht="13.5" thickBot="1" x14ac:dyDescent="0.25">
      <c r="A123" s="47"/>
      <c r="B123" s="75"/>
      <c r="C123" s="15"/>
    </row>
    <row r="124" spans="1:3" s="63" customFormat="1" ht="30" customHeight="1" x14ac:dyDescent="0.2">
      <c r="A124" s="76" t="s">
        <v>195</v>
      </c>
      <c r="B124" s="136" t="s">
        <v>196</v>
      </c>
      <c r="C124" s="136"/>
    </row>
    <row r="125" spans="1:3" ht="16.5" thickBot="1" x14ac:dyDescent="0.25">
      <c r="A125" s="27" t="s">
        <v>197</v>
      </c>
      <c r="B125" s="90" t="s">
        <v>198</v>
      </c>
      <c r="C125" s="83">
        <f>[18]С5!F17</f>
        <v>0.02</v>
      </c>
    </row>
    <row r="126" spans="1:3" s="89" customFormat="1" ht="13.5" thickBot="1" x14ac:dyDescent="0.25">
      <c r="A126" s="47"/>
      <c r="B126" s="75"/>
      <c r="C126" s="15"/>
    </row>
    <row r="127" spans="1:3" ht="42.75" customHeight="1" x14ac:dyDescent="0.2">
      <c r="A127" s="84" t="s">
        <v>199</v>
      </c>
      <c r="B127" s="137" t="s">
        <v>200</v>
      </c>
      <c r="C127" s="137"/>
    </row>
    <row r="128" spans="1:3" ht="68.25" x14ac:dyDescent="0.2">
      <c r="A128" s="59" t="s">
        <v>201</v>
      </c>
      <c r="B128" s="91" t="s">
        <v>202</v>
      </c>
      <c r="C128" s="34" t="s">
        <v>203</v>
      </c>
    </row>
    <row r="129" spans="1:3" ht="42.75" hidden="1" x14ac:dyDescent="0.2">
      <c r="A129" s="59" t="s">
        <v>204</v>
      </c>
      <c r="B129" s="86" t="s">
        <v>205</v>
      </c>
      <c r="C129" s="92"/>
    </row>
    <row r="130" spans="1:3" ht="69" thickBot="1" x14ac:dyDescent="0.25">
      <c r="A130" s="72" t="s">
        <v>206</v>
      </c>
      <c r="B130" s="93" t="s">
        <v>207</v>
      </c>
      <c r="C130" s="94" t="s">
        <v>203</v>
      </c>
    </row>
    <row r="131" spans="1:3" ht="62.25" hidden="1" customHeight="1" x14ac:dyDescent="0.2">
      <c r="A131" s="95" t="s">
        <v>208</v>
      </c>
      <c r="B131" s="96" t="s">
        <v>209</v>
      </c>
      <c r="C131" s="97"/>
    </row>
    <row r="132" spans="1:3" ht="68.25" hidden="1" x14ac:dyDescent="0.2">
      <c r="A132" s="59" t="s">
        <v>210</v>
      </c>
      <c r="B132" s="86" t="s">
        <v>211</v>
      </c>
      <c r="C132" s="35"/>
    </row>
    <row r="133" spans="1:3" ht="69" hidden="1" thickBot="1" x14ac:dyDescent="0.25">
      <c r="A133" s="72" t="s">
        <v>212</v>
      </c>
      <c r="B133" s="98" t="s">
        <v>213</v>
      </c>
      <c r="C133" s="74"/>
    </row>
    <row r="134" spans="1:3" s="89" customFormat="1" ht="13.5" thickBot="1" x14ac:dyDescent="0.25">
      <c r="A134" s="47"/>
      <c r="B134" s="75"/>
      <c r="C134" s="15"/>
    </row>
    <row r="135" spans="1:3" ht="26.25" customHeight="1" x14ac:dyDescent="0.2">
      <c r="A135" s="84" t="s">
        <v>214</v>
      </c>
      <c r="B135" s="99" t="s">
        <v>215</v>
      </c>
      <c r="C135" s="100">
        <f>[18]С2!F37</f>
        <v>20.818139999999996</v>
      </c>
    </row>
    <row r="136" spans="1:3" ht="14.25" x14ac:dyDescent="0.2">
      <c r="A136" s="59" t="s">
        <v>216</v>
      </c>
      <c r="B136" s="101" t="s">
        <v>217</v>
      </c>
      <c r="C136" s="34">
        <f>[18]С2!F38</f>
        <v>7</v>
      </c>
    </row>
    <row r="137" spans="1:3" ht="17.25" x14ac:dyDescent="0.2">
      <c r="A137" s="59" t="s">
        <v>218</v>
      </c>
      <c r="B137" s="101" t="s">
        <v>219</v>
      </c>
      <c r="C137" s="34">
        <f>[18]С2!F40</f>
        <v>0.97</v>
      </c>
    </row>
    <row r="138" spans="1:3" ht="15" thickBot="1" x14ac:dyDescent="0.25">
      <c r="A138" s="72" t="s">
        <v>220</v>
      </c>
      <c r="B138" s="102" t="s">
        <v>221</v>
      </c>
      <c r="C138" s="46">
        <f>[18]С2!F42</f>
        <v>0.35</v>
      </c>
    </row>
    <row r="139" spans="1:3" s="89" customFormat="1" ht="13.5" thickBot="1" x14ac:dyDescent="0.25">
      <c r="A139" s="47"/>
      <c r="B139" s="75"/>
      <c r="C139" s="15"/>
    </row>
    <row r="140" spans="1:3" ht="30" x14ac:dyDescent="0.2">
      <c r="A140" s="84" t="s">
        <v>222</v>
      </c>
      <c r="B140" s="103" t="s">
        <v>223</v>
      </c>
      <c r="C140" s="104">
        <f>[18]С2!F35</f>
        <v>1.6598760876745948</v>
      </c>
    </row>
    <row r="141" spans="1:3" ht="22.7" customHeight="1" thickBot="1" x14ac:dyDescent="0.25">
      <c r="A141" s="72" t="s">
        <v>224</v>
      </c>
      <c r="B141" s="138" t="s">
        <v>225</v>
      </c>
      <c r="C141" s="138"/>
    </row>
    <row r="142" spans="1:3" ht="13.5" thickBot="1" x14ac:dyDescent="0.25">
      <c r="A142" s="105"/>
      <c r="B142" s="106" t="s">
        <v>226</v>
      </c>
      <c r="C142" s="107"/>
    </row>
    <row r="143" spans="1:3" x14ac:dyDescent="0.2">
      <c r="A143" s="105"/>
      <c r="B143" s="108">
        <v>2020</v>
      </c>
      <c r="C143" s="109">
        <f>[18]С2.5!$E$11</f>
        <v>-2.9000000000000026E-2</v>
      </c>
    </row>
    <row r="144" spans="1:3" x14ac:dyDescent="0.2">
      <c r="A144" s="105"/>
      <c r="B144" s="110">
        <f>B143+1</f>
        <v>2021</v>
      </c>
      <c r="C144" s="111">
        <f>[18]С2.5!$F$11</f>
        <v>0.245</v>
      </c>
    </row>
    <row r="145" spans="1:3" x14ac:dyDescent="0.2">
      <c r="A145" s="105"/>
      <c r="B145" s="110">
        <f t="shared" ref="B145:B208" si="0">B144+1</f>
        <v>2022</v>
      </c>
      <c r="C145" s="111">
        <f>[18]С2.5!$G$11</f>
        <v>0.114</v>
      </c>
    </row>
    <row r="146" spans="1:3" ht="13.5" thickBot="1" x14ac:dyDescent="0.25">
      <c r="A146" s="105"/>
      <c r="B146" s="112">
        <f t="shared" si="0"/>
        <v>2023</v>
      </c>
      <c r="C146" s="113">
        <f>[18]С2.5!$H$11</f>
        <v>0.04</v>
      </c>
    </row>
    <row r="147" spans="1:3" x14ac:dyDescent="0.2">
      <c r="A147" s="105"/>
      <c r="B147" s="114">
        <f t="shared" si="0"/>
        <v>2024</v>
      </c>
      <c r="C147" s="115">
        <f>[18]С2.5!$I$11</f>
        <v>0.11700000000000001</v>
      </c>
    </row>
    <row r="148" spans="1:3" x14ac:dyDescent="0.2">
      <c r="A148" s="105"/>
      <c r="B148" s="110">
        <f t="shared" si="0"/>
        <v>2025</v>
      </c>
      <c r="C148" s="111">
        <f>[18]С2.5!$J$11</f>
        <v>6.0999999999999999E-2</v>
      </c>
    </row>
    <row r="149" spans="1:3" hidden="1" x14ac:dyDescent="0.2">
      <c r="A149" s="105"/>
      <c r="B149" s="110">
        <f t="shared" si="0"/>
        <v>2026</v>
      </c>
      <c r="C149" s="111">
        <f>[18]С2.5!$K$11</f>
        <v>3.5813361771260002E-2</v>
      </c>
    </row>
    <row r="150" spans="1:3" hidden="1" x14ac:dyDescent="0.2">
      <c r="A150" s="105"/>
      <c r="B150" s="110">
        <f t="shared" si="0"/>
        <v>2027</v>
      </c>
      <c r="C150" s="111">
        <f>[18]С2.5!$L$11</f>
        <v>3.2682303599220003E-2</v>
      </c>
    </row>
    <row r="151" spans="1:3" hidden="1" x14ac:dyDescent="0.2">
      <c r="A151" s="105"/>
      <c r="B151" s="110">
        <f t="shared" si="0"/>
        <v>2028</v>
      </c>
      <c r="C151" s="111">
        <f>[18]С2.5!$M$11</f>
        <v>0</v>
      </c>
    </row>
    <row r="152" spans="1:3" hidden="1" x14ac:dyDescent="0.2">
      <c r="A152" s="105"/>
      <c r="B152" s="110">
        <f t="shared" si="0"/>
        <v>2029</v>
      </c>
      <c r="C152" s="111">
        <f>[18]С2.5!$N$11</f>
        <v>0</v>
      </c>
    </row>
    <row r="153" spans="1:3" hidden="1" x14ac:dyDescent="0.2">
      <c r="A153" s="105"/>
      <c r="B153" s="110">
        <f t="shared" si="0"/>
        <v>2030</v>
      </c>
      <c r="C153" s="111">
        <f>[18]С2.5!$O$11</f>
        <v>0</v>
      </c>
    </row>
    <row r="154" spans="1:3" hidden="1" x14ac:dyDescent="0.2">
      <c r="A154" s="105"/>
      <c r="B154" s="110">
        <f t="shared" si="0"/>
        <v>2031</v>
      </c>
      <c r="C154" s="111">
        <f>[18]С2.5!$P$11</f>
        <v>0</v>
      </c>
    </row>
    <row r="155" spans="1:3" hidden="1" x14ac:dyDescent="0.2">
      <c r="A155" s="89"/>
      <c r="B155" s="110">
        <f t="shared" si="0"/>
        <v>2032</v>
      </c>
      <c r="C155" s="111">
        <f>[18]С2.5!$Q$11</f>
        <v>0</v>
      </c>
    </row>
    <row r="156" spans="1:3" hidden="1" x14ac:dyDescent="0.2">
      <c r="A156" s="89"/>
      <c r="B156" s="110">
        <f t="shared" si="0"/>
        <v>2033</v>
      </c>
      <c r="C156" s="111">
        <f>[18]С2.5!$R$11</f>
        <v>0</v>
      </c>
    </row>
    <row r="157" spans="1:3" hidden="1" x14ac:dyDescent="0.2">
      <c r="B157" s="110">
        <f t="shared" si="0"/>
        <v>2034</v>
      </c>
      <c r="C157" s="111">
        <f>[18]С2.5!$S$11</f>
        <v>0</v>
      </c>
    </row>
    <row r="158" spans="1:3" hidden="1" x14ac:dyDescent="0.2">
      <c r="B158" s="110">
        <f t="shared" si="0"/>
        <v>2035</v>
      </c>
      <c r="C158" s="111">
        <f>[18]С2.5!$T$11</f>
        <v>0</v>
      </c>
    </row>
    <row r="159" spans="1:3" hidden="1" x14ac:dyDescent="0.2">
      <c r="B159" s="110">
        <f t="shared" si="0"/>
        <v>2036</v>
      </c>
      <c r="C159" s="111">
        <f>[18]С2.5!$U$11</f>
        <v>0</v>
      </c>
    </row>
    <row r="160" spans="1:3" hidden="1" x14ac:dyDescent="0.2">
      <c r="B160" s="110">
        <f t="shared" si="0"/>
        <v>2037</v>
      </c>
      <c r="C160" s="111">
        <f>[18]С2.5!$V$11</f>
        <v>0</v>
      </c>
    </row>
    <row r="161" spans="2:3" hidden="1" x14ac:dyDescent="0.2">
      <c r="B161" s="110">
        <f t="shared" si="0"/>
        <v>2038</v>
      </c>
      <c r="C161" s="111">
        <f>[18]С2.5!$W$11</f>
        <v>0</v>
      </c>
    </row>
    <row r="162" spans="2:3" hidden="1" x14ac:dyDescent="0.2">
      <c r="B162" s="110">
        <f t="shared" si="0"/>
        <v>2039</v>
      </c>
      <c r="C162" s="111">
        <f>[18]С2.5!$X$11</f>
        <v>0</v>
      </c>
    </row>
    <row r="163" spans="2:3" hidden="1" x14ac:dyDescent="0.2">
      <c r="B163" s="110">
        <f t="shared" si="0"/>
        <v>2040</v>
      </c>
      <c r="C163" s="111">
        <f>[18]С2.5!$Y$11</f>
        <v>0</v>
      </c>
    </row>
    <row r="164" spans="2:3" hidden="1" x14ac:dyDescent="0.2">
      <c r="B164" s="110">
        <f t="shared" si="0"/>
        <v>2041</v>
      </c>
      <c r="C164" s="111">
        <f>[18]С2.5!$Z$11</f>
        <v>0</v>
      </c>
    </row>
    <row r="165" spans="2:3" hidden="1" x14ac:dyDescent="0.2">
      <c r="B165" s="110">
        <f t="shared" si="0"/>
        <v>2042</v>
      </c>
      <c r="C165" s="111">
        <f>[18]С2.5!$AA$11</f>
        <v>0</v>
      </c>
    </row>
    <row r="166" spans="2:3" hidden="1" x14ac:dyDescent="0.2">
      <c r="B166" s="110">
        <f t="shared" si="0"/>
        <v>2043</v>
      </c>
      <c r="C166" s="111">
        <f>[18]С2.5!$AB$11</f>
        <v>0</v>
      </c>
    </row>
    <row r="167" spans="2:3" hidden="1" x14ac:dyDescent="0.2">
      <c r="B167" s="110">
        <f t="shared" si="0"/>
        <v>2044</v>
      </c>
      <c r="C167" s="111">
        <f>[18]С2.5!$AC$11</f>
        <v>0</v>
      </c>
    </row>
    <row r="168" spans="2:3" hidden="1" x14ac:dyDescent="0.2">
      <c r="B168" s="110">
        <f t="shared" si="0"/>
        <v>2045</v>
      </c>
      <c r="C168" s="111">
        <f>[18]С2.5!$AD$11</f>
        <v>0</v>
      </c>
    </row>
    <row r="169" spans="2:3" hidden="1" x14ac:dyDescent="0.2">
      <c r="B169" s="110">
        <f t="shared" si="0"/>
        <v>2046</v>
      </c>
      <c r="C169" s="111">
        <f>[18]С2.5!$AE$11</f>
        <v>0</v>
      </c>
    </row>
    <row r="170" spans="2:3" hidden="1" x14ac:dyDescent="0.2">
      <c r="B170" s="110">
        <f t="shared" si="0"/>
        <v>2047</v>
      </c>
      <c r="C170" s="111">
        <f>[18]С2.5!$AF$11</f>
        <v>0</v>
      </c>
    </row>
    <row r="171" spans="2:3" hidden="1" x14ac:dyDescent="0.2">
      <c r="B171" s="110">
        <f t="shared" si="0"/>
        <v>2048</v>
      </c>
      <c r="C171" s="111">
        <f>[18]С2.5!$AG$11</f>
        <v>0</v>
      </c>
    </row>
    <row r="172" spans="2:3" hidden="1" x14ac:dyDescent="0.2">
      <c r="B172" s="110">
        <f t="shared" si="0"/>
        <v>2049</v>
      </c>
      <c r="C172" s="111">
        <f>[18]С2.5!$AH$11</f>
        <v>0</v>
      </c>
    </row>
    <row r="173" spans="2:3" hidden="1" x14ac:dyDescent="0.2">
      <c r="B173" s="110">
        <f t="shared" si="0"/>
        <v>2050</v>
      </c>
      <c r="C173" s="111">
        <f>[18]С2.5!$AI$11</f>
        <v>0</v>
      </c>
    </row>
    <row r="174" spans="2:3" hidden="1" x14ac:dyDescent="0.2">
      <c r="B174" s="110">
        <f t="shared" si="0"/>
        <v>2051</v>
      </c>
      <c r="C174" s="111">
        <f>[18]С2.5!$AJ$11</f>
        <v>0</v>
      </c>
    </row>
    <row r="175" spans="2:3" hidden="1" x14ac:dyDescent="0.2">
      <c r="B175" s="110">
        <f t="shared" si="0"/>
        <v>2052</v>
      </c>
      <c r="C175" s="111">
        <f>[18]С2.5!$AK$11</f>
        <v>0</v>
      </c>
    </row>
    <row r="176" spans="2:3" hidden="1" x14ac:dyDescent="0.2">
      <c r="B176" s="110">
        <f t="shared" si="0"/>
        <v>2053</v>
      </c>
      <c r="C176" s="111">
        <f>[18]С2.5!$AL$11</f>
        <v>0</v>
      </c>
    </row>
    <row r="177" spans="2:3" hidden="1" x14ac:dyDescent="0.2">
      <c r="B177" s="110">
        <f t="shared" si="0"/>
        <v>2054</v>
      </c>
      <c r="C177" s="111">
        <f>[18]С2.5!$AM$11</f>
        <v>0</v>
      </c>
    </row>
    <row r="178" spans="2:3" hidden="1" x14ac:dyDescent="0.2">
      <c r="B178" s="110">
        <f t="shared" si="0"/>
        <v>2055</v>
      </c>
      <c r="C178" s="111">
        <f>[18]С2.5!$AN$11</f>
        <v>0</v>
      </c>
    </row>
    <row r="179" spans="2:3" hidden="1" x14ac:dyDescent="0.2">
      <c r="B179" s="110">
        <f t="shared" si="0"/>
        <v>2056</v>
      </c>
      <c r="C179" s="111">
        <f>[18]С2.5!$AO$11</f>
        <v>0</v>
      </c>
    </row>
    <row r="180" spans="2:3" hidden="1" x14ac:dyDescent="0.2">
      <c r="B180" s="110">
        <f t="shared" si="0"/>
        <v>2057</v>
      </c>
      <c r="C180" s="111">
        <f>[18]С2.5!$AP$11</f>
        <v>0</v>
      </c>
    </row>
    <row r="181" spans="2:3" hidden="1" x14ac:dyDescent="0.2">
      <c r="B181" s="110">
        <f t="shared" si="0"/>
        <v>2058</v>
      </c>
      <c r="C181" s="111">
        <f>[18]С2.5!$AQ$11</f>
        <v>0</v>
      </c>
    </row>
    <row r="182" spans="2:3" hidden="1" x14ac:dyDescent="0.2">
      <c r="B182" s="110">
        <f t="shared" si="0"/>
        <v>2059</v>
      </c>
      <c r="C182" s="111">
        <f>[18]С2.5!$AR$11</f>
        <v>0</v>
      </c>
    </row>
    <row r="183" spans="2:3" hidden="1" x14ac:dyDescent="0.2">
      <c r="B183" s="110">
        <f t="shared" si="0"/>
        <v>2060</v>
      </c>
      <c r="C183" s="111">
        <f>[18]С2.5!$AS$11</f>
        <v>0</v>
      </c>
    </row>
    <row r="184" spans="2:3" hidden="1" x14ac:dyDescent="0.2">
      <c r="B184" s="110">
        <f t="shared" si="0"/>
        <v>2061</v>
      </c>
      <c r="C184" s="111">
        <f>[18]С2.5!$AT$11</f>
        <v>0</v>
      </c>
    </row>
    <row r="185" spans="2:3" hidden="1" x14ac:dyDescent="0.2">
      <c r="B185" s="110">
        <f t="shared" si="0"/>
        <v>2062</v>
      </c>
      <c r="C185" s="111">
        <f>[18]С2.5!$AU$11</f>
        <v>0</v>
      </c>
    </row>
    <row r="186" spans="2:3" hidden="1" x14ac:dyDescent="0.2">
      <c r="B186" s="110">
        <f t="shared" si="0"/>
        <v>2063</v>
      </c>
      <c r="C186" s="111">
        <f>[18]С2.5!$AV$11</f>
        <v>0</v>
      </c>
    </row>
    <row r="187" spans="2:3" hidden="1" x14ac:dyDescent="0.2">
      <c r="B187" s="110">
        <f t="shared" si="0"/>
        <v>2064</v>
      </c>
      <c r="C187" s="111">
        <f>[18]С2.5!$AW$11</f>
        <v>0</v>
      </c>
    </row>
    <row r="188" spans="2:3" hidden="1" x14ac:dyDescent="0.2">
      <c r="B188" s="110">
        <f t="shared" si="0"/>
        <v>2065</v>
      </c>
      <c r="C188" s="111">
        <f>[18]С2.5!$AX$11</f>
        <v>0</v>
      </c>
    </row>
    <row r="189" spans="2:3" hidden="1" x14ac:dyDescent="0.2">
      <c r="B189" s="110">
        <f t="shared" si="0"/>
        <v>2066</v>
      </c>
      <c r="C189" s="111">
        <f>[18]С2.5!$AY$11</f>
        <v>0</v>
      </c>
    </row>
    <row r="190" spans="2:3" hidden="1" x14ac:dyDescent="0.2">
      <c r="B190" s="110">
        <f t="shared" si="0"/>
        <v>2067</v>
      </c>
      <c r="C190" s="111">
        <f>[18]С2.5!$AZ$11</f>
        <v>0</v>
      </c>
    </row>
    <row r="191" spans="2:3" hidden="1" x14ac:dyDescent="0.2">
      <c r="B191" s="110">
        <f t="shared" si="0"/>
        <v>2068</v>
      </c>
      <c r="C191" s="111">
        <f>[18]С2.5!$BA$11</f>
        <v>0</v>
      </c>
    </row>
    <row r="192" spans="2:3" hidden="1" x14ac:dyDescent="0.2">
      <c r="B192" s="110">
        <f t="shared" si="0"/>
        <v>2069</v>
      </c>
      <c r="C192" s="111">
        <f>[18]С2.5!$BB$11</f>
        <v>0</v>
      </c>
    </row>
    <row r="193" spans="2:3" hidden="1" x14ac:dyDescent="0.2">
      <c r="B193" s="110">
        <f t="shared" si="0"/>
        <v>2070</v>
      </c>
      <c r="C193" s="111">
        <f>[18]С2.5!$BC$11</f>
        <v>0</v>
      </c>
    </row>
    <row r="194" spans="2:3" hidden="1" x14ac:dyDescent="0.2">
      <c r="B194" s="110">
        <f t="shared" si="0"/>
        <v>2071</v>
      </c>
      <c r="C194" s="111">
        <f>[18]С2.5!$BD$11</f>
        <v>0</v>
      </c>
    </row>
    <row r="195" spans="2:3" hidden="1" x14ac:dyDescent="0.2">
      <c r="B195" s="110">
        <f t="shared" si="0"/>
        <v>2072</v>
      </c>
      <c r="C195" s="111">
        <f>[18]С2.5!$BE$11</f>
        <v>0</v>
      </c>
    </row>
    <row r="196" spans="2:3" hidden="1" x14ac:dyDescent="0.2">
      <c r="B196" s="110">
        <f t="shared" si="0"/>
        <v>2073</v>
      </c>
      <c r="C196" s="111">
        <f>[18]С2.5!$BF$11</f>
        <v>0</v>
      </c>
    </row>
    <row r="197" spans="2:3" hidden="1" x14ac:dyDescent="0.2">
      <c r="B197" s="110">
        <f t="shared" si="0"/>
        <v>2074</v>
      </c>
      <c r="C197" s="111">
        <f>[18]С2.5!$BG$11</f>
        <v>0</v>
      </c>
    </row>
    <row r="198" spans="2:3" hidden="1" x14ac:dyDescent="0.2">
      <c r="B198" s="110">
        <f t="shared" si="0"/>
        <v>2075</v>
      </c>
      <c r="C198" s="111">
        <f>[18]С2.5!$BH$11</f>
        <v>0</v>
      </c>
    </row>
    <row r="199" spans="2:3" hidden="1" x14ac:dyDescent="0.2">
      <c r="B199" s="110">
        <f t="shared" si="0"/>
        <v>2076</v>
      </c>
      <c r="C199" s="111">
        <f>[18]С2.5!$BI$11</f>
        <v>0</v>
      </c>
    </row>
    <row r="200" spans="2:3" hidden="1" x14ac:dyDescent="0.2">
      <c r="B200" s="110">
        <f t="shared" si="0"/>
        <v>2077</v>
      </c>
      <c r="C200" s="111">
        <f>[18]С2.5!$BJ$11</f>
        <v>0</v>
      </c>
    </row>
    <row r="201" spans="2:3" hidden="1" x14ac:dyDescent="0.2">
      <c r="B201" s="110">
        <f t="shared" si="0"/>
        <v>2078</v>
      </c>
      <c r="C201" s="111">
        <f>[18]С2.5!$BK$11</f>
        <v>0</v>
      </c>
    </row>
    <row r="202" spans="2:3" hidden="1" x14ac:dyDescent="0.2">
      <c r="B202" s="110">
        <f t="shared" si="0"/>
        <v>2079</v>
      </c>
      <c r="C202" s="111">
        <f>[18]С2.5!$BL$11</f>
        <v>0</v>
      </c>
    </row>
    <row r="203" spans="2:3" hidden="1" x14ac:dyDescent="0.2">
      <c r="B203" s="110">
        <f t="shared" si="0"/>
        <v>2080</v>
      </c>
      <c r="C203" s="111">
        <f>[18]С2.5!$BM$11</f>
        <v>0</v>
      </c>
    </row>
    <row r="204" spans="2:3" hidden="1" x14ac:dyDescent="0.2">
      <c r="B204" s="110">
        <f t="shared" si="0"/>
        <v>2081</v>
      </c>
      <c r="C204" s="111">
        <f>[18]С2.5!$BN$11</f>
        <v>0</v>
      </c>
    </row>
    <row r="205" spans="2:3" hidden="1" x14ac:dyDescent="0.2">
      <c r="B205" s="110">
        <f t="shared" si="0"/>
        <v>2082</v>
      </c>
      <c r="C205" s="111">
        <f>[18]С2.5!$BO$11</f>
        <v>0</v>
      </c>
    </row>
    <row r="206" spans="2:3" hidden="1" x14ac:dyDescent="0.2">
      <c r="B206" s="110">
        <f t="shared" si="0"/>
        <v>2083</v>
      </c>
      <c r="C206" s="111">
        <f>[18]С2.5!$BP$11</f>
        <v>0</v>
      </c>
    </row>
    <row r="207" spans="2:3" hidden="1" x14ac:dyDescent="0.2">
      <c r="B207" s="110">
        <f t="shared" si="0"/>
        <v>2084</v>
      </c>
      <c r="C207" s="111">
        <f>[18]С2.5!$BQ$11</f>
        <v>0</v>
      </c>
    </row>
    <row r="208" spans="2:3" hidden="1" x14ac:dyDescent="0.2">
      <c r="B208" s="110">
        <f t="shared" si="0"/>
        <v>2085</v>
      </c>
      <c r="C208" s="111">
        <f>[18]С2.5!$BR$11</f>
        <v>0</v>
      </c>
    </row>
    <row r="209" spans="2:3" hidden="1" x14ac:dyDescent="0.2">
      <c r="B209" s="110">
        <f t="shared" ref="B209:B223" si="1">B208+1</f>
        <v>2086</v>
      </c>
      <c r="C209" s="111">
        <f>[18]С2.5!$BS$11</f>
        <v>0</v>
      </c>
    </row>
    <row r="210" spans="2:3" hidden="1" x14ac:dyDescent="0.2">
      <c r="B210" s="110">
        <f t="shared" si="1"/>
        <v>2087</v>
      </c>
      <c r="C210" s="111">
        <f>[18]С2.5!$BT$11</f>
        <v>0</v>
      </c>
    </row>
    <row r="211" spans="2:3" hidden="1" x14ac:dyDescent="0.2">
      <c r="B211" s="110">
        <f t="shared" si="1"/>
        <v>2088</v>
      </c>
      <c r="C211" s="111">
        <f>[18]С2.5!$BU$11</f>
        <v>0</v>
      </c>
    </row>
    <row r="212" spans="2:3" hidden="1" x14ac:dyDescent="0.2">
      <c r="B212" s="110">
        <f t="shared" si="1"/>
        <v>2089</v>
      </c>
      <c r="C212" s="111">
        <f>[18]С2.5!$BV$11</f>
        <v>0</v>
      </c>
    </row>
    <row r="213" spans="2:3" hidden="1" x14ac:dyDescent="0.2">
      <c r="B213" s="110">
        <f t="shared" si="1"/>
        <v>2090</v>
      </c>
      <c r="C213" s="111">
        <f>[18]С2.5!$BW$11</f>
        <v>0</v>
      </c>
    </row>
    <row r="214" spans="2:3" hidden="1" x14ac:dyDescent="0.2">
      <c r="B214" s="110">
        <f t="shared" si="1"/>
        <v>2091</v>
      </c>
      <c r="C214" s="111">
        <f>[18]С2.5!$BX$11</f>
        <v>0</v>
      </c>
    </row>
    <row r="215" spans="2:3" hidden="1" x14ac:dyDescent="0.2">
      <c r="B215" s="110">
        <f t="shared" si="1"/>
        <v>2092</v>
      </c>
      <c r="C215" s="111">
        <f>[18]С2.5!$BY$11</f>
        <v>0</v>
      </c>
    </row>
    <row r="216" spans="2:3" hidden="1" x14ac:dyDescent="0.2">
      <c r="B216" s="110">
        <f t="shared" si="1"/>
        <v>2093</v>
      </c>
      <c r="C216" s="111">
        <f>[18]С2.5!$BZ$11</f>
        <v>0</v>
      </c>
    </row>
    <row r="217" spans="2:3" hidden="1" x14ac:dyDescent="0.2">
      <c r="B217" s="110">
        <f t="shared" si="1"/>
        <v>2094</v>
      </c>
      <c r="C217" s="111">
        <f>[18]С2.5!$CA$11</f>
        <v>0</v>
      </c>
    </row>
    <row r="218" spans="2:3" hidden="1" x14ac:dyDescent="0.2">
      <c r="B218" s="110">
        <f t="shared" si="1"/>
        <v>2095</v>
      </c>
      <c r="C218" s="111">
        <f>[18]С2.5!$CB$11</f>
        <v>0</v>
      </c>
    </row>
    <row r="219" spans="2:3" hidden="1" x14ac:dyDescent="0.2">
      <c r="B219" s="110">
        <f t="shared" si="1"/>
        <v>2096</v>
      </c>
      <c r="C219" s="111">
        <f>[18]С2.5!$CC$11</f>
        <v>0</v>
      </c>
    </row>
    <row r="220" spans="2:3" hidden="1" x14ac:dyDescent="0.2">
      <c r="B220" s="110">
        <f t="shared" si="1"/>
        <v>2097</v>
      </c>
      <c r="C220" s="111">
        <f>[18]С2.5!$CD$11</f>
        <v>0</v>
      </c>
    </row>
    <row r="221" spans="2:3" hidden="1" x14ac:dyDescent="0.2">
      <c r="B221" s="110">
        <f t="shared" si="1"/>
        <v>2098</v>
      </c>
      <c r="C221" s="111">
        <f>[18]С2.5!$CE$11</f>
        <v>0</v>
      </c>
    </row>
    <row r="222" spans="2:3" hidden="1" x14ac:dyDescent="0.2">
      <c r="B222" s="110">
        <f t="shared" si="1"/>
        <v>2099</v>
      </c>
      <c r="C222" s="111">
        <f>[18]С2.5!$CF$11</f>
        <v>0</v>
      </c>
    </row>
    <row r="223" spans="2:3" ht="13.5" hidden="1" thickBot="1" x14ac:dyDescent="0.25">
      <c r="B223" s="112">
        <f t="shared" si="1"/>
        <v>2100</v>
      </c>
      <c r="C223" s="113">
        <f>[18]С2.5!$CG$11</f>
        <v>0</v>
      </c>
    </row>
    <row r="224" spans="2:3" hidden="1" x14ac:dyDescent="0.2">
      <c r="C224" s="116"/>
    </row>
    <row r="225" spans="3:3" hidden="1" x14ac:dyDescent="0.2">
      <c r="C225" s="116"/>
    </row>
    <row r="226" spans="3:3" x14ac:dyDescent="0.2">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226"/>
  <sheetViews>
    <sheetView tabSelected="1"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28.5703125" style="118" customWidth="1"/>
    <col min="5" max="5" width="5.140625" style="2" customWidth="1"/>
    <col min="6" max="6" width="17.5703125" style="2" customWidth="1"/>
    <col min="7" max="250" width="9.140625" style="2"/>
    <col min="251" max="251" width="3.5703125" style="2" customWidth="1"/>
    <col min="252" max="252" width="96.85546875" style="2" customWidth="1"/>
    <col min="253" max="253" width="30.85546875" style="2" customWidth="1"/>
    <col min="254" max="254" width="12.5703125" style="2" customWidth="1"/>
    <col min="255" max="255" width="5.140625" style="2" customWidth="1"/>
    <col min="256" max="256" width="9.140625" style="2"/>
    <col min="257" max="257" width="4.85546875" style="2" customWidth="1"/>
    <col min="258" max="258" width="30.5703125" style="2" customWidth="1"/>
    <col min="259" max="259" width="33.85546875" style="2" customWidth="1"/>
    <col min="260" max="260" width="5.140625" style="2" customWidth="1"/>
    <col min="261" max="262" width="17.5703125" style="2" customWidth="1"/>
    <col min="263" max="506" width="9.140625" style="2"/>
    <col min="507" max="507" width="3.5703125" style="2" customWidth="1"/>
    <col min="508" max="508" width="96.85546875" style="2" customWidth="1"/>
    <col min="509" max="509" width="30.85546875" style="2" customWidth="1"/>
    <col min="510" max="510" width="12.5703125" style="2" customWidth="1"/>
    <col min="511" max="511" width="5.140625" style="2" customWidth="1"/>
    <col min="512" max="512" width="9.140625" style="2"/>
    <col min="513" max="513" width="4.85546875" style="2" customWidth="1"/>
    <col min="514" max="514" width="30.5703125" style="2" customWidth="1"/>
    <col min="515" max="515" width="33.85546875" style="2" customWidth="1"/>
    <col min="516" max="516" width="5.140625" style="2" customWidth="1"/>
    <col min="517" max="518" width="17.5703125" style="2" customWidth="1"/>
    <col min="519" max="762" width="9.140625" style="2"/>
    <col min="763" max="763" width="3.5703125" style="2" customWidth="1"/>
    <col min="764" max="764" width="96.85546875" style="2" customWidth="1"/>
    <col min="765" max="765" width="30.85546875" style="2" customWidth="1"/>
    <col min="766" max="766" width="12.5703125" style="2" customWidth="1"/>
    <col min="767" max="767" width="5.140625" style="2" customWidth="1"/>
    <col min="768" max="768" width="9.140625" style="2"/>
    <col min="769" max="769" width="4.85546875" style="2" customWidth="1"/>
    <col min="770" max="770" width="30.5703125" style="2" customWidth="1"/>
    <col min="771" max="771" width="33.85546875" style="2" customWidth="1"/>
    <col min="772" max="772" width="5.140625" style="2" customWidth="1"/>
    <col min="773" max="774" width="17.5703125" style="2" customWidth="1"/>
    <col min="775" max="1018" width="9.140625" style="2"/>
    <col min="1019" max="1019" width="3.5703125" style="2" customWidth="1"/>
    <col min="1020" max="1020" width="96.85546875" style="2" customWidth="1"/>
    <col min="1021" max="1021" width="30.85546875" style="2" customWidth="1"/>
    <col min="1022" max="1022" width="12.5703125" style="2" customWidth="1"/>
    <col min="1023" max="1023" width="5.140625" style="2" customWidth="1"/>
    <col min="1024" max="1024" width="9.140625" style="2"/>
    <col min="1025" max="1025" width="4.85546875" style="2" customWidth="1"/>
    <col min="1026" max="1026" width="30.5703125" style="2" customWidth="1"/>
    <col min="1027" max="1027" width="33.85546875" style="2" customWidth="1"/>
    <col min="1028" max="1028" width="5.140625" style="2" customWidth="1"/>
    <col min="1029" max="1030" width="17.5703125" style="2" customWidth="1"/>
    <col min="1031" max="1274" width="9.140625" style="2"/>
    <col min="1275" max="1275" width="3.5703125" style="2" customWidth="1"/>
    <col min="1276" max="1276" width="96.85546875" style="2" customWidth="1"/>
    <col min="1277" max="1277" width="30.85546875" style="2" customWidth="1"/>
    <col min="1278" max="1278" width="12.5703125" style="2" customWidth="1"/>
    <col min="1279" max="1279" width="5.140625" style="2" customWidth="1"/>
    <col min="1280" max="1280" width="9.140625" style="2"/>
    <col min="1281" max="1281" width="4.85546875" style="2" customWidth="1"/>
    <col min="1282" max="1282" width="30.5703125" style="2" customWidth="1"/>
    <col min="1283" max="1283" width="33.85546875" style="2" customWidth="1"/>
    <col min="1284" max="1284" width="5.140625" style="2" customWidth="1"/>
    <col min="1285" max="1286" width="17.5703125" style="2" customWidth="1"/>
    <col min="1287" max="1530" width="9.140625" style="2"/>
    <col min="1531" max="1531" width="3.5703125" style="2" customWidth="1"/>
    <col min="1532" max="1532" width="96.85546875" style="2" customWidth="1"/>
    <col min="1533" max="1533" width="30.85546875" style="2" customWidth="1"/>
    <col min="1534" max="1534" width="12.5703125" style="2" customWidth="1"/>
    <col min="1535" max="1535" width="5.140625" style="2" customWidth="1"/>
    <col min="1536" max="1536" width="9.140625" style="2"/>
    <col min="1537" max="1537" width="4.85546875" style="2" customWidth="1"/>
    <col min="1538" max="1538" width="30.5703125" style="2" customWidth="1"/>
    <col min="1539" max="1539" width="33.85546875" style="2" customWidth="1"/>
    <col min="1540" max="1540" width="5.140625" style="2" customWidth="1"/>
    <col min="1541" max="1542" width="17.5703125" style="2" customWidth="1"/>
    <col min="1543" max="1786" width="9.140625" style="2"/>
    <col min="1787" max="1787" width="3.5703125" style="2" customWidth="1"/>
    <col min="1788" max="1788" width="96.85546875" style="2" customWidth="1"/>
    <col min="1789" max="1789" width="30.85546875" style="2" customWidth="1"/>
    <col min="1790" max="1790" width="12.5703125" style="2" customWidth="1"/>
    <col min="1791" max="1791" width="5.140625" style="2" customWidth="1"/>
    <col min="1792" max="1792" width="9.140625" style="2"/>
    <col min="1793" max="1793" width="4.85546875" style="2" customWidth="1"/>
    <col min="1794" max="1794" width="30.5703125" style="2" customWidth="1"/>
    <col min="1795" max="1795" width="33.85546875" style="2" customWidth="1"/>
    <col min="1796" max="1796" width="5.140625" style="2" customWidth="1"/>
    <col min="1797" max="1798" width="17.5703125" style="2" customWidth="1"/>
    <col min="1799" max="2042" width="9.140625" style="2"/>
    <col min="2043" max="2043" width="3.5703125" style="2" customWidth="1"/>
    <col min="2044" max="2044" width="96.85546875" style="2" customWidth="1"/>
    <col min="2045" max="2045" width="30.85546875" style="2" customWidth="1"/>
    <col min="2046" max="2046" width="12.5703125" style="2" customWidth="1"/>
    <col min="2047" max="2047" width="5.140625" style="2" customWidth="1"/>
    <col min="2048" max="2048" width="9.140625" style="2"/>
    <col min="2049" max="2049" width="4.85546875" style="2" customWidth="1"/>
    <col min="2050" max="2050" width="30.5703125" style="2" customWidth="1"/>
    <col min="2051" max="2051" width="33.85546875" style="2" customWidth="1"/>
    <col min="2052" max="2052" width="5.140625" style="2" customWidth="1"/>
    <col min="2053" max="2054" width="17.5703125" style="2" customWidth="1"/>
    <col min="2055" max="2298" width="9.140625" style="2"/>
    <col min="2299" max="2299" width="3.5703125" style="2" customWidth="1"/>
    <col min="2300" max="2300" width="96.85546875" style="2" customWidth="1"/>
    <col min="2301" max="2301" width="30.85546875" style="2" customWidth="1"/>
    <col min="2302" max="2302" width="12.5703125" style="2" customWidth="1"/>
    <col min="2303" max="2303" width="5.140625" style="2" customWidth="1"/>
    <col min="2304" max="2304" width="9.140625" style="2"/>
    <col min="2305" max="2305" width="4.85546875" style="2" customWidth="1"/>
    <col min="2306" max="2306" width="30.5703125" style="2" customWidth="1"/>
    <col min="2307" max="2307" width="33.85546875" style="2" customWidth="1"/>
    <col min="2308" max="2308" width="5.140625" style="2" customWidth="1"/>
    <col min="2309" max="2310" width="17.5703125" style="2" customWidth="1"/>
    <col min="2311" max="2554" width="9.140625" style="2"/>
    <col min="2555" max="2555" width="3.5703125" style="2" customWidth="1"/>
    <col min="2556" max="2556" width="96.85546875" style="2" customWidth="1"/>
    <col min="2557" max="2557" width="30.85546875" style="2" customWidth="1"/>
    <col min="2558" max="2558" width="12.5703125" style="2" customWidth="1"/>
    <col min="2559" max="2559" width="5.140625" style="2" customWidth="1"/>
    <col min="2560" max="2560" width="9.140625" style="2"/>
    <col min="2561" max="2561" width="4.85546875" style="2" customWidth="1"/>
    <col min="2562" max="2562" width="30.5703125" style="2" customWidth="1"/>
    <col min="2563" max="2563" width="33.85546875" style="2" customWidth="1"/>
    <col min="2564" max="2564" width="5.140625" style="2" customWidth="1"/>
    <col min="2565" max="2566" width="17.5703125" style="2" customWidth="1"/>
    <col min="2567" max="2810" width="9.140625" style="2"/>
    <col min="2811" max="2811" width="3.5703125" style="2" customWidth="1"/>
    <col min="2812" max="2812" width="96.85546875" style="2" customWidth="1"/>
    <col min="2813" max="2813" width="30.85546875" style="2" customWidth="1"/>
    <col min="2814" max="2814" width="12.5703125" style="2" customWidth="1"/>
    <col min="2815" max="2815" width="5.140625" style="2" customWidth="1"/>
    <col min="2816" max="2816" width="9.140625" style="2"/>
    <col min="2817" max="2817" width="4.85546875" style="2" customWidth="1"/>
    <col min="2818" max="2818" width="30.5703125" style="2" customWidth="1"/>
    <col min="2819" max="2819" width="33.85546875" style="2" customWidth="1"/>
    <col min="2820" max="2820" width="5.140625" style="2" customWidth="1"/>
    <col min="2821" max="2822" width="17.5703125" style="2" customWidth="1"/>
    <col min="2823" max="3066" width="9.140625" style="2"/>
    <col min="3067" max="3067" width="3.5703125" style="2" customWidth="1"/>
    <col min="3068" max="3068" width="96.85546875" style="2" customWidth="1"/>
    <col min="3069" max="3069" width="30.85546875" style="2" customWidth="1"/>
    <col min="3070" max="3070" width="12.5703125" style="2" customWidth="1"/>
    <col min="3071" max="3071" width="5.140625" style="2" customWidth="1"/>
    <col min="3072" max="3072" width="9.140625" style="2"/>
    <col min="3073" max="3073" width="4.85546875" style="2" customWidth="1"/>
    <col min="3074" max="3074" width="30.5703125" style="2" customWidth="1"/>
    <col min="3075" max="3075" width="33.85546875" style="2" customWidth="1"/>
    <col min="3076" max="3076" width="5.140625" style="2" customWidth="1"/>
    <col min="3077" max="3078" width="17.5703125" style="2" customWidth="1"/>
    <col min="3079" max="3322" width="9.140625" style="2"/>
    <col min="3323" max="3323" width="3.5703125" style="2" customWidth="1"/>
    <col min="3324" max="3324" width="96.85546875" style="2" customWidth="1"/>
    <col min="3325" max="3325" width="30.85546875" style="2" customWidth="1"/>
    <col min="3326" max="3326" width="12.5703125" style="2" customWidth="1"/>
    <col min="3327" max="3327" width="5.140625" style="2" customWidth="1"/>
    <col min="3328" max="3328" width="9.140625" style="2"/>
    <col min="3329" max="3329" width="4.85546875" style="2" customWidth="1"/>
    <col min="3330" max="3330" width="30.5703125" style="2" customWidth="1"/>
    <col min="3331" max="3331" width="33.85546875" style="2" customWidth="1"/>
    <col min="3332" max="3332" width="5.140625" style="2" customWidth="1"/>
    <col min="3333" max="3334" width="17.5703125" style="2" customWidth="1"/>
    <col min="3335" max="3578" width="9.140625" style="2"/>
    <col min="3579" max="3579" width="3.5703125" style="2" customWidth="1"/>
    <col min="3580" max="3580" width="96.85546875" style="2" customWidth="1"/>
    <col min="3581" max="3581" width="30.85546875" style="2" customWidth="1"/>
    <col min="3582" max="3582" width="12.5703125" style="2" customWidth="1"/>
    <col min="3583" max="3583" width="5.140625" style="2" customWidth="1"/>
    <col min="3584" max="3584" width="9.140625" style="2"/>
    <col min="3585" max="3585" width="4.85546875" style="2" customWidth="1"/>
    <col min="3586" max="3586" width="30.5703125" style="2" customWidth="1"/>
    <col min="3587" max="3587" width="33.85546875" style="2" customWidth="1"/>
    <col min="3588" max="3588" width="5.140625" style="2" customWidth="1"/>
    <col min="3589" max="3590" width="17.5703125" style="2" customWidth="1"/>
    <col min="3591" max="3834" width="9.140625" style="2"/>
    <col min="3835" max="3835" width="3.5703125" style="2" customWidth="1"/>
    <col min="3836" max="3836" width="96.85546875" style="2" customWidth="1"/>
    <col min="3837" max="3837" width="30.85546875" style="2" customWidth="1"/>
    <col min="3838" max="3838" width="12.5703125" style="2" customWidth="1"/>
    <col min="3839" max="3839" width="5.140625" style="2" customWidth="1"/>
    <col min="3840" max="3840" width="9.140625" style="2"/>
    <col min="3841" max="3841" width="4.85546875" style="2" customWidth="1"/>
    <col min="3842" max="3842" width="30.5703125" style="2" customWidth="1"/>
    <col min="3843" max="3843" width="33.85546875" style="2" customWidth="1"/>
    <col min="3844" max="3844" width="5.140625" style="2" customWidth="1"/>
    <col min="3845" max="3846" width="17.5703125" style="2" customWidth="1"/>
    <col min="3847" max="4090" width="9.140625" style="2"/>
    <col min="4091" max="4091" width="3.5703125" style="2" customWidth="1"/>
    <col min="4092" max="4092" width="96.85546875" style="2" customWidth="1"/>
    <col min="4093" max="4093" width="30.85546875" style="2" customWidth="1"/>
    <col min="4094" max="4094" width="12.5703125" style="2" customWidth="1"/>
    <col min="4095" max="4095" width="5.140625" style="2" customWidth="1"/>
    <col min="4096" max="4096" width="9.140625" style="2"/>
    <col min="4097" max="4097" width="4.85546875" style="2" customWidth="1"/>
    <col min="4098" max="4098" width="30.5703125" style="2" customWidth="1"/>
    <col min="4099" max="4099" width="33.85546875" style="2" customWidth="1"/>
    <col min="4100" max="4100" width="5.140625" style="2" customWidth="1"/>
    <col min="4101" max="4102" width="17.5703125" style="2" customWidth="1"/>
    <col min="4103" max="4346" width="9.140625" style="2"/>
    <col min="4347" max="4347" width="3.5703125" style="2" customWidth="1"/>
    <col min="4348" max="4348" width="96.85546875" style="2" customWidth="1"/>
    <col min="4349" max="4349" width="30.85546875" style="2" customWidth="1"/>
    <col min="4350" max="4350" width="12.5703125" style="2" customWidth="1"/>
    <col min="4351" max="4351" width="5.140625" style="2" customWidth="1"/>
    <col min="4352" max="4352" width="9.140625" style="2"/>
    <col min="4353" max="4353" width="4.85546875" style="2" customWidth="1"/>
    <col min="4354" max="4354" width="30.5703125" style="2" customWidth="1"/>
    <col min="4355" max="4355" width="33.85546875" style="2" customWidth="1"/>
    <col min="4356" max="4356" width="5.140625" style="2" customWidth="1"/>
    <col min="4357" max="4358" width="17.5703125" style="2" customWidth="1"/>
    <col min="4359" max="4602" width="9.140625" style="2"/>
    <col min="4603" max="4603" width="3.5703125" style="2" customWidth="1"/>
    <col min="4604" max="4604" width="96.85546875" style="2" customWidth="1"/>
    <col min="4605" max="4605" width="30.85546875" style="2" customWidth="1"/>
    <col min="4606" max="4606" width="12.5703125" style="2" customWidth="1"/>
    <col min="4607" max="4607" width="5.140625" style="2" customWidth="1"/>
    <col min="4608" max="4608" width="9.140625" style="2"/>
    <col min="4609" max="4609" width="4.85546875" style="2" customWidth="1"/>
    <col min="4610" max="4610" width="30.5703125" style="2" customWidth="1"/>
    <col min="4611" max="4611" width="33.85546875" style="2" customWidth="1"/>
    <col min="4612" max="4612" width="5.140625" style="2" customWidth="1"/>
    <col min="4613" max="4614" width="17.5703125" style="2" customWidth="1"/>
    <col min="4615" max="4858" width="9.140625" style="2"/>
    <col min="4859" max="4859" width="3.5703125" style="2" customWidth="1"/>
    <col min="4860" max="4860" width="96.85546875" style="2" customWidth="1"/>
    <col min="4861" max="4861" width="30.85546875" style="2" customWidth="1"/>
    <col min="4862" max="4862" width="12.5703125" style="2" customWidth="1"/>
    <col min="4863" max="4863" width="5.140625" style="2" customWidth="1"/>
    <col min="4864" max="4864" width="9.140625" style="2"/>
    <col min="4865" max="4865" width="4.85546875" style="2" customWidth="1"/>
    <col min="4866" max="4866" width="30.5703125" style="2" customWidth="1"/>
    <col min="4867" max="4867" width="33.85546875" style="2" customWidth="1"/>
    <col min="4868" max="4868" width="5.140625" style="2" customWidth="1"/>
    <col min="4869" max="4870" width="17.5703125" style="2" customWidth="1"/>
    <col min="4871" max="5114" width="9.140625" style="2"/>
    <col min="5115" max="5115" width="3.5703125" style="2" customWidth="1"/>
    <col min="5116" max="5116" width="96.85546875" style="2" customWidth="1"/>
    <col min="5117" max="5117" width="30.85546875" style="2" customWidth="1"/>
    <col min="5118" max="5118" width="12.5703125" style="2" customWidth="1"/>
    <col min="5119" max="5119" width="5.140625" style="2" customWidth="1"/>
    <col min="5120" max="5120" width="9.140625" style="2"/>
    <col min="5121" max="5121" width="4.85546875" style="2" customWidth="1"/>
    <col min="5122" max="5122" width="30.5703125" style="2" customWidth="1"/>
    <col min="5123" max="5123" width="33.85546875" style="2" customWidth="1"/>
    <col min="5124" max="5124" width="5.140625" style="2" customWidth="1"/>
    <col min="5125" max="5126" width="17.5703125" style="2" customWidth="1"/>
    <col min="5127" max="5370" width="9.140625" style="2"/>
    <col min="5371" max="5371" width="3.5703125" style="2" customWidth="1"/>
    <col min="5372" max="5372" width="96.85546875" style="2" customWidth="1"/>
    <col min="5373" max="5373" width="30.85546875" style="2" customWidth="1"/>
    <col min="5374" max="5374" width="12.5703125" style="2" customWidth="1"/>
    <col min="5375" max="5375" width="5.140625" style="2" customWidth="1"/>
    <col min="5376" max="5376" width="9.140625" style="2"/>
    <col min="5377" max="5377" width="4.85546875" style="2" customWidth="1"/>
    <col min="5378" max="5378" width="30.5703125" style="2" customWidth="1"/>
    <col min="5379" max="5379" width="33.85546875" style="2" customWidth="1"/>
    <col min="5380" max="5380" width="5.140625" style="2" customWidth="1"/>
    <col min="5381" max="5382" width="17.5703125" style="2" customWidth="1"/>
    <col min="5383" max="5626" width="9.140625" style="2"/>
    <col min="5627" max="5627" width="3.5703125" style="2" customWidth="1"/>
    <col min="5628" max="5628" width="96.85546875" style="2" customWidth="1"/>
    <col min="5629" max="5629" width="30.85546875" style="2" customWidth="1"/>
    <col min="5630" max="5630" width="12.5703125" style="2" customWidth="1"/>
    <col min="5631" max="5631" width="5.140625" style="2" customWidth="1"/>
    <col min="5632" max="5632" width="9.140625" style="2"/>
    <col min="5633" max="5633" width="4.85546875" style="2" customWidth="1"/>
    <col min="5634" max="5634" width="30.5703125" style="2" customWidth="1"/>
    <col min="5635" max="5635" width="33.85546875" style="2" customWidth="1"/>
    <col min="5636" max="5636" width="5.140625" style="2" customWidth="1"/>
    <col min="5637" max="5638" width="17.5703125" style="2" customWidth="1"/>
    <col min="5639" max="5882" width="9.140625" style="2"/>
    <col min="5883" max="5883" width="3.5703125" style="2" customWidth="1"/>
    <col min="5884" max="5884" width="96.85546875" style="2" customWidth="1"/>
    <col min="5885" max="5885" width="30.85546875" style="2" customWidth="1"/>
    <col min="5886" max="5886" width="12.5703125" style="2" customWidth="1"/>
    <col min="5887" max="5887" width="5.140625" style="2" customWidth="1"/>
    <col min="5888" max="5888" width="9.140625" style="2"/>
    <col min="5889" max="5889" width="4.85546875" style="2" customWidth="1"/>
    <col min="5890" max="5890" width="30.5703125" style="2" customWidth="1"/>
    <col min="5891" max="5891" width="33.85546875" style="2" customWidth="1"/>
    <col min="5892" max="5892" width="5.140625" style="2" customWidth="1"/>
    <col min="5893" max="5894" width="17.5703125" style="2" customWidth="1"/>
    <col min="5895" max="6138" width="9.140625" style="2"/>
    <col min="6139" max="6139" width="3.5703125" style="2" customWidth="1"/>
    <col min="6140" max="6140" width="96.85546875" style="2" customWidth="1"/>
    <col min="6141" max="6141" width="30.85546875" style="2" customWidth="1"/>
    <col min="6142" max="6142" width="12.5703125" style="2" customWidth="1"/>
    <col min="6143" max="6143" width="5.140625" style="2" customWidth="1"/>
    <col min="6144" max="6144" width="9.140625" style="2"/>
    <col min="6145" max="6145" width="4.85546875" style="2" customWidth="1"/>
    <col min="6146" max="6146" width="30.5703125" style="2" customWidth="1"/>
    <col min="6147" max="6147" width="33.85546875" style="2" customWidth="1"/>
    <col min="6148" max="6148" width="5.140625" style="2" customWidth="1"/>
    <col min="6149" max="6150" width="17.5703125" style="2" customWidth="1"/>
    <col min="6151" max="6394" width="9.140625" style="2"/>
    <col min="6395" max="6395" width="3.5703125" style="2" customWidth="1"/>
    <col min="6396" max="6396" width="96.85546875" style="2" customWidth="1"/>
    <col min="6397" max="6397" width="30.85546875" style="2" customWidth="1"/>
    <col min="6398" max="6398" width="12.5703125" style="2" customWidth="1"/>
    <col min="6399" max="6399" width="5.140625" style="2" customWidth="1"/>
    <col min="6400" max="6400" width="9.140625" style="2"/>
    <col min="6401" max="6401" width="4.85546875" style="2" customWidth="1"/>
    <col min="6402" max="6402" width="30.5703125" style="2" customWidth="1"/>
    <col min="6403" max="6403" width="33.85546875" style="2" customWidth="1"/>
    <col min="6404" max="6404" width="5.140625" style="2" customWidth="1"/>
    <col min="6405" max="6406" width="17.5703125" style="2" customWidth="1"/>
    <col min="6407" max="6650" width="9.140625" style="2"/>
    <col min="6651" max="6651" width="3.5703125" style="2" customWidth="1"/>
    <col min="6652" max="6652" width="96.85546875" style="2" customWidth="1"/>
    <col min="6653" max="6653" width="30.85546875" style="2" customWidth="1"/>
    <col min="6654" max="6654" width="12.5703125" style="2" customWidth="1"/>
    <col min="6655" max="6655" width="5.140625" style="2" customWidth="1"/>
    <col min="6656" max="6656" width="9.140625" style="2"/>
    <col min="6657" max="6657" width="4.85546875" style="2" customWidth="1"/>
    <col min="6658" max="6658" width="30.5703125" style="2" customWidth="1"/>
    <col min="6659" max="6659" width="33.85546875" style="2" customWidth="1"/>
    <col min="6660" max="6660" width="5.140625" style="2" customWidth="1"/>
    <col min="6661" max="6662" width="17.5703125" style="2" customWidth="1"/>
    <col min="6663" max="6906" width="9.140625" style="2"/>
    <col min="6907" max="6907" width="3.5703125" style="2" customWidth="1"/>
    <col min="6908" max="6908" width="96.85546875" style="2" customWidth="1"/>
    <col min="6909" max="6909" width="30.85546875" style="2" customWidth="1"/>
    <col min="6910" max="6910" width="12.5703125" style="2" customWidth="1"/>
    <col min="6911" max="6911" width="5.140625" style="2" customWidth="1"/>
    <col min="6912" max="6912" width="9.140625" style="2"/>
    <col min="6913" max="6913" width="4.85546875" style="2" customWidth="1"/>
    <col min="6914" max="6914" width="30.5703125" style="2" customWidth="1"/>
    <col min="6915" max="6915" width="33.85546875" style="2" customWidth="1"/>
    <col min="6916" max="6916" width="5.140625" style="2" customWidth="1"/>
    <col min="6917" max="6918" width="17.5703125" style="2" customWidth="1"/>
    <col min="6919" max="7162" width="9.140625" style="2"/>
    <col min="7163" max="7163" width="3.5703125" style="2" customWidth="1"/>
    <col min="7164" max="7164" width="96.85546875" style="2" customWidth="1"/>
    <col min="7165" max="7165" width="30.85546875" style="2" customWidth="1"/>
    <col min="7166" max="7166" width="12.5703125" style="2" customWidth="1"/>
    <col min="7167" max="7167" width="5.140625" style="2" customWidth="1"/>
    <col min="7168" max="7168" width="9.140625" style="2"/>
    <col min="7169" max="7169" width="4.85546875" style="2" customWidth="1"/>
    <col min="7170" max="7170" width="30.5703125" style="2" customWidth="1"/>
    <col min="7171" max="7171" width="33.85546875" style="2" customWidth="1"/>
    <col min="7172" max="7172" width="5.140625" style="2" customWidth="1"/>
    <col min="7173" max="7174" width="17.5703125" style="2" customWidth="1"/>
    <col min="7175" max="7418" width="9.140625" style="2"/>
    <col min="7419" max="7419" width="3.5703125" style="2" customWidth="1"/>
    <col min="7420" max="7420" width="96.85546875" style="2" customWidth="1"/>
    <col min="7421" max="7421" width="30.85546875" style="2" customWidth="1"/>
    <col min="7422" max="7422" width="12.5703125" style="2" customWidth="1"/>
    <col min="7423" max="7423" width="5.140625" style="2" customWidth="1"/>
    <col min="7424" max="7424" width="9.140625" style="2"/>
    <col min="7425" max="7425" width="4.85546875" style="2" customWidth="1"/>
    <col min="7426" max="7426" width="30.5703125" style="2" customWidth="1"/>
    <col min="7427" max="7427" width="33.85546875" style="2" customWidth="1"/>
    <col min="7428" max="7428" width="5.140625" style="2" customWidth="1"/>
    <col min="7429" max="7430" width="17.5703125" style="2" customWidth="1"/>
    <col min="7431" max="7674" width="9.140625" style="2"/>
    <col min="7675" max="7675" width="3.5703125" style="2" customWidth="1"/>
    <col min="7676" max="7676" width="96.85546875" style="2" customWidth="1"/>
    <col min="7677" max="7677" width="30.85546875" style="2" customWidth="1"/>
    <col min="7678" max="7678" width="12.5703125" style="2" customWidth="1"/>
    <col min="7679" max="7679" width="5.140625" style="2" customWidth="1"/>
    <col min="7680" max="7680" width="9.140625" style="2"/>
    <col min="7681" max="7681" width="4.85546875" style="2" customWidth="1"/>
    <col min="7682" max="7682" width="30.5703125" style="2" customWidth="1"/>
    <col min="7683" max="7683" width="33.85546875" style="2" customWidth="1"/>
    <col min="7684" max="7684" width="5.140625" style="2" customWidth="1"/>
    <col min="7685" max="7686" width="17.5703125" style="2" customWidth="1"/>
    <col min="7687" max="7930" width="9.140625" style="2"/>
    <col min="7931" max="7931" width="3.5703125" style="2" customWidth="1"/>
    <col min="7932" max="7932" width="96.85546875" style="2" customWidth="1"/>
    <col min="7933" max="7933" width="30.85546875" style="2" customWidth="1"/>
    <col min="7934" max="7934" width="12.5703125" style="2" customWidth="1"/>
    <col min="7935" max="7935" width="5.140625" style="2" customWidth="1"/>
    <col min="7936" max="7936" width="9.140625" style="2"/>
    <col min="7937" max="7937" width="4.85546875" style="2" customWidth="1"/>
    <col min="7938" max="7938" width="30.5703125" style="2" customWidth="1"/>
    <col min="7939" max="7939" width="33.85546875" style="2" customWidth="1"/>
    <col min="7940" max="7940" width="5.140625" style="2" customWidth="1"/>
    <col min="7941" max="7942" width="17.5703125" style="2" customWidth="1"/>
    <col min="7943" max="8186" width="9.140625" style="2"/>
    <col min="8187" max="8187" width="3.5703125" style="2" customWidth="1"/>
    <col min="8188" max="8188" width="96.85546875" style="2" customWidth="1"/>
    <col min="8189" max="8189" width="30.85546875" style="2" customWidth="1"/>
    <col min="8190" max="8190" width="12.5703125" style="2" customWidth="1"/>
    <col min="8191" max="8191" width="5.140625" style="2" customWidth="1"/>
    <col min="8192" max="8192" width="9.140625" style="2"/>
    <col min="8193" max="8193" width="4.85546875" style="2" customWidth="1"/>
    <col min="8194" max="8194" width="30.5703125" style="2" customWidth="1"/>
    <col min="8195" max="8195" width="33.85546875" style="2" customWidth="1"/>
    <col min="8196" max="8196" width="5.140625" style="2" customWidth="1"/>
    <col min="8197" max="8198" width="17.5703125" style="2" customWidth="1"/>
    <col min="8199" max="8442" width="9.140625" style="2"/>
    <col min="8443" max="8443" width="3.5703125" style="2" customWidth="1"/>
    <col min="8444" max="8444" width="96.85546875" style="2" customWidth="1"/>
    <col min="8445" max="8445" width="30.85546875" style="2" customWidth="1"/>
    <col min="8446" max="8446" width="12.5703125" style="2" customWidth="1"/>
    <col min="8447" max="8447" width="5.140625" style="2" customWidth="1"/>
    <col min="8448" max="8448" width="9.140625" style="2"/>
    <col min="8449" max="8449" width="4.85546875" style="2" customWidth="1"/>
    <col min="8450" max="8450" width="30.5703125" style="2" customWidth="1"/>
    <col min="8451" max="8451" width="33.85546875" style="2" customWidth="1"/>
    <col min="8452" max="8452" width="5.140625" style="2" customWidth="1"/>
    <col min="8453" max="8454" width="17.5703125" style="2" customWidth="1"/>
    <col min="8455" max="8698" width="9.140625" style="2"/>
    <col min="8699" max="8699" width="3.5703125" style="2" customWidth="1"/>
    <col min="8700" max="8700" width="96.85546875" style="2" customWidth="1"/>
    <col min="8701" max="8701" width="30.85546875" style="2" customWidth="1"/>
    <col min="8702" max="8702" width="12.5703125" style="2" customWidth="1"/>
    <col min="8703" max="8703" width="5.140625" style="2" customWidth="1"/>
    <col min="8704" max="8704" width="9.140625" style="2"/>
    <col min="8705" max="8705" width="4.85546875" style="2" customWidth="1"/>
    <col min="8706" max="8706" width="30.5703125" style="2" customWidth="1"/>
    <col min="8707" max="8707" width="33.85546875" style="2" customWidth="1"/>
    <col min="8708" max="8708" width="5.140625" style="2" customWidth="1"/>
    <col min="8709" max="8710" width="17.5703125" style="2" customWidth="1"/>
    <col min="8711" max="8954" width="9.140625" style="2"/>
    <col min="8955" max="8955" width="3.5703125" style="2" customWidth="1"/>
    <col min="8956" max="8956" width="96.85546875" style="2" customWidth="1"/>
    <col min="8957" max="8957" width="30.85546875" style="2" customWidth="1"/>
    <col min="8958" max="8958" width="12.5703125" style="2" customWidth="1"/>
    <col min="8959" max="8959" width="5.140625" style="2" customWidth="1"/>
    <col min="8960" max="8960" width="9.140625" style="2"/>
    <col min="8961" max="8961" width="4.85546875" style="2" customWidth="1"/>
    <col min="8962" max="8962" width="30.5703125" style="2" customWidth="1"/>
    <col min="8963" max="8963" width="33.85546875" style="2" customWidth="1"/>
    <col min="8964" max="8964" width="5.140625" style="2" customWidth="1"/>
    <col min="8965" max="8966" width="17.5703125" style="2" customWidth="1"/>
    <col min="8967" max="9210" width="9.140625" style="2"/>
    <col min="9211" max="9211" width="3.5703125" style="2" customWidth="1"/>
    <col min="9212" max="9212" width="96.85546875" style="2" customWidth="1"/>
    <col min="9213" max="9213" width="30.85546875" style="2" customWidth="1"/>
    <col min="9214" max="9214" width="12.5703125" style="2" customWidth="1"/>
    <col min="9215" max="9215" width="5.140625" style="2" customWidth="1"/>
    <col min="9216" max="9216" width="9.140625" style="2"/>
    <col min="9217" max="9217" width="4.85546875" style="2" customWidth="1"/>
    <col min="9218" max="9218" width="30.5703125" style="2" customWidth="1"/>
    <col min="9219" max="9219" width="33.85546875" style="2" customWidth="1"/>
    <col min="9220" max="9220" width="5.140625" style="2" customWidth="1"/>
    <col min="9221" max="9222" width="17.5703125" style="2" customWidth="1"/>
    <col min="9223" max="9466" width="9.140625" style="2"/>
    <col min="9467" max="9467" width="3.5703125" style="2" customWidth="1"/>
    <col min="9468" max="9468" width="96.85546875" style="2" customWidth="1"/>
    <col min="9469" max="9469" width="30.85546875" style="2" customWidth="1"/>
    <col min="9470" max="9470" width="12.5703125" style="2" customWidth="1"/>
    <col min="9471" max="9471" width="5.140625" style="2" customWidth="1"/>
    <col min="9472" max="9472" width="9.140625" style="2"/>
    <col min="9473" max="9473" width="4.85546875" style="2" customWidth="1"/>
    <col min="9474" max="9474" width="30.5703125" style="2" customWidth="1"/>
    <col min="9475" max="9475" width="33.85546875" style="2" customWidth="1"/>
    <col min="9476" max="9476" width="5.140625" style="2" customWidth="1"/>
    <col min="9477" max="9478" width="17.5703125" style="2" customWidth="1"/>
    <col min="9479" max="9722" width="9.140625" style="2"/>
    <col min="9723" max="9723" width="3.5703125" style="2" customWidth="1"/>
    <col min="9724" max="9724" width="96.85546875" style="2" customWidth="1"/>
    <col min="9725" max="9725" width="30.85546875" style="2" customWidth="1"/>
    <col min="9726" max="9726" width="12.5703125" style="2" customWidth="1"/>
    <col min="9727" max="9727" width="5.140625" style="2" customWidth="1"/>
    <col min="9728" max="9728" width="9.140625" style="2"/>
    <col min="9729" max="9729" width="4.85546875" style="2" customWidth="1"/>
    <col min="9730" max="9730" width="30.5703125" style="2" customWidth="1"/>
    <col min="9731" max="9731" width="33.85546875" style="2" customWidth="1"/>
    <col min="9732" max="9732" width="5.140625" style="2" customWidth="1"/>
    <col min="9733" max="9734" width="17.5703125" style="2" customWidth="1"/>
    <col min="9735" max="9978" width="9.140625" style="2"/>
    <col min="9979" max="9979" width="3.5703125" style="2" customWidth="1"/>
    <col min="9980" max="9980" width="96.85546875" style="2" customWidth="1"/>
    <col min="9981" max="9981" width="30.85546875" style="2" customWidth="1"/>
    <col min="9982" max="9982" width="12.5703125" style="2" customWidth="1"/>
    <col min="9983" max="9983" width="5.140625" style="2" customWidth="1"/>
    <col min="9984" max="9984" width="9.140625" style="2"/>
    <col min="9985" max="9985" width="4.85546875" style="2" customWidth="1"/>
    <col min="9986" max="9986" width="30.5703125" style="2" customWidth="1"/>
    <col min="9987" max="9987" width="33.85546875" style="2" customWidth="1"/>
    <col min="9988" max="9988" width="5.140625" style="2" customWidth="1"/>
    <col min="9989" max="9990" width="17.5703125" style="2" customWidth="1"/>
    <col min="9991" max="10234" width="9.140625" style="2"/>
    <col min="10235" max="10235" width="3.5703125" style="2" customWidth="1"/>
    <col min="10236" max="10236" width="96.85546875" style="2" customWidth="1"/>
    <col min="10237" max="10237" width="30.85546875" style="2" customWidth="1"/>
    <col min="10238" max="10238" width="12.5703125" style="2" customWidth="1"/>
    <col min="10239" max="10239" width="5.140625" style="2" customWidth="1"/>
    <col min="10240" max="10240" width="9.140625" style="2"/>
    <col min="10241" max="10241" width="4.85546875" style="2" customWidth="1"/>
    <col min="10242" max="10242" width="30.5703125" style="2" customWidth="1"/>
    <col min="10243" max="10243" width="33.85546875" style="2" customWidth="1"/>
    <col min="10244" max="10244" width="5.140625" style="2" customWidth="1"/>
    <col min="10245" max="10246" width="17.5703125" style="2" customWidth="1"/>
    <col min="10247" max="10490" width="9.140625" style="2"/>
    <col min="10491" max="10491" width="3.5703125" style="2" customWidth="1"/>
    <col min="10492" max="10492" width="96.85546875" style="2" customWidth="1"/>
    <col min="10493" max="10493" width="30.85546875" style="2" customWidth="1"/>
    <col min="10494" max="10494" width="12.5703125" style="2" customWidth="1"/>
    <col min="10495" max="10495" width="5.140625" style="2" customWidth="1"/>
    <col min="10496" max="10496" width="9.140625" style="2"/>
    <col min="10497" max="10497" width="4.85546875" style="2" customWidth="1"/>
    <col min="10498" max="10498" width="30.5703125" style="2" customWidth="1"/>
    <col min="10499" max="10499" width="33.85546875" style="2" customWidth="1"/>
    <col min="10500" max="10500" width="5.140625" style="2" customWidth="1"/>
    <col min="10501" max="10502" width="17.5703125" style="2" customWidth="1"/>
    <col min="10503" max="10746" width="9.140625" style="2"/>
    <col min="10747" max="10747" width="3.5703125" style="2" customWidth="1"/>
    <col min="10748" max="10748" width="96.85546875" style="2" customWidth="1"/>
    <col min="10749" max="10749" width="30.85546875" style="2" customWidth="1"/>
    <col min="10750" max="10750" width="12.5703125" style="2" customWidth="1"/>
    <col min="10751" max="10751" width="5.140625" style="2" customWidth="1"/>
    <col min="10752" max="10752" width="9.140625" style="2"/>
    <col min="10753" max="10753" width="4.85546875" style="2" customWidth="1"/>
    <col min="10754" max="10754" width="30.5703125" style="2" customWidth="1"/>
    <col min="10755" max="10755" width="33.85546875" style="2" customWidth="1"/>
    <col min="10756" max="10756" width="5.140625" style="2" customWidth="1"/>
    <col min="10757" max="10758" width="17.5703125" style="2" customWidth="1"/>
    <col min="10759" max="11002" width="9.140625" style="2"/>
    <col min="11003" max="11003" width="3.5703125" style="2" customWidth="1"/>
    <col min="11004" max="11004" width="96.85546875" style="2" customWidth="1"/>
    <col min="11005" max="11005" width="30.85546875" style="2" customWidth="1"/>
    <col min="11006" max="11006" width="12.5703125" style="2" customWidth="1"/>
    <col min="11007" max="11007" width="5.140625" style="2" customWidth="1"/>
    <col min="11008" max="11008" width="9.140625" style="2"/>
    <col min="11009" max="11009" width="4.85546875" style="2" customWidth="1"/>
    <col min="11010" max="11010" width="30.5703125" style="2" customWidth="1"/>
    <col min="11011" max="11011" width="33.85546875" style="2" customWidth="1"/>
    <col min="11012" max="11012" width="5.140625" style="2" customWidth="1"/>
    <col min="11013" max="11014" width="17.5703125" style="2" customWidth="1"/>
    <col min="11015" max="11258" width="9.140625" style="2"/>
    <col min="11259" max="11259" width="3.5703125" style="2" customWidth="1"/>
    <col min="11260" max="11260" width="96.85546875" style="2" customWidth="1"/>
    <col min="11261" max="11261" width="30.85546875" style="2" customWidth="1"/>
    <col min="11262" max="11262" width="12.5703125" style="2" customWidth="1"/>
    <col min="11263" max="11263" width="5.140625" style="2" customWidth="1"/>
    <col min="11264" max="11264" width="9.140625" style="2"/>
    <col min="11265" max="11265" width="4.85546875" style="2" customWidth="1"/>
    <col min="11266" max="11266" width="30.5703125" style="2" customWidth="1"/>
    <col min="11267" max="11267" width="33.85546875" style="2" customWidth="1"/>
    <col min="11268" max="11268" width="5.140625" style="2" customWidth="1"/>
    <col min="11269" max="11270" width="17.5703125" style="2" customWidth="1"/>
    <col min="11271" max="11514" width="9.140625" style="2"/>
    <col min="11515" max="11515" width="3.5703125" style="2" customWidth="1"/>
    <col min="11516" max="11516" width="96.85546875" style="2" customWidth="1"/>
    <col min="11517" max="11517" width="30.85546875" style="2" customWidth="1"/>
    <col min="11518" max="11518" width="12.5703125" style="2" customWidth="1"/>
    <col min="11519" max="11519" width="5.140625" style="2" customWidth="1"/>
    <col min="11520" max="11520" width="9.140625" style="2"/>
    <col min="11521" max="11521" width="4.85546875" style="2" customWidth="1"/>
    <col min="11522" max="11522" width="30.5703125" style="2" customWidth="1"/>
    <col min="11523" max="11523" width="33.85546875" style="2" customWidth="1"/>
    <col min="11524" max="11524" width="5.140625" style="2" customWidth="1"/>
    <col min="11525" max="11526" width="17.5703125" style="2" customWidth="1"/>
    <col min="11527" max="11770" width="9.140625" style="2"/>
    <col min="11771" max="11771" width="3.5703125" style="2" customWidth="1"/>
    <col min="11772" max="11772" width="96.85546875" style="2" customWidth="1"/>
    <col min="11773" max="11773" width="30.85546875" style="2" customWidth="1"/>
    <col min="11774" max="11774" width="12.5703125" style="2" customWidth="1"/>
    <col min="11775" max="11775" width="5.140625" style="2" customWidth="1"/>
    <col min="11776" max="11776" width="9.140625" style="2"/>
    <col min="11777" max="11777" width="4.85546875" style="2" customWidth="1"/>
    <col min="11778" max="11778" width="30.5703125" style="2" customWidth="1"/>
    <col min="11779" max="11779" width="33.85546875" style="2" customWidth="1"/>
    <col min="11780" max="11780" width="5.140625" style="2" customWidth="1"/>
    <col min="11781" max="11782" width="17.5703125" style="2" customWidth="1"/>
    <col min="11783" max="12026" width="9.140625" style="2"/>
    <col min="12027" max="12027" width="3.5703125" style="2" customWidth="1"/>
    <col min="12028" max="12028" width="96.85546875" style="2" customWidth="1"/>
    <col min="12029" max="12029" width="30.85546875" style="2" customWidth="1"/>
    <col min="12030" max="12030" width="12.5703125" style="2" customWidth="1"/>
    <col min="12031" max="12031" width="5.140625" style="2" customWidth="1"/>
    <col min="12032" max="12032" width="9.140625" style="2"/>
    <col min="12033" max="12033" width="4.85546875" style="2" customWidth="1"/>
    <col min="12034" max="12034" width="30.5703125" style="2" customWidth="1"/>
    <col min="12035" max="12035" width="33.85546875" style="2" customWidth="1"/>
    <col min="12036" max="12036" width="5.140625" style="2" customWidth="1"/>
    <col min="12037" max="12038" width="17.5703125" style="2" customWidth="1"/>
    <col min="12039" max="12282" width="9.140625" style="2"/>
    <col min="12283" max="12283" width="3.5703125" style="2" customWidth="1"/>
    <col min="12284" max="12284" width="96.85546875" style="2" customWidth="1"/>
    <col min="12285" max="12285" width="30.85546875" style="2" customWidth="1"/>
    <col min="12286" max="12286" width="12.5703125" style="2" customWidth="1"/>
    <col min="12287" max="12287" width="5.140625" style="2" customWidth="1"/>
    <col min="12288" max="12288" width="9.140625" style="2"/>
    <col min="12289" max="12289" width="4.85546875" style="2" customWidth="1"/>
    <col min="12290" max="12290" width="30.5703125" style="2" customWidth="1"/>
    <col min="12291" max="12291" width="33.85546875" style="2" customWidth="1"/>
    <col min="12292" max="12292" width="5.140625" style="2" customWidth="1"/>
    <col min="12293" max="12294" width="17.5703125" style="2" customWidth="1"/>
    <col min="12295" max="12538" width="9.140625" style="2"/>
    <col min="12539" max="12539" width="3.5703125" style="2" customWidth="1"/>
    <col min="12540" max="12540" width="96.85546875" style="2" customWidth="1"/>
    <col min="12541" max="12541" width="30.85546875" style="2" customWidth="1"/>
    <col min="12542" max="12542" width="12.5703125" style="2" customWidth="1"/>
    <col min="12543" max="12543" width="5.140625" style="2" customWidth="1"/>
    <col min="12544" max="12544" width="9.140625" style="2"/>
    <col min="12545" max="12545" width="4.85546875" style="2" customWidth="1"/>
    <col min="12546" max="12546" width="30.5703125" style="2" customWidth="1"/>
    <col min="12547" max="12547" width="33.85546875" style="2" customWidth="1"/>
    <col min="12548" max="12548" width="5.140625" style="2" customWidth="1"/>
    <col min="12549" max="12550" width="17.5703125" style="2" customWidth="1"/>
    <col min="12551" max="12794" width="9.140625" style="2"/>
    <col min="12795" max="12795" width="3.5703125" style="2" customWidth="1"/>
    <col min="12796" max="12796" width="96.85546875" style="2" customWidth="1"/>
    <col min="12797" max="12797" width="30.85546875" style="2" customWidth="1"/>
    <col min="12798" max="12798" width="12.5703125" style="2" customWidth="1"/>
    <col min="12799" max="12799" width="5.140625" style="2" customWidth="1"/>
    <col min="12800" max="12800" width="9.140625" style="2"/>
    <col min="12801" max="12801" width="4.85546875" style="2" customWidth="1"/>
    <col min="12802" max="12802" width="30.5703125" style="2" customWidth="1"/>
    <col min="12803" max="12803" width="33.85546875" style="2" customWidth="1"/>
    <col min="12804" max="12804" width="5.140625" style="2" customWidth="1"/>
    <col min="12805" max="12806" width="17.5703125" style="2" customWidth="1"/>
    <col min="12807" max="13050" width="9.140625" style="2"/>
    <col min="13051" max="13051" width="3.5703125" style="2" customWidth="1"/>
    <col min="13052" max="13052" width="96.85546875" style="2" customWidth="1"/>
    <col min="13053" max="13053" width="30.85546875" style="2" customWidth="1"/>
    <col min="13054" max="13054" width="12.5703125" style="2" customWidth="1"/>
    <col min="13055" max="13055" width="5.140625" style="2" customWidth="1"/>
    <col min="13056" max="13056" width="9.140625" style="2"/>
    <col min="13057" max="13057" width="4.85546875" style="2" customWidth="1"/>
    <col min="13058" max="13058" width="30.5703125" style="2" customWidth="1"/>
    <col min="13059" max="13059" width="33.85546875" style="2" customWidth="1"/>
    <col min="13060" max="13060" width="5.140625" style="2" customWidth="1"/>
    <col min="13061" max="13062" width="17.5703125" style="2" customWidth="1"/>
    <col min="13063" max="13306" width="9.140625" style="2"/>
    <col min="13307" max="13307" width="3.5703125" style="2" customWidth="1"/>
    <col min="13308" max="13308" width="96.85546875" style="2" customWidth="1"/>
    <col min="13309" max="13309" width="30.85546875" style="2" customWidth="1"/>
    <col min="13310" max="13310" width="12.5703125" style="2" customWidth="1"/>
    <col min="13311" max="13311" width="5.140625" style="2" customWidth="1"/>
    <col min="13312" max="13312" width="9.140625" style="2"/>
    <col min="13313" max="13313" width="4.85546875" style="2" customWidth="1"/>
    <col min="13314" max="13314" width="30.5703125" style="2" customWidth="1"/>
    <col min="13315" max="13315" width="33.85546875" style="2" customWidth="1"/>
    <col min="13316" max="13316" width="5.140625" style="2" customWidth="1"/>
    <col min="13317" max="13318" width="17.5703125" style="2" customWidth="1"/>
    <col min="13319" max="13562" width="9.140625" style="2"/>
    <col min="13563" max="13563" width="3.5703125" style="2" customWidth="1"/>
    <col min="13564" max="13564" width="96.85546875" style="2" customWidth="1"/>
    <col min="13565" max="13565" width="30.85546875" style="2" customWidth="1"/>
    <col min="13566" max="13566" width="12.5703125" style="2" customWidth="1"/>
    <col min="13567" max="13567" width="5.140625" style="2" customWidth="1"/>
    <col min="13568" max="13568" width="9.140625" style="2"/>
    <col min="13569" max="13569" width="4.85546875" style="2" customWidth="1"/>
    <col min="13570" max="13570" width="30.5703125" style="2" customWidth="1"/>
    <col min="13571" max="13571" width="33.85546875" style="2" customWidth="1"/>
    <col min="13572" max="13572" width="5.140625" style="2" customWidth="1"/>
    <col min="13573" max="13574" width="17.5703125" style="2" customWidth="1"/>
    <col min="13575" max="13818" width="9.140625" style="2"/>
    <col min="13819" max="13819" width="3.5703125" style="2" customWidth="1"/>
    <col min="13820" max="13820" width="96.85546875" style="2" customWidth="1"/>
    <col min="13821" max="13821" width="30.85546875" style="2" customWidth="1"/>
    <col min="13822" max="13822" width="12.5703125" style="2" customWidth="1"/>
    <col min="13823" max="13823" width="5.140625" style="2" customWidth="1"/>
    <col min="13824" max="13824" width="9.140625" style="2"/>
    <col min="13825" max="13825" width="4.85546875" style="2" customWidth="1"/>
    <col min="13826" max="13826" width="30.5703125" style="2" customWidth="1"/>
    <col min="13827" max="13827" width="33.85546875" style="2" customWidth="1"/>
    <col min="13828" max="13828" width="5.140625" style="2" customWidth="1"/>
    <col min="13829" max="13830" width="17.5703125" style="2" customWidth="1"/>
    <col min="13831" max="14074" width="9.140625" style="2"/>
    <col min="14075" max="14075" width="3.5703125" style="2" customWidth="1"/>
    <col min="14076" max="14076" width="96.85546875" style="2" customWidth="1"/>
    <col min="14077" max="14077" width="30.85546875" style="2" customWidth="1"/>
    <col min="14078" max="14078" width="12.5703125" style="2" customWidth="1"/>
    <col min="14079" max="14079" width="5.140625" style="2" customWidth="1"/>
    <col min="14080" max="14080" width="9.140625" style="2"/>
    <col min="14081" max="14081" width="4.85546875" style="2" customWidth="1"/>
    <col min="14082" max="14082" width="30.5703125" style="2" customWidth="1"/>
    <col min="14083" max="14083" width="33.85546875" style="2" customWidth="1"/>
    <col min="14084" max="14084" width="5.140625" style="2" customWidth="1"/>
    <col min="14085" max="14086" width="17.5703125" style="2" customWidth="1"/>
    <col min="14087" max="14330" width="9.140625" style="2"/>
    <col min="14331" max="14331" width="3.5703125" style="2" customWidth="1"/>
    <col min="14332" max="14332" width="96.85546875" style="2" customWidth="1"/>
    <col min="14333" max="14333" width="30.85546875" style="2" customWidth="1"/>
    <col min="14334" max="14334" width="12.5703125" style="2" customWidth="1"/>
    <col min="14335" max="14335" width="5.140625" style="2" customWidth="1"/>
    <col min="14336" max="14336" width="9.140625" style="2"/>
    <col min="14337" max="14337" width="4.85546875" style="2" customWidth="1"/>
    <col min="14338" max="14338" width="30.5703125" style="2" customWidth="1"/>
    <col min="14339" max="14339" width="33.85546875" style="2" customWidth="1"/>
    <col min="14340" max="14340" width="5.140625" style="2" customWidth="1"/>
    <col min="14341" max="14342" width="17.5703125" style="2" customWidth="1"/>
    <col min="14343" max="14586" width="9.140625" style="2"/>
    <col min="14587" max="14587" width="3.5703125" style="2" customWidth="1"/>
    <col min="14588" max="14588" width="96.85546875" style="2" customWidth="1"/>
    <col min="14589" max="14589" width="30.85546875" style="2" customWidth="1"/>
    <col min="14590" max="14590" width="12.5703125" style="2" customWidth="1"/>
    <col min="14591" max="14591" width="5.140625" style="2" customWidth="1"/>
    <col min="14592" max="14592" width="9.140625" style="2"/>
    <col min="14593" max="14593" width="4.85546875" style="2" customWidth="1"/>
    <col min="14594" max="14594" width="30.5703125" style="2" customWidth="1"/>
    <col min="14595" max="14595" width="33.85546875" style="2" customWidth="1"/>
    <col min="14596" max="14596" width="5.140625" style="2" customWidth="1"/>
    <col min="14597" max="14598" width="17.5703125" style="2" customWidth="1"/>
    <col min="14599" max="14842" width="9.140625" style="2"/>
    <col min="14843" max="14843" width="3.5703125" style="2" customWidth="1"/>
    <col min="14844" max="14844" width="96.85546875" style="2" customWidth="1"/>
    <col min="14845" max="14845" width="30.85546875" style="2" customWidth="1"/>
    <col min="14846" max="14846" width="12.5703125" style="2" customWidth="1"/>
    <col min="14847" max="14847" width="5.140625" style="2" customWidth="1"/>
    <col min="14848" max="14848" width="9.140625" style="2"/>
    <col min="14849" max="14849" width="4.85546875" style="2" customWidth="1"/>
    <col min="14850" max="14850" width="30.5703125" style="2" customWidth="1"/>
    <col min="14851" max="14851" width="33.85546875" style="2" customWidth="1"/>
    <col min="14852" max="14852" width="5.140625" style="2" customWidth="1"/>
    <col min="14853" max="14854" width="17.5703125" style="2" customWidth="1"/>
    <col min="14855" max="15098" width="9.140625" style="2"/>
    <col min="15099" max="15099" width="3.5703125" style="2" customWidth="1"/>
    <col min="15100" max="15100" width="96.85546875" style="2" customWidth="1"/>
    <col min="15101" max="15101" width="30.85546875" style="2" customWidth="1"/>
    <col min="15102" max="15102" width="12.5703125" style="2" customWidth="1"/>
    <col min="15103" max="15103" width="5.140625" style="2" customWidth="1"/>
    <col min="15104" max="15104" width="9.140625" style="2"/>
    <col min="15105" max="15105" width="4.85546875" style="2" customWidth="1"/>
    <col min="15106" max="15106" width="30.5703125" style="2" customWidth="1"/>
    <col min="15107" max="15107" width="33.85546875" style="2" customWidth="1"/>
    <col min="15108" max="15108" width="5.140625" style="2" customWidth="1"/>
    <col min="15109" max="15110" width="17.5703125" style="2" customWidth="1"/>
    <col min="15111" max="15354" width="9.140625" style="2"/>
    <col min="15355" max="15355" width="3.5703125" style="2" customWidth="1"/>
    <col min="15356" max="15356" width="96.85546875" style="2" customWidth="1"/>
    <col min="15357" max="15357" width="30.85546875" style="2" customWidth="1"/>
    <col min="15358" max="15358" width="12.5703125" style="2" customWidth="1"/>
    <col min="15359" max="15359" width="5.140625" style="2" customWidth="1"/>
    <col min="15360" max="15360" width="9.140625" style="2"/>
    <col min="15361" max="15361" width="4.85546875" style="2" customWidth="1"/>
    <col min="15362" max="15362" width="30.5703125" style="2" customWidth="1"/>
    <col min="15363" max="15363" width="33.85546875" style="2" customWidth="1"/>
    <col min="15364" max="15364" width="5.140625" style="2" customWidth="1"/>
    <col min="15365" max="15366" width="17.5703125" style="2" customWidth="1"/>
    <col min="15367" max="15610" width="9.140625" style="2"/>
    <col min="15611" max="15611" width="3.5703125" style="2" customWidth="1"/>
    <col min="15612" max="15612" width="96.85546875" style="2" customWidth="1"/>
    <col min="15613" max="15613" width="30.85546875" style="2" customWidth="1"/>
    <col min="15614" max="15614" width="12.5703125" style="2" customWidth="1"/>
    <col min="15615" max="15615" width="5.140625" style="2" customWidth="1"/>
    <col min="15616" max="15616" width="9.140625" style="2"/>
    <col min="15617" max="15617" width="4.85546875" style="2" customWidth="1"/>
    <col min="15618" max="15618" width="30.5703125" style="2" customWidth="1"/>
    <col min="15619" max="15619" width="33.85546875" style="2" customWidth="1"/>
    <col min="15620" max="15620" width="5.140625" style="2" customWidth="1"/>
    <col min="15621" max="15622" width="17.5703125" style="2" customWidth="1"/>
    <col min="15623" max="15866" width="9.140625" style="2"/>
    <col min="15867" max="15867" width="3.5703125" style="2" customWidth="1"/>
    <col min="15868" max="15868" width="96.85546875" style="2" customWidth="1"/>
    <col min="15869" max="15869" width="30.85546875" style="2" customWidth="1"/>
    <col min="15870" max="15870" width="12.5703125" style="2" customWidth="1"/>
    <col min="15871" max="15871" width="5.140625" style="2" customWidth="1"/>
    <col min="15872" max="15872" width="9.140625" style="2"/>
    <col min="15873" max="15873" width="4.85546875" style="2" customWidth="1"/>
    <col min="15874" max="15874" width="30.5703125" style="2" customWidth="1"/>
    <col min="15875" max="15875" width="33.85546875" style="2" customWidth="1"/>
    <col min="15876" max="15876" width="5.140625" style="2" customWidth="1"/>
    <col min="15877" max="15878" width="17.5703125" style="2" customWidth="1"/>
    <col min="15879" max="16122" width="9.140625" style="2"/>
    <col min="16123" max="16123" width="3.5703125" style="2" customWidth="1"/>
    <col min="16124" max="16124" width="96.85546875" style="2" customWidth="1"/>
    <col min="16125" max="16125" width="30.85546875" style="2" customWidth="1"/>
    <col min="16126" max="16126" width="12.5703125" style="2" customWidth="1"/>
    <col min="16127" max="16127" width="5.140625" style="2" customWidth="1"/>
    <col min="16128" max="16128" width="9.140625" style="2"/>
    <col min="16129" max="16129" width="4.85546875" style="2" customWidth="1"/>
    <col min="16130" max="16130" width="30.5703125" style="2" customWidth="1"/>
    <col min="16131" max="16131" width="33.85546875" style="2" customWidth="1"/>
    <col min="16132" max="16132" width="5.140625" style="2" customWidth="1"/>
    <col min="16133" max="16134" width="17.5703125" style="2" customWidth="1"/>
    <col min="16135" max="16384" width="9.140625" style="2"/>
  </cols>
  <sheetData>
    <row r="1" spans="1:4" ht="48" customHeight="1" x14ac:dyDescent="0.2">
      <c r="A1" s="1"/>
      <c r="B1" s="139" t="s">
        <v>0</v>
      </c>
      <c r="C1" s="139"/>
      <c r="D1" s="139"/>
    </row>
    <row r="2" spans="1:4" x14ac:dyDescent="0.2">
      <c r="A2" s="3"/>
      <c r="B2" s="4" t="s">
        <v>1</v>
      </c>
      <c r="C2" s="5">
        <v>45687</v>
      </c>
    </row>
    <row r="3" spans="1:4" x14ac:dyDescent="0.2">
      <c r="A3" s="3"/>
      <c r="B3" s="6" t="s">
        <v>2</v>
      </c>
    </row>
    <row r="4" spans="1:4" ht="25.5" x14ac:dyDescent="0.2">
      <c r="A4" s="8"/>
      <c r="B4" s="9" t="str">
        <f>[19]И1!D13</f>
        <v>Субъект Российской Федерации</v>
      </c>
      <c r="C4" s="10" t="str">
        <f>[19]И1!E13</f>
        <v>Новосибирская область</v>
      </c>
      <c r="D4" s="119"/>
    </row>
    <row r="5" spans="1:4" ht="46.9" customHeight="1" x14ac:dyDescent="0.2">
      <c r="A5" s="8"/>
      <c r="B5" s="9" t="str">
        <f>[19]И1!D14</f>
        <v>Тип муниципального образования (выберите из списка)</v>
      </c>
      <c r="C5" s="10" t="str">
        <f>[19]И1!E14</f>
        <v>село Светлое, Краснозерский муниципальный район</v>
      </c>
      <c r="D5" s="119"/>
    </row>
    <row r="6" spans="1:4" x14ac:dyDescent="0.2">
      <c r="A6" s="8"/>
      <c r="B6" s="9" t="str">
        <f>IF([19]И1!E15="","",[19]И1!D15)</f>
        <v/>
      </c>
      <c r="C6" s="10" t="str">
        <f>IF([19]И1!E15="","",[19]И1!E15)</f>
        <v/>
      </c>
      <c r="D6" s="119"/>
    </row>
    <row r="7" spans="1:4" x14ac:dyDescent="0.2">
      <c r="A7" s="8"/>
      <c r="B7" s="9" t="str">
        <f>[19]И1!D16</f>
        <v>Код ОКТМО</v>
      </c>
      <c r="C7" s="11" t="str">
        <f>[19]И1!E16</f>
        <v xml:space="preserve"> (50627446101)</v>
      </c>
      <c r="D7" s="119"/>
    </row>
    <row r="8" spans="1:4" x14ac:dyDescent="0.2">
      <c r="A8" s="8"/>
      <c r="B8" s="12" t="str">
        <f>[19]И1!D17</f>
        <v>Система теплоснабжения</v>
      </c>
      <c r="C8" s="13">
        <f>[19]И1!E17</f>
        <v>0</v>
      </c>
      <c r="D8" s="119"/>
    </row>
    <row r="9" spans="1:4" x14ac:dyDescent="0.2">
      <c r="A9" s="8"/>
      <c r="B9" s="9" t="str">
        <f>[19]И1!D8</f>
        <v>Период регулирования (i)-й</v>
      </c>
      <c r="C9" s="14">
        <f>[19]И1!E8</f>
        <v>2025</v>
      </c>
      <c r="D9" s="119"/>
    </row>
    <row r="10" spans="1:4" x14ac:dyDescent="0.2">
      <c r="A10" s="8"/>
      <c r="B10" s="9" t="str">
        <f>[19]И1!D9</f>
        <v>Период регулирования (i-1)-й</v>
      </c>
      <c r="C10" s="14">
        <f>[19]И1!E9</f>
        <v>2024</v>
      </c>
      <c r="D10" s="119"/>
    </row>
    <row r="11" spans="1:4" x14ac:dyDescent="0.2">
      <c r="A11" s="8"/>
      <c r="B11" s="9" t="str">
        <f>[19]И1!D10</f>
        <v>Период регулирования (i-2)-й</v>
      </c>
      <c r="C11" s="14">
        <f>[19]И1!E10</f>
        <v>2023</v>
      </c>
      <c r="D11" s="119"/>
    </row>
    <row r="12" spans="1:4" x14ac:dyDescent="0.2">
      <c r="A12" s="8"/>
      <c r="B12" s="9" t="str">
        <f>[19]И1!D11</f>
        <v>Базовый год (б)</v>
      </c>
      <c r="C12" s="14">
        <f>[19]И1!E11</f>
        <v>2019</v>
      </c>
      <c r="D12" s="119"/>
    </row>
    <row r="13" spans="1:4" ht="38.25" x14ac:dyDescent="0.2">
      <c r="A13" s="8"/>
      <c r="B13" s="9" t="str">
        <f>[19]И1!D18</f>
        <v>Вид топлива, использование которого преобладает в системе теплоснабжения</v>
      </c>
      <c r="C13" s="15" t="str">
        <f>[19]С1.1!E13</f>
        <v>уголь (вид угля не указан в топливном балансе)</v>
      </c>
      <c r="D13" s="119"/>
    </row>
    <row r="14" spans="1:4" ht="31.7" customHeight="1" thickBot="1" x14ac:dyDescent="0.25">
      <c r="A14" s="140" t="s">
        <v>3</v>
      </c>
      <c r="B14" s="140"/>
      <c r="C14" s="140"/>
    </row>
    <row r="15" spans="1:4" x14ac:dyDescent="0.2">
      <c r="A15" s="16" t="s">
        <v>4</v>
      </c>
      <c r="B15" s="17" t="s">
        <v>5</v>
      </c>
      <c r="C15" s="18" t="s">
        <v>6</v>
      </c>
    </row>
    <row r="16" spans="1:4" x14ac:dyDescent="0.2">
      <c r="A16" s="19">
        <v>1</v>
      </c>
      <c r="B16" s="20">
        <v>2</v>
      </c>
      <c r="C16" s="21">
        <v>3</v>
      </c>
    </row>
    <row r="17" spans="1:4" x14ac:dyDescent="0.2">
      <c r="A17" s="22">
        <v>1</v>
      </c>
      <c r="B17" s="23" t="s">
        <v>7</v>
      </c>
      <c r="C17" s="24">
        <f>SUM(C18:C22)</f>
        <v>5707.7752919900095</v>
      </c>
    </row>
    <row r="18" spans="1:4" ht="42.75" x14ac:dyDescent="0.2">
      <c r="A18" s="22" t="s">
        <v>8</v>
      </c>
      <c r="B18" s="25" t="s">
        <v>9</v>
      </c>
      <c r="C18" s="26">
        <f>[19]С1!F12</f>
        <v>1108.8810913919096</v>
      </c>
    </row>
    <row r="19" spans="1:4" ht="42.75" x14ac:dyDescent="0.2">
      <c r="A19" s="22" t="s">
        <v>10</v>
      </c>
      <c r="B19" s="25" t="s">
        <v>11</v>
      </c>
      <c r="C19" s="26">
        <f>[19]С2!F12</f>
        <v>3044.8315746726421</v>
      </c>
    </row>
    <row r="20" spans="1:4" ht="30" x14ac:dyDescent="0.2">
      <c r="A20" s="22" t="s">
        <v>12</v>
      </c>
      <c r="B20" s="25" t="s">
        <v>13</v>
      </c>
      <c r="C20" s="26">
        <f>[19]С3!F12</f>
        <v>911.5178018038722</v>
      </c>
    </row>
    <row r="21" spans="1:4" ht="42.75" x14ac:dyDescent="0.2">
      <c r="A21" s="22" t="s">
        <v>14</v>
      </c>
      <c r="B21" s="25" t="s">
        <v>15</v>
      </c>
      <c r="C21" s="26">
        <f>[19]С4!F12</f>
        <v>530.62766153354676</v>
      </c>
    </row>
    <row r="22" spans="1:4" ht="30" x14ac:dyDescent="0.2">
      <c r="A22" s="22" t="s">
        <v>16</v>
      </c>
      <c r="B22" s="25" t="s">
        <v>17</v>
      </c>
      <c r="C22" s="26">
        <f>[19]С5!F12</f>
        <v>111.91716258803942</v>
      </c>
    </row>
    <row r="23" spans="1:4" ht="43.5" thickBot="1" x14ac:dyDescent="0.25">
      <c r="A23" s="27" t="s">
        <v>18</v>
      </c>
      <c r="B23" s="117" t="s">
        <v>19</v>
      </c>
      <c r="C23" s="28" t="str">
        <f>[19]С6!F12</f>
        <v>-</v>
      </c>
    </row>
    <row r="24" spans="1:4" ht="13.5" thickBot="1" x14ac:dyDescent="0.25">
      <c r="A24" s="3"/>
    </row>
    <row r="25" spans="1:4" x14ac:dyDescent="0.2">
      <c r="A25" s="16" t="s">
        <v>4</v>
      </c>
      <c r="B25" s="29" t="s">
        <v>5</v>
      </c>
      <c r="C25" s="30" t="s">
        <v>6</v>
      </c>
      <c r="D25" s="120" t="s">
        <v>227</v>
      </c>
    </row>
    <row r="26" spans="1:4" x14ac:dyDescent="0.2">
      <c r="A26" s="19">
        <v>1</v>
      </c>
      <c r="B26" s="31">
        <v>2</v>
      </c>
      <c r="C26" s="32">
        <v>3</v>
      </c>
      <c r="D26" s="121">
        <v>4</v>
      </c>
    </row>
    <row r="27" spans="1:4" ht="30" customHeight="1" x14ac:dyDescent="0.2">
      <c r="A27" s="22">
        <v>1</v>
      </c>
      <c r="B27" s="141" t="s">
        <v>20</v>
      </c>
      <c r="C27" s="141"/>
      <c r="D27" s="145"/>
    </row>
    <row r="28" spans="1:4" x14ac:dyDescent="0.2">
      <c r="A28" s="22" t="s">
        <v>8</v>
      </c>
      <c r="B28" s="33" t="s">
        <v>21</v>
      </c>
      <c r="C28" s="34">
        <f>[19]С1.1!E16</f>
        <v>5100</v>
      </c>
      <c r="D28" s="122">
        <f>[19]С1.1!F16</f>
        <v>0</v>
      </c>
    </row>
    <row r="29" spans="1:4" ht="42.75" x14ac:dyDescent="0.2">
      <c r="A29" s="22" t="s">
        <v>10</v>
      </c>
      <c r="B29" s="33" t="s">
        <v>22</v>
      </c>
      <c r="C29" s="34">
        <f>[19]С1.1!E27</f>
        <v>4000.0166666666673</v>
      </c>
      <c r="D29" s="122">
        <f>IF([19]С1.1!E23=[19]С1.1!I9,[19]С1.1!F24,IF([19]С1.1!E23=[19]С1.1!I10,[19]С1.1!I10,IF([19]С1.1!E23=[19]С1.1!I11,[19]С1.3!G9,IF([19]С1.1!E23=[19]С1.1!I12,[19]С1.1!F25,IF([19]С1.1!E23=[19]С1.1!I13,[19]С1.1!F26,"")))))</f>
        <v>0</v>
      </c>
    </row>
    <row r="30" spans="1:4" ht="267.75" x14ac:dyDescent="0.2">
      <c r="A30" s="22" t="s">
        <v>12</v>
      </c>
      <c r="B30" s="33" t="s">
        <v>23</v>
      </c>
      <c r="C30" s="35">
        <f>[19]С1.1!E19</f>
        <v>1.4E-2</v>
      </c>
      <c r="D30" s="122" t="str">
        <f>[19]С1.1!F19</f>
        <v xml:space="preserve">Прогноз социально-экономического развития Российской Федерации на 2023 год и на плановый период 2024 и 2025 годов (размещен на официальном сайте Министерства экономического развития Российской Федерации (далее -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
    </row>
    <row r="31" spans="1:4" ht="229.5" x14ac:dyDescent="0.2">
      <c r="A31" s="22" t="s">
        <v>14</v>
      </c>
      <c r="B31" s="33" t="s">
        <v>24</v>
      </c>
      <c r="C31" s="35">
        <f>[19]С1.1!E20</f>
        <v>0.04</v>
      </c>
      <c r="D31" s="122" t="str">
        <f>[19]С1.1!F20</f>
        <v xml:space="preserve">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"Добыча полезных ископаемых (Раздел B)", строка "Добыча угля (05)", (показатель "ИЦП") </v>
      </c>
    </row>
    <row r="32" spans="1:4" ht="30" x14ac:dyDescent="0.2">
      <c r="A32" s="22" t="s">
        <v>16</v>
      </c>
      <c r="B32" s="36" t="s">
        <v>25</v>
      </c>
      <c r="C32" s="37">
        <f>[19]С1!F13</f>
        <v>176.4</v>
      </c>
      <c r="D32" s="123" t="s">
        <v>228</v>
      </c>
    </row>
    <row r="33" spans="1:4" x14ac:dyDescent="0.2">
      <c r="A33" s="22" t="s">
        <v>18</v>
      </c>
      <c r="B33" s="36" t="s">
        <v>26</v>
      </c>
      <c r="C33" s="38">
        <f>[19]С1!F16</f>
        <v>7000</v>
      </c>
      <c r="D33" s="124" t="s">
        <v>229</v>
      </c>
    </row>
    <row r="34" spans="1:4" ht="14.25" x14ac:dyDescent="0.2">
      <c r="A34" s="22" t="s">
        <v>27</v>
      </c>
      <c r="B34" s="39" t="s">
        <v>28</v>
      </c>
      <c r="C34" s="40">
        <f>[19]С1!F17</f>
        <v>0.72857142857142854</v>
      </c>
      <c r="D34" s="122"/>
    </row>
    <row r="35" spans="1:4" ht="15.75" x14ac:dyDescent="0.2">
      <c r="A35" s="41" t="s">
        <v>29</v>
      </c>
      <c r="B35" s="42" t="s">
        <v>30</v>
      </c>
      <c r="C35" s="40">
        <f>[19]С1!F20</f>
        <v>21.588411179999994</v>
      </c>
      <c r="D35" s="122"/>
    </row>
    <row r="36" spans="1:4" ht="15.75" x14ac:dyDescent="0.2">
      <c r="A36" s="41" t="s">
        <v>31</v>
      </c>
      <c r="B36" s="43" t="s">
        <v>32</v>
      </c>
      <c r="C36" s="40">
        <f>[19]С1!F21</f>
        <v>20.818139999999996</v>
      </c>
      <c r="D36" s="122"/>
    </row>
    <row r="37" spans="1:4" ht="14.25" x14ac:dyDescent="0.2">
      <c r="A37" s="41" t="s">
        <v>33</v>
      </c>
      <c r="B37" s="44" t="s">
        <v>34</v>
      </c>
      <c r="C37" s="40">
        <f>[19]С1!F22</f>
        <v>1.0369999999999999</v>
      </c>
      <c r="D37" s="122" t="s">
        <v>230</v>
      </c>
    </row>
    <row r="38" spans="1:4" ht="53.25" thickBot="1" x14ac:dyDescent="0.25">
      <c r="A38" s="27" t="s">
        <v>35</v>
      </c>
      <c r="B38" s="45" t="s">
        <v>36</v>
      </c>
      <c r="C38" s="46">
        <f>[19]С1!F23</f>
        <v>1.0469999999999999</v>
      </c>
      <c r="D38" s="125" t="s">
        <v>231</v>
      </c>
    </row>
    <row r="39" spans="1:4" ht="13.5" thickBot="1" x14ac:dyDescent="0.25">
      <c r="A39" s="47"/>
      <c r="B39" s="48"/>
      <c r="C39" s="49"/>
      <c r="D39" s="126"/>
    </row>
    <row r="40" spans="1:4" ht="30" customHeight="1" x14ac:dyDescent="0.2">
      <c r="A40" s="50" t="s">
        <v>37</v>
      </c>
      <c r="B40" s="136" t="s">
        <v>38</v>
      </c>
      <c r="C40" s="136"/>
      <c r="D40" s="142"/>
    </row>
    <row r="41" spans="1:4" ht="25.5" x14ac:dyDescent="0.2">
      <c r="A41" s="22" t="s">
        <v>39</v>
      </c>
      <c r="B41" s="36" t="s">
        <v>40</v>
      </c>
      <c r="C41" s="51" t="str">
        <f>[19]С2.1!E12</f>
        <v>V</v>
      </c>
      <c r="D41" s="122" t="s">
        <v>232</v>
      </c>
    </row>
    <row r="42" spans="1:4" ht="242.25" x14ac:dyDescent="0.2">
      <c r="A42" s="22" t="s">
        <v>41</v>
      </c>
      <c r="B42" s="33" t="s">
        <v>42</v>
      </c>
      <c r="C42" s="51" t="str">
        <f>[19]С2.1!E13</f>
        <v>6 и менее баллов</v>
      </c>
      <c r="D42" s="122" t="str">
        <f>[19]С2.1!F13</f>
        <v xml:space="preserve"> Приложение А (обязательное) "Общее сейсмическое районирование территории Российской Федерации ОСР-2015. Список населенных пунктов Российской Федерации, расположенных в сейсмических районах, с указанием расчетной сейсмической интенсивности в баллах шкалы MSK-64 для средних грунтовых условий и трех степеней сейсмической опасности - A (10%), B (5%), C (1%) в течение 50 лет" к своду правил "СП 14.13330.2018 Строительство в сейсмических районах. Актуализир. редакция СНиП II-7-81".</v>
      </c>
    </row>
    <row r="43" spans="1:4" ht="165.75" x14ac:dyDescent="0.2">
      <c r="A43" s="22" t="s">
        <v>43</v>
      </c>
      <c r="B43" s="33" t="s">
        <v>44</v>
      </c>
      <c r="C43" s="51" t="str">
        <f>[19]С2.1!E14</f>
        <v>от 200 до 500</v>
      </c>
      <c r="D43" s="122" t="str">
        <f>[19]С2.1!F14</f>
        <v>Карта Российской Федерации в масштабе, позволяющем определить расстояние на транспортировку основных средств котельной, определяется как расстояние от границы системы теплоснабжения до границы ближайшего административного центра субъекта РФ с железнодорожным сообщением</v>
      </c>
    </row>
    <row r="44" spans="1:4" ht="25.5" x14ac:dyDescent="0.2">
      <c r="A44" s="22" t="s">
        <v>45</v>
      </c>
      <c r="B44" s="33" t="s">
        <v>46</v>
      </c>
      <c r="C44" s="52" t="str">
        <f>[19]С2.1!E15</f>
        <v>нет</v>
      </c>
      <c r="D44" s="122">
        <f>[19]С2.1!F15</f>
        <v>0</v>
      </c>
    </row>
    <row r="45" spans="1:4" ht="30" x14ac:dyDescent="0.2">
      <c r="A45" s="22" t="s">
        <v>47</v>
      </c>
      <c r="B45" s="33" t="s">
        <v>48</v>
      </c>
      <c r="C45" s="34">
        <f>[19]С2!F18</f>
        <v>38910.02669467502</v>
      </c>
      <c r="D45" s="123"/>
    </row>
    <row r="46" spans="1:4" ht="30" x14ac:dyDescent="0.2">
      <c r="A46" s="22" t="s">
        <v>49</v>
      </c>
      <c r="B46" s="53" t="s">
        <v>50</v>
      </c>
      <c r="C46" s="34">
        <f>IF([19]С2!F19&gt;0,[19]С2!F19,[19]С2!F20)</f>
        <v>23441.524932855718</v>
      </c>
      <c r="D46" s="122"/>
    </row>
    <row r="47" spans="1:4" ht="38.25" x14ac:dyDescent="0.2">
      <c r="A47" s="22" t="s">
        <v>51</v>
      </c>
      <c r="B47" s="54" t="s">
        <v>52</v>
      </c>
      <c r="C47" s="34">
        <f>[19]С2.1!E19</f>
        <v>-38</v>
      </c>
      <c r="D47" s="122" t="str">
        <f>CONCATENATE([19]С2.1!F19,"  ",[19]С2.1!F20)</f>
        <v xml:space="preserve">Схема теплоснабжения (расчетная температура наружного воздуха)  </v>
      </c>
    </row>
    <row r="48" spans="1:4" ht="25.5" x14ac:dyDescent="0.2">
      <c r="A48" s="22" t="s">
        <v>53</v>
      </c>
      <c r="B48" s="54" t="s">
        <v>54</v>
      </c>
      <c r="C48" s="34" t="str">
        <f>[19]С2.1!E22</f>
        <v>нет</v>
      </c>
      <c r="D48" s="127">
        <f>[19]С2.1!F22</f>
        <v>0</v>
      </c>
    </row>
    <row r="49" spans="1:4" ht="38.25" x14ac:dyDescent="0.2">
      <c r="A49" s="22" t="s">
        <v>55</v>
      </c>
      <c r="B49" s="55" t="s">
        <v>56</v>
      </c>
      <c r="C49" s="34">
        <f>[19]С2.2!E10</f>
        <v>1287</v>
      </c>
      <c r="D49" s="122" t="s">
        <v>233</v>
      </c>
    </row>
    <row r="50" spans="1:4" ht="25.5" x14ac:dyDescent="0.2">
      <c r="A50" s="22" t="s">
        <v>57</v>
      </c>
      <c r="B50" s="56" t="s">
        <v>58</v>
      </c>
      <c r="C50" s="34">
        <f>[19]С2.2!E12</f>
        <v>5.97</v>
      </c>
      <c r="D50" s="122" t="s">
        <v>234</v>
      </c>
    </row>
    <row r="51" spans="1:4" ht="52.5" x14ac:dyDescent="0.2">
      <c r="A51" s="22" t="s">
        <v>59</v>
      </c>
      <c r="B51" s="57" t="s">
        <v>60</v>
      </c>
      <c r="C51" s="34">
        <f>[19]С2.2!E13</f>
        <v>1</v>
      </c>
      <c r="D51" s="124" t="s">
        <v>229</v>
      </c>
    </row>
    <row r="52" spans="1:4" ht="27.75" x14ac:dyDescent="0.2">
      <c r="A52" s="22" t="s">
        <v>61</v>
      </c>
      <c r="B52" s="56" t="s">
        <v>62</v>
      </c>
      <c r="C52" s="34">
        <f>[19]С2.2!E14</f>
        <v>12104</v>
      </c>
      <c r="D52" s="122" t="s">
        <v>233</v>
      </c>
    </row>
    <row r="53" spans="1:4" ht="63.75" x14ac:dyDescent="0.2">
      <c r="A53" s="22" t="s">
        <v>63</v>
      </c>
      <c r="B53" s="57" t="s">
        <v>64</v>
      </c>
      <c r="C53" s="35">
        <f>[19]С2.2!E15</f>
        <v>4.8000000000000001E-2</v>
      </c>
      <c r="D53" s="122" t="s">
        <v>235</v>
      </c>
    </row>
    <row r="54" spans="1:4" ht="76.5" x14ac:dyDescent="0.2">
      <c r="A54" s="22" t="s">
        <v>65</v>
      </c>
      <c r="B54" s="57" t="s">
        <v>66</v>
      </c>
      <c r="C54" s="34">
        <f>[19]С2.2!E16</f>
        <v>1</v>
      </c>
      <c r="D54" s="122" t="s">
        <v>236</v>
      </c>
    </row>
    <row r="55" spans="1:4" ht="15.75" x14ac:dyDescent="0.2">
      <c r="A55" s="22" t="s">
        <v>67</v>
      </c>
      <c r="B55" s="58" t="s">
        <v>68</v>
      </c>
      <c r="C55" s="34">
        <f>[19]С2!F21</f>
        <v>1</v>
      </c>
      <c r="D55" s="123" t="s">
        <v>237</v>
      </c>
    </row>
    <row r="56" spans="1:4" ht="30" x14ac:dyDescent="0.2">
      <c r="A56" s="59" t="s">
        <v>69</v>
      </c>
      <c r="B56" s="33" t="s">
        <v>70</v>
      </c>
      <c r="C56" s="34">
        <f>[19]С2!F13</f>
        <v>203708.97017230222</v>
      </c>
      <c r="D56" s="123"/>
    </row>
    <row r="57" spans="1:4" ht="30" x14ac:dyDescent="0.2">
      <c r="A57" s="59" t="s">
        <v>71</v>
      </c>
      <c r="B57" s="58" t="s">
        <v>72</v>
      </c>
      <c r="C57" s="34">
        <f>[19]С2!F14</f>
        <v>113455</v>
      </c>
      <c r="D57" s="123" t="s">
        <v>228</v>
      </c>
    </row>
    <row r="58" spans="1:4" ht="15.75" x14ac:dyDescent="0.2">
      <c r="A58" s="59" t="s">
        <v>73</v>
      </c>
      <c r="B58" s="60" t="s">
        <v>74</v>
      </c>
      <c r="C58" s="40">
        <f>[19]С2!F15</f>
        <v>1.071</v>
      </c>
      <c r="D58" s="123" t="s">
        <v>238</v>
      </c>
    </row>
    <row r="59" spans="1:4" ht="15.75" x14ac:dyDescent="0.2">
      <c r="A59" s="59" t="s">
        <v>75</v>
      </c>
      <c r="B59" s="60" t="s">
        <v>76</v>
      </c>
      <c r="C59" s="40">
        <f>[19]С2!F16</f>
        <v>1</v>
      </c>
      <c r="D59" s="123" t="s">
        <v>237</v>
      </c>
    </row>
    <row r="60" spans="1:4" ht="17.25" x14ac:dyDescent="0.2">
      <c r="A60" s="59" t="s">
        <v>77</v>
      </c>
      <c r="B60" s="58" t="s">
        <v>78</v>
      </c>
      <c r="C60" s="34">
        <f>[19]С2!F17</f>
        <v>1.01</v>
      </c>
      <c r="D60" s="123" t="s">
        <v>239</v>
      </c>
    </row>
    <row r="61" spans="1:4" s="63" customFormat="1" ht="14.25" x14ac:dyDescent="0.2">
      <c r="A61" s="59" t="s">
        <v>79</v>
      </c>
      <c r="B61" s="61" t="s">
        <v>80</v>
      </c>
      <c r="C61" s="62">
        <f>[19]С2!F33</f>
        <v>10</v>
      </c>
      <c r="D61" s="123" t="s">
        <v>240</v>
      </c>
    </row>
    <row r="62" spans="1:4" ht="30" x14ac:dyDescent="0.2">
      <c r="A62" s="59" t="s">
        <v>81</v>
      </c>
      <c r="B62" s="64" t="s">
        <v>82</v>
      </c>
      <c r="C62" s="34">
        <f>[19]С2!F26</f>
        <v>1349.309862285194</v>
      </c>
      <c r="D62" s="123"/>
    </row>
    <row r="63" spans="1:4" ht="165.75" x14ac:dyDescent="0.2">
      <c r="A63" s="59" t="s">
        <v>83</v>
      </c>
      <c r="B63" s="53" t="s">
        <v>84</v>
      </c>
      <c r="C63" s="34">
        <f>[19]С2!F27</f>
        <v>0.19354712999999998</v>
      </c>
      <c r="D63" s="122" t="str">
        <f>[19]С2.4!F12</f>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
    </row>
    <row r="64" spans="1:4" ht="17.25" x14ac:dyDescent="0.2">
      <c r="A64" s="59" t="s">
        <v>85</v>
      </c>
      <c r="B64" s="58" t="s">
        <v>86</v>
      </c>
      <c r="C64" s="62">
        <f>[19]С2!F28</f>
        <v>4200</v>
      </c>
      <c r="D64" s="123" t="s">
        <v>228</v>
      </c>
    </row>
    <row r="65" spans="1:4" ht="42.75" x14ac:dyDescent="0.2">
      <c r="A65" s="59" t="s">
        <v>87</v>
      </c>
      <c r="B65" s="33" t="s">
        <v>88</v>
      </c>
      <c r="C65" s="34">
        <f>[19]С2!F22</f>
        <v>42890.921752741691</v>
      </c>
      <c r="D65" s="123"/>
    </row>
    <row r="66" spans="1:4" ht="30" x14ac:dyDescent="0.2">
      <c r="A66" s="59" t="s">
        <v>89</v>
      </c>
      <c r="B66" s="60" t="s">
        <v>90</v>
      </c>
      <c r="C66" s="34">
        <f>[19]С2!F23</f>
        <v>1990</v>
      </c>
      <c r="D66" s="122" t="s">
        <v>241</v>
      </c>
    </row>
    <row r="67" spans="1:4" ht="30" x14ac:dyDescent="0.2">
      <c r="A67" s="59" t="s">
        <v>91</v>
      </c>
      <c r="B67" s="53" t="s">
        <v>92</v>
      </c>
      <c r="C67" s="34">
        <f>[19]С2.1!E27</f>
        <v>14307.876789999998</v>
      </c>
      <c r="D67" s="123"/>
    </row>
    <row r="68" spans="1:4" ht="38.25" x14ac:dyDescent="0.2">
      <c r="A68" s="59" t="s">
        <v>93</v>
      </c>
      <c r="B68" s="65" t="s">
        <v>94</v>
      </c>
      <c r="C68" s="52">
        <f>[19]С2.3!E21</f>
        <v>0</v>
      </c>
      <c r="D68" s="122">
        <f>[19]С2.3!F21</f>
        <v>0</v>
      </c>
    </row>
    <row r="69" spans="1:4" ht="25.5" x14ac:dyDescent="0.2">
      <c r="A69" s="59" t="s">
        <v>95</v>
      </c>
      <c r="B69" s="66" t="s">
        <v>96</v>
      </c>
      <c r="C69" s="67">
        <f>[19]С2.3!E11</f>
        <v>9.89</v>
      </c>
      <c r="D69" s="123" t="s">
        <v>242</v>
      </c>
    </row>
    <row r="70" spans="1:4" ht="25.5" x14ac:dyDescent="0.2">
      <c r="A70" s="59" t="s">
        <v>97</v>
      </c>
      <c r="B70" s="66" t="s">
        <v>98</v>
      </c>
      <c r="C70" s="62">
        <f>[19]С2.3!E13</f>
        <v>300</v>
      </c>
      <c r="D70" s="123" t="s">
        <v>242</v>
      </c>
    </row>
    <row r="71" spans="1:4" ht="25.5" x14ac:dyDescent="0.2">
      <c r="A71" s="59" t="s">
        <v>99</v>
      </c>
      <c r="B71" s="65" t="s">
        <v>100</v>
      </c>
      <c r="C71" s="68">
        <f>IF([19]С2.3!E22&gt;0,[19]С2.3!E22,[19]С2.3!E14)</f>
        <v>61211</v>
      </c>
      <c r="D71" s="122" t="str">
        <f>IF(C71=[19]С2.3!E14,"Таблица ТЭП (IV)",[19]С2.3!F22)</f>
        <v>Таблица ТЭП (IV)</v>
      </c>
    </row>
    <row r="72" spans="1:4" ht="38.25" x14ac:dyDescent="0.2">
      <c r="A72" s="59" t="s">
        <v>101</v>
      </c>
      <c r="B72" s="65" t="s">
        <v>102</v>
      </c>
      <c r="C72" s="68">
        <f>IF([19]С2.3!E23&gt;0,[19]С2.3!E23,[19]С2.3!E15)</f>
        <v>45675</v>
      </c>
      <c r="D72" s="122" t="str">
        <f>IF(C72=[19]С2.3!E15,"Таблица ТЭП (IV)",[19]С2.3!F23)</f>
        <v>Таблица ТЭП (IV)</v>
      </c>
    </row>
    <row r="73" spans="1:4" ht="30" x14ac:dyDescent="0.2">
      <c r="A73" s="59" t="s">
        <v>103</v>
      </c>
      <c r="B73" s="53" t="s">
        <v>104</v>
      </c>
      <c r="C73" s="34">
        <f>[19]С2.1!E28</f>
        <v>9541.9567200000001</v>
      </c>
      <c r="D73" s="123"/>
    </row>
    <row r="74" spans="1:4" ht="38.25" x14ac:dyDescent="0.2">
      <c r="A74" s="59" t="s">
        <v>105</v>
      </c>
      <c r="B74" s="65" t="s">
        <v>106</v>
      </c>
      <c r="C74" s="52">
        <f>[19]С2.3!E25</f>
        <v>0</v>
      </c>
      <c r="D74" s="122">
        <f>[19]С2.3!F25</f>
        <v>0</v>
      </c>
    </row>
    <row r="75" spans="1:4" ht="25.5" x14ac:dyDescent="0.2">
      <c r="A75" s="59" t="s">
        <v>107</v>
      </c>
      <c r="B75" s="66" t="s">
        <v>108</v>
      </c>
      <c r="C75" s="67">
        <f>[19]С2.3!E12</f>
        <v>0.56000000000000005</v>
      </c>
      <c r="D75" s="123" t="s">
        <v>242</v>
      </c>
    </row>
    <row r="76" spans="1:4" ht="25.5" x14ac:dyDescent="0.2">
      <c r="A76" s="59" t="s">
        <v>109</v>
      </c>
      <c r="B76" s="66" t="s">
        <v>98</v>
      </c>
      <c r="C76" s="62">
        <f>[19]С2.3!E13</f>
        <v>300</v>
      </c>
      <c r="D76" s="123" t="s">
        <v>242</v>
      </c>
    </row>
    <row r="77" spans="1:4" ht="25.5" x14ac:dyDescent="0.2">
      <c r="A77" s="59" t="s">
        <v>110</v>
      </c>
      <c r="B77" s="69" t="s">
        <v>111</v>
      </c>
      <c r="C77" s="68">
        <f>IF([19]С2.3!E26&gt;0,[19]С2.3!E26,[19]С2.3!E16)</f>
        <v>65637</v>
      </c>
      <c r="D77" s="122" t="str">
        <f>IF(C77=[19]С2.3!E16,"Таблица ТЭП (IV)",[19]С2.3!F26)</f>
        <v>Таблица ТЭП (IV)</v>
      </c>
    </row>
    <row r="78" spans="1:4" ht="38.25" x14ac:dyDescent="0.2">
      <c r="A78" s="59" t="s">
        <v>112</v>
      </c>
      <c r="B78" s="69" t="s">
        <v>113</v>
      </c>
      <c r="C78" s="68">
        <f>IF([19]С2.3!E27&gt;0,[19]С2.3!E27,[19]С2.3!E17)</f>
        <v>31684</v>
      </c>
      <c r="D78" s="122" t="str">
        <f>IF(C78=[19]С2.3!E17,"Таблица ТЭП (IV)",[19]С2.3!F27)</f>
        <v>Таблица ТЭП (IV)</v>
      </c>
    </row>
    <row r="79" spans="1:4" ht="17.25" x14ac:dyDescent="0.2">
      <c r="A79" s="59" t="s">
        <v>114</v>
      </c>
      <c r="B79" s="33" t="s">
        <v>115</v>
      </c>
      <c r="C79" s="35">
        <f>[19]С2!F29</f>
        <v>0.17804631770487722</v>
      </c>
      <c r="D79" s="128"/>
    </row>
    <row r="80" spans="1:4" ht="30" x14ac:dyDescent="0.2">
      <c r="A80" s="59" t="s">
        <v>116</v>
      </c>
      <c r="B80" s="53" t="s">
        <v>117</v>
      </c>
      <c r="C80" s="70">
        <f>[19]С2!F30</f>
        <v>0.1652189781021898</v>
      </c>
      <c r="D80" s="129" t="str">
        <f>[19]С2.6!G11</f>
        <v>Информация с официального сайта Банка России</v>
      </c>
    </row>
    <row r="81" spans="1:4" ht="17.25" x14ac:dyDescent="0.2">
      <c r="A81" s="59" t="s">
        <v>118</v>
      </c>
      <c r="B81" s="71" t="s">
        <v>119</v>
      </c>
      <c r="C81" s="35">
        <f>[19]С2!F31</f>
        <v>0.13880000000000001</v>
      </c>
      <c r="D81" s="123" t="s">
        <v>240</v>
      </c>
    </row>
    <row r="82" spans="1:4" s="63" customFormat="1" ht="18" thickBot="1" x14ac:dyDescent="0.25">
      <c r="A82" s="72" t="s">
        <v>120</v>
      </c>
      <c r="B82" s="73" t="s">
        <v>121</v>
      </c>
      <c r="C82" s="74">
        <f>[19]С2!F32</f>
        <v>0.12640000000000001</v>
      </c>
      <c r="D82" s="130" t="s">
        <v>240</v>
      </c>
    </row>
    <row r="83" spans="1:4" ht="13.5" thickBot="1" x14ac:dyDescent="0.25">
      <c r="A83" s="47"/>
      <c r="B83" s="75"/>
      <c r="C83" s="15"/>
      <c r="D83" s="131"/>
    </row>
    <row r="84" spans="1:4" s="63" customFormat="1" ht="30" customHeight="1" x14ac:dyDescent="0.2">
      <c r="A84" s="76" t="s">
        <v>122</v>
      </c>
      <c r="B84" s="136" t="s">
        <v>123</v>
      </c>
      <c r="C84" s="136"/>
      <c r="D84" s="142"/>
    </row>
    <row r="85" spans="1:4" s="63" customFormat="1" ht="30" x14ac:dyDescent="0.2">
      <c r="A85" s="77" t="s">
        <v>124</v>
      </c>
      <c r="B85" s="33" t="s">
        <v>125</v>
      </c>
      <c r="C85" s="34">
        <f>[19]С3!F14</f>
        <v>14784.578474435859</v>
      </c>
      <c r="D85" s="122"/>
    </row>
    <row r="86" spans="1:4" s="63" customFormat="1" ht="42.75" x14ac:dyDescent="0.2">
      <c r="A86" s="77" t="s">
        <v>126</v>
      </c>
      <c r="B86" s="53" t="s">
        <v>127</v>
      </c>
      <c r="C86" s="78">
        <f>[19]С3!F15</f>
        <v>0.25</v>
      </c>
      <c r="D86" s="122">
        <f>[19]С3.1!F12</f>
        <v>0</v>
      </c>
    </row>
    <row r="87" spans="1:4" s="63" customFormat="1" ht="14.25" x14ac:dyDescent="0.2">
      <c r="A87" s="77" t="s">
        <v>128</v>
      </c>
      <c r="B87" s="79" t="s">
        <v>129</v>
      </c>
      <c r="C87" s="62">
        <f>[19]С3!F18</f>
        <v>15</v>
      </c>
      <c r="D87" s="122" t="s">
        <v>240</v>
      </c>
    </row>
    <row r="88" spans="1:4" s="63" customFormat="1" ht="17.25" x14ac:dyDescent="0.2">
      <c r="A88" s="77" t="s">
        <v>130</v>
      </c>
      <c r="B88" s="33" t="s">
        <v>131</v>
      </c>
      <c r="C88" s="34">
        <f>[19]С3!F19</f>
        <v>4187.478806422544</v>
      </c>
      <c r="D88" s="122"/>
    </row>
    <row r="89" spans="1:4" s="63" customFormat="1" ht="55.5" x14ac:dyDescent="0.2">
      <c r="A89" s="77" t="s">
        <v>132</v>
      </c>
      <c r="B89" s="53" t="s">
        <v>133</v>
      </c>
      <c r="C89" s="80">
        <f>[19]С3!F20</f>
        <v>2.1999999999999999E-2</v>
      </c>
      <c r="D89" s="122">
        <f>[19]С3.1!F13</f>
        <v>0</v>
      </c>
    </row>
    <row r="90" spans="1:4" s="63" customFormat="1" ht="14.25" x14ac:dyDescent="0.2">
      <c r="A90" s="77" t="s">
        <v>134</v>
      </c>
      <c r="B90" s="58" t="s">
        <v>80</v>
      </c>
      <c r="C90" s="62">
        <f>[19]С3!F21</f>
        <v>10</v>
      </c>
      <c r="D90" s="122" t="s">
        <v>240</v>
      </c>
    </row>
    <row r="91" spans="1:4" s="63" customFormat="1" ht="17.25" x14ac:dyDescent="0.2">
      <c r="A91" s="77" t="s">
        <v>135</v>
      </c>
      <c r="B91" s="33" t="s">
        <v>136</v>
      </c>
      <c r="C91" s="34">
        <f>[19]С3!F22</f>
        <v>4.0479295868555818</v>
      </c>
      <c r="D91" s="122"/>
    </row>
    <row r="92" spans="1:4" s="63" customFormat="1" ht="55.5" x14ac:dyDescent="0.2">
      <c r="A92" s="77" t="s">
        <v>137</v>
      </c>
      <c r="B92" s="53" t="s">
        <v>138</v>
      </c>
      <c r="C92" s="80">
        <f>[19]С3!F23</f>
        <v>3.0000000000000001E-3</v>
      </c>
      <c r="D92" s="122">
        <f>[19]С3.1!F14</f>
        <v>0</v>
      </c>
    </row>
    <row r="93" spans="1:4" s="63" customFormat="1" ht="27.75" thickBot="1" x14ac:dyDescent="0.25">
      <c r="A93" s="81" t="s">
        <v>139</v>
      </c>
      <c r="B93" s="82" t="s">
        <v>140</v>
      </c>
      <c r="C93" s="83">
        <f>[19]С3!F24</f>
        <v>1349.309862285194</v>
      </c>
      <c r="D93" s="125"/>
    </row>
    <row r="94" spans="1:4" ht="13.5" thickBot="1" x14ac:dyDescent="0.25">
      <c r="A94" s="47"/>
      <c r="B94" s="75"/>
      <c r="C94" s="15"/>
      <c r="D94" s="131"/>
    </row>
    <row r="95" spans="1:4" ht="30" customHeight="1" x14ac:dyDescent="0.2">
      <c r="A95" s="84" t="s">
        <v>141</v>
      </c>
      <c r="B95" s="136" t="s">
        <v>142</v>
      </c>
      <c r="C95" s="136"/>
      <c r="D95" s="142"/>
    </row>
    <row r="96" spans="1:4" ht="30" x14ac:dyDescent="0.2">
      <c r="A96" s="59" t="s">
        <v>143</v>
      </c>
      <c r="B96" s="33" t="s">
        <v>144</v>
      </c>
      <c r="C96" s="34">
        <f>[19]С4!F16</f>
        <v>1652.5</v>
      </c>
      <c r="D96" s="122"/>
    </row>
    <row r="97" spans="1:4" ht="30" x14ac:dyDescent="0.2">
      <c r="A97" s="59" t="s">
        <v>145</v>
      </c>
      <c r="B97" s="58" t="s">
        <v>146</v>
      </c>
      <c r="C97" s="34">
        <f>[19]С4!F17</f>
        <v>73547</v>
      </c>
      <c r="D97" s="122" t="s">
        <v>228</v>
      </c>
    </row>
    <row r="98" spans="1:4" ht="17.25" x14ac:dyDescent="0.2">
      <c r="A98" s="59" t="s">
        <v>147</v>
      </c>
      <c r="B98" s="58" t="s">
        <v>148</v>
      </c>
      <c r="C98" s="40">
        <f>[19]С4!F18</f>
        <v>0.02</v>
      </c>
      <c r="D98" s="122" t="s">
        <v>228</v>
      </c>
    </row>
    <row r="99" spans="1:4" ht="30" x14ac:dyDescent="0.2">
      <c r="A99" s="59" t="s">
        <v>149</v>
      </c>
      <c r="B99" s="58" t="s">
        <v>150</v>
      </c>
      <c r="C99" s="34">
        <f>[19]С4!F19</f>
        <v>12104</v>
      </c>
      <c r="D99" s="122" t="s">
        <v>243</v>
      </c>
    </row>
    <row r="100" spans="1:4" ht="31.5" x14ac:dyDescent="0.2">
      <c r="A100" s="59" t="s">
        <v>151</v>
      </c>
      <c r="B100" s="58" t="s">
        <v>152</v>
      </c>
      <c r="C100" s="40">
        <f>[19]С4!F20</f>
        <v>1.4999999999999999E-2</v>
      </c>
      <c r="D100" s="122" t="s">
        <v>243</v>
      </c>
    </row>
    <row r="101" spans="1:4" ht="30" x14ac:dyDescent="0.2">
      <c r="A101" s="59" t="s">
        <v>153</v>
      </c>
      <c r="B101" s="33" t="s">
        <v>154</v>
      </c>
      <c r="C101" s="34">
        <f>[19]С4!F21</f>
        <v>1933.1949342509995</v>
      </c>
      <c r="D101" s="122"/>
    </row>
    <row r="102" spans="1:4" ht="24" customHeight="1" x14ac:dyDescent="0.2">
      <c r="A102" s="59" t="s">
        <v>155</v>
      </c>
      <c r="B102" s="53" t="s">
        <v>156</v>
      </c>
      <c r="C102" s="85">
        <f>IF([19]С4.2!F8="да",[19]С4.2!D21,[19]С4.2!D15)</f>
        <v>0</v>
      </c>
      <c r="D102" s="122"/>
    </row>
    <row r="103" spans="1:4" ht="68.25" x14ac:dyDescent="0.2">
      <c r="A103" s="59" t="s">
        <v>157</v>
      </c>
      <c r="B103" s="53" t="s">
        <v>158</v>
      </c>
      <c r="C103" s="34">
        <f>[19]С4!F22</f>
        <v>3.6112641666666665</v>
      </c>
      <c r="D103" s="122">
        <f>IF([19]С4.2!F8="да",[19]С4.2!E21,[19]С4.2!E15)</f>
        <v>0</v>
      </c>
    </row>
    <row r="104" spans="1:4" ht="30" x14ac:dyDescent="0.2">
      <c r="A104" s="59" t="s">
        <v>159</v>
      </c>
      <c r="B104" s="58" t="s">
        <v>160</v>
      </c>
      <c r="C104" s="34">
        <f>[19]С4!F23</f>
        <v>180</v>
      </c>
      <c r="D104" s="122" t="s">
        <v>241</v>
      </c>
    </row>
    <row r="105" spans="1:4" ht="14.25" x14ac:dyDescent="0.2">
      <c r="A105" s="59" t="s">
        <v>161</v>
      </c>
      <c r="B105" s="53" t="s">
        <v>162</v>
      </c>
      <c r="C105" s="34">
        <f>[19]С4!F24</f>
        <v>8497.1999999999989</v>
      </c>
      <c r="D105" s="122" t="s">
        <v>228</v>
      </c>
    </row>
    <row r="106" spans="1:4" ht="14.25" x14ac:dyDescent="0.2">
      <c r="A106" s="59" t="s">
        <v>163</v>
      </c>
      <c r="B106" s="58" t="s">
        <v>164</v>
      </c>
      <c r="C106" s="40">
        <f>[19]С4!F25</f>
        <v>0.35</v>
      </c>
      <c r="D106" s="122" t="s">
        <v>244</v>
      </c>
    </row>
    <row r="107" spans="1:4" ht="17.25" x14ac:dyDescent="0.2">
      <c r="A107" s="59" t="s">
        <v>165</v>
      </c>
      <c r="B107" s="33" t="s">
        <v>166</v>
      </c>
      <c r="C107" s="34">
        <f>[19]С4!F26</f>
        <v>71.947625000000002</v>
      </c>
      <c r="D107" s="122"/>
    </row>
    <row r="108" spans="1:4" ht="25.5" x14ac:dyDescent="0.2">
      <c r="A108" s="59" t="s">
        <v>167</v>
      </c>
      <c r="B108" s="53" t="s">
        <v>94</v>
      </c>
      <c r="C108" s="85">
        <f>[19]С4.3!E16</f>
        <v>0</v>
      </c>
      <c r="D108" s="122">
        <f>[19]С4.3!F16</f>
        <v>0</v>
      </c>
    </row>
    <row r="109" spans="1:4" ht="25.5" x14ac:dyDescent="0.2">
      <c r="A109" s="59" t="s">
        <v>168</v>
      </c>
      <c r="B109" s="53" t="s">
        <v>169</v>
      </c>
      <c r="C109" s="34">
        <f>[19]С4.3!E17</f>
        <v>19.141666666666666</v>
      </c>
      <c r="D109" s="127">
        <f>[19]С4.3!F17</f>
        <v>0</v>
      </c>
    </row>
    <row r="110" spans="1:4" ht="38.25" x14ac:dyDescent="0.2">
      <c r="A110" s="59" t="s">
        <v>170</v>
      </c>
      <c r="B110" s="53" t="s">
        <v>106</v>
      </c>
      <c r="C110" s="85">
        <f>[19]С4.3!E18</f>
        <v>0</v>
      </c>
      <c r="D110" s="122">
        <f>[19]С4.3!F18</f>
        <v>0</v>
      </c>
    </row>
    <row r="111" spans="1:4" x14ac:dyDescent="0.2">
      <c r="A111" s="59" t="s">
        <v>171</v>
      </c>
      <c r="B111" s="53" t="s">
        <v>172</v>
      </c>
      <c r="C111" s="34">
        <f>[19]С4.3!E19</f>
        <v>23.616666666666667</v>
      </c>
      <c r="D111" s="127">
        <f>[19]С4.3!F19</f>
        <v>0</v>
      </c>
    </row>
    <row r="112" spans="1:4" x14ac:dyDescent="0.2">
      <c r="A112" s="59" t="s">
        <v>173</v>
      </c>
      <c r="B112" s="58" t="s">
        <v>174</v>
      </c>
      <c r="C112" s="34">
        <f>[19]С4.3!E11</f>
        <v>1871</v>
      </c>
      <c r="D112" s="122" t="s">
        <v>228</v>
      </c>
    </row>
    <row r="113" spans="1:4" x14ac:dyDescent="0.2">
      <c r="A113" s="59" t="s">
        <v>175</v>
      </c>
      <c r="B113" s="58" t="s">
        <v>176</v>
      </c>
      <c r="C113" s="52">
        <f>[19]С4.3!E12</f>
        <v>1636</v>
      </c>
      <c r="D113" s="122" t="s">
        <v>228</v>
      </c>
    </row>
    <row r="114" spans="1:4" x14ac:dyDescent="0.2">
      <c r="A114" s="59" t="s">
        <v>177</v>
      </c>
      <c r="B114" s="58" t="s">
        <v>178</v>
      </c>
      <c r="C114" s="52">
        <f>[19]С4.3!E13</f>
        <v>204</v>
      </c>
      <c r="D114" s="122" t="s">
        <v>228</v>
      </c>
    </row>
    <row r="115" spans="1:4" ht="30" x14ac:dyDescent="0.2">
      <c r="A115" s="59" t="s">
        <v>179</v>
      </c>
      <c r="B115" s="33" t="s">
        <v>180</v>
      </c>
      <c r="C115" s="34">
        <f>[19]С4!F27</f>
        <v>1291.2863994686898</v>
      </c>
      <c r="D115" s="122"/>
    </row>
    <row r="116" spans="1:4" ht="25.5" x14ac:dyDescent="0.2">
      <c r="A116" s="59" t="s">
        <v>181</v>
      </c>
      <c r="B116" s="53" t="s">
        <v>182</v>
      </c>
      <c r="C116" s="34">
        <f>[19]С4!F28</f>
        <v>991.77142816335618</v>
      </c>
      <c r="D116" s="127"/>
    </row>
    <row r="117" spans="1:4" ht="42.75" x14ac:dyDescent="0.2">
      <c r="A117" s="59" t="s">
        <v>183</v>
      </c>
      <c r="B117" s="53" t="s">
        <v>184</v>
      </c>
      <c r="C117" s="34">
        <f>[19]С4!F29</f>
        <v>299.51497130533357</v>
      </c>
      <c r="D117" s="122"/>
    </row>
    <row r="118" spans="1:4" ht="30" x14ac:dyDescent="0.2">
      <c r="A118" s="59" t="s">
        <v>185</v>
      </c>
      <c r="B118" s="39" t="s">
        <v>186</v>
      </c>
      <c r="C118" s="34">
        <f>[19]С4!F30</f>
        <v>2832.0721074988451</v>
      </c>
      <c r="D118" s="122"/>
    </row>
    <row r="119" spans="1:4" ht="42.75" x14ac:dyDescent="0.2">
      <c r="A119" s="59" t="s">
        <v>187</v>
      </c>
      <c r="B119" s="86" t="s">
        <v>188</v>
      </c>
      <c r="C119" s="34">
        <f>[19]С4!F33</f>
        <v>1632.9796072764698</v>
      </c>
      <c r="D119" s="122"/>
    </row>
    <row r="120" spans="1:4" ht="30" x14ac:dyDescent="0.2">
      <c r="A120" s="59" t="s">
        <v>189</v>
      </c>
      <c r="B120" s="87" t="s">
        <v>190</v>
      </c>
      <c r="C120" s="34">
        <f>[19]С4!F35</f>
        <v>17.040680999999999</v>
      </c>
      <c r="D120" s="127"/>
    </row>
    <row r="121" spans="1:4" ht="14.25" x14ac:dyDescent="0.2">
      <c r="A121" s="59" t="s">
        <v>191</v>
      </c>
      <c r="B121" s="56" t="s">
        <v>192</v>
      </c>
      <c r="C121" s="34">
        <f>[19]С4!F36</f>
        <v>14319.9</v>
      </c>
      <c r="D121" s="122" t="s">
        <v>245</v>
      </c>
    </row>
    <row r="122" spans="1:4" ht="28.5" thickBot="1" x14ac:dyDescent="0.25">
      <c r="A122" s="72" t="s">
        <v>193</v>
      </c>
      <c r="B122" s="88" t="s">
        <v>194</v>
      </c>
      <c r="C122" s="83">
        <f>[19]С4!F37</f>
        <v>1.19</v>
      </c>
      <c r="D122" s="125" t="str">
        <f>[19]С4.1!F12</f>
        <v>пп № 274 от 01.03.2022</v>
      </c>
    </row>
    <row r="123" spans="1:4" s="89" customFormat="1" ht="13.5" thickBot="1" x14ac:dyDescent="0.25">
      <c r="A123" s="47"/>
      <c r="B123" s="75"/>
      <c r="C123" s="15"/>
      <c r="D123" s="131"/>
    </row>
    <row r="124" spans="1:4" s="63" customFormat="1" ht="30" customHeight="1" x14ac:dyDescent="0.2">
      <c r="A124" s="76" t="s">
        <v>195</v>
      </c>
      <c r="B124" s="136" t="s">
        <v>196</v>
      </c>
      <c r="C124" s="136"/>
      <c r="D124" s="142"/>
    </row>
    <row r="125" spans="1:4" ht="16.5" thickBot="1" x14ac:dyDescent="0.25">
      <c r="A125" s="27" t="s">
        <v>197</v>
      </c>
      <c r="B125" s="90" t="s">
        <v>198</v>
      </c>
      <c r="C125" s="83">
        <f>[19]С5!F17</f>
        <v>0.02</v>
      </c>
      <c r="D125" s="132" t="s">
        <v>229</v>
      </c>
    </row>
    <row r="126" spans="1:4" s="89" customFormat="1" ht="13.5" thickBot="1" x14ac:dyDescent="0.25">
      <c r="A126" s="47"/>
      <c r="B126" s="75"/>
      <c r="C126" s="15"/>
      <c r="D126" s="131"/>
    </row>
    <row r="127" spans="1:4" ht="42.75" customHeight="1" x14ac:dyDescent="0.2">
      <c r="A127" s="84" t="s">
        <v>199</v>
      </c>
      <c r="B127" s="137" t="s">
        <v>200</v>
      </c>
      <c r="C127" s="137"/>
      <c r="D127" s="143"/>
    </row>
    <row r="128" spans="1:4" ht="68.25" x14ac:dyDescent="0.2">
      <c r="A128" s="59" t="s">
        <v>201</v>
      </c>
      <c r="B128" s="91" t="s">
        <v>202</v>
      </c>
      <c r="C128" s="34" t="s">
        <v>203</v>
      </c>
      <c r="D128" s="123" t="s">
        <v>229</v>
      </c>
    </row>
    <row r="129" spans="1:5" ht="42.75" hidden="1" x14ac:dyDescent="0.2">
      <c r="A129" s="59" t="s">
        <v>204</v>
      </c>
      <c r="B129" s="86" t="s">
        <v>205</v>
      </c>
      <c r="C129" s="92"/>
      <c r="D129" s="122"/>
    </row>
    <row r="130" spans="1:5" ht="69" thickBot="1" x14ac:dyDescent="0.25">
      <c r="A130" s="72" t="s">
        <v>206</v>
      </c>
      <c r="B130" s="93" t="s">
        <v>207</v>
      </c>
      <c r="C130" s="94" t="s">
        <v>203</v>
      </c>
      <c r="D130" s="130" t="s">
        <v>229</v>
      </c>
    </row>
    <row r="131" spans="1:5" ht="62.25" hidden="1" customHeight="1" x14ac:dyDescent="0.2">
      <c r="A131" s="95" t="s">
        <v>208</v>
      </c>
      <c r="B131" s="96" t="s">
        <v>209</v>
      </c>
      <c r="C131" s="97"/>
      <c r="D131" s="133"/>
    </row>
    <row r="132" spans="1:5" ht="68.25" hidden="1" x14ac:dyDescent="0.2">
      <c r="A132" s="59" t="s">
        <v>210</v>
      </c>
      <c r="B132" s="86" t="s">
        <v>211</v>
      </c>
      <c r="C132" s="35"/>
      <c r="D132" s="122"/>
    </row>
    <row r="133" spans="1:5" ht="69" hidden="1" thickBot="1" x14ac:dyDescent="0.25">
      <c r="A133" s="72" t="s">
        <v>212</v>
      </c>
      <c r="B133" s="98" t="s">
        <v>213</v>
      </c>
      <c r="C133" s="74"/>
      <c r="D133" s="125"/>
    </row>
    <row r="134" spans="1:5" s="89" customFormat="1" ht="13.5" thickBot="1" x14ac:dyDescent="0.25">
      <c r="A134" s="47"/>
      <c r="B134" s="75"/>
      <c r="C134" s="15"/>
      <c r="D134" s="131"/>
    </row>
    <row r="135" spans="1:5" ht="26.25" customHeight="1" x14ac:dyDescent="0.2">
      <c r="A135" s="84" t="s">
        <v>214</v>
      </c>
      <c r="B135" s="99" t="s">
        <v>215</v>
      </c>
      <c r="C135" s="100">
        <f>[19]С2!F37</f>
        <v>20.818139999999996</v>
      </c>
      <c r="D135" s="134"/>
    </row>
    <row r="136" spans="1:5" ht="14.25" x14ac:dyDescent="0.2">
      <c r="A136" s="59" t="s">
        <v>216</v>
      </c>
      <c r="B136" s="101" t="s">
        <v>217</v>
      </c>
      <c r="C136" s="34">
        <f>[19]С2!F38</f>
        <v>7</v>
      </c>
      <c r="D136" s="122" t="s">
        <v>228</v>
      </c>
    </row>
    <row r="137" spans="1:5" ht="17.25" x14ac:dyDescent="0.2">
      <c r="A137" s="59" t="s">
        <v>218</v>
      </c>
      <c r="B137" s="101" t="s">
        <v>219</v>
      </c>
      <c r="C137" s="34">
        <f>[19]С2!F40</f>
        <v>0.97</v>
      </c>
      <c r="D137" s="122" t="s">
        <v>228</v>
      </c>
    </row>
    <row r="138" spans="1:5" ht="15" thickBot="1" x14ac:dyDescent="0.25">
      <c r="A138" s="72" t="s">
        <v>220</v>
      </c>
      <c r="B138" s="102" t="s">
        <v>221</v>
      </c>
      <c r="C138" s="46">
        <f>[19]С2!F42</f>
        <v>0.35</v>
      </c>
      <c r="D138" s="125" t="s">
        <v>244</v>
      </c>
    </row>
    <row r="139" spans="1:5" s="89" customFormat="1" ht="13.5" thickBot="1" x14ac:dyDescent="0.25">
      <c r="A139" s="47"/>
      <c r="B139" s="75"/>
      <c r="C139" s="15"/>
      <c r="D139" s="131"/>
    </row>
    <row r="140" spans="1:5" ht="409.5" x14ac:dyDescent="0.2">
      <c r="A140" s="84" t="s">
        <v>222</v>
      </c>
      <c r="B140" s="103" t="s">
        <v>223</v>
      </c>
      <c r="C140" s="104">
        <f>[19]С2!F35</f>
        <v>1.6598760876745948</v>
      </c>
      <c r="D140" s="135" t="str">
        <f>[19]С2.5!D15</f>
        <v>на 2020: Прогноз социально-экономического развития Российской Федерации на 2022 год и на плановый период 2023 и 2024 годов (размещен на официальном сайте Минэкономразвития России 30.09.2021): файл в формате Microsoft Excel «12. Дефляторы базовый», таблица «Прогноз индексов цен производителей и индексов-дефляторов по видам экономической деятельности, в % г/г (Базовый вариант)», отрасль «Промышленность (BСDE)», (показатель «ИЦП»)
на 2021-2023 годы:  Прогноз социально-экономического развития Российской Федерации на 2023 год и на плановый период 2024 и 2025 годов (размещен на официальном сайте Минэкономразвития России 28.09.2022): файл в формате Microsoft Excel «7. Дефляторы базовый», таблица «Прогноз индексов цен производителей и индексов-дефляторов по видам экономической деятельности, в % г/г  (Базовый)», отрасль «Промышленность (BСDE)», (показатель «ИЦП»)</v>
      </c>
      <c r="E140" s="89"/>
    </row>
    <row r="141" spans="1:5" ht="22.7" customHeight="1" thickBot="1" x14ac:dyDescent="0.25">
      <c r="A141" s="72" t="s">
        <v>224</v>
      </c>
      <c r="B141" s="138" t="s">
        <v>225</v>
      </c>
      <c r="C141" s="138"/>
      <c r="D141" s="144"/>
      <c r="E141" s="89"/>
    </row>
    <row r="142" spans="1:5" ht="13.5" thickBot="1" x14ac:dyDescent="0.25">
      <c r="A142" s="105"/>
      <c r="B142" s="106" t="s">
        <v>226</v>
      </c>
      <c r="C142" s="107"/>
      <c r="D142" s="119"/>
      <c r="E142" s="89"/>
    </row>
    <row r="143" spans="1:5" x14ac:dyDescent="0.2">
      <c r="A143" s="105"/>
      <c r="B143" s="108">
        <v>2020</v>
      </c>
      <c r="C143" s="109">
        <f>[19]С2.5!$E$11</f>
        <v>-2.9000000000000026E-2</v>
      </c>
      <c r="D143" s="119"/>
      <c r="E143" s="89"/>
    </row>
    <row r="144" spans="1:5" x14ac:dyDescent="0.2">
      <c r="A144" s="105"/>
      <c r="B144" s="110">
        <f>B143+1</f>
        <v>2021</v>
      </c>
      <c r="C144" s="111">
        <f>[19]С2.5!$F$11</f>
        <v>0.245</v>
      </c>
      <c r="D144" s="119"/>
      <c r="E144" s="89"/>
    </row>
    <row r="145" spans="1:5" x14ac:dyDescent="0.2">
      <c r="A145" s="105"/>
      <c r="B145" s="110">
        <f t="shared" ref="B145:B208" si="0">B144+1</f>
        <v>2022</v>
      </c>
      <c r="C145" s="111">
        <f>[19]С2.5!$G$11</f>
        <v>0.114</v>
      </c>
      <c r="D145" s="119"/>
      <c r="E145" s="89"/>
    </row>
    <row r="146" spans="1:5" ht="13.5" thickBot="1" x14ac:dyDescent="0.25">
      <c r="A146" s="105"/>
      <c r="B146" s="112">
        <f t="shared" si="0"/>
        <v>2023</v>
      </c>
      <c r="C146" s="113">
        <f>[19]С2.5!$H$11</f>
        <v>0.04</v>
      </c>
      <c r="D146" s="119"/>
      <c r="E146" s="89"/>
    </row>
    <row r="147" spans="1:5" x14ac:dyDescent="0.2">
      <c r="A147" s="105"/>
      <c r="B147" s="114">
        <f t="shared" si="0"/>
        <v>2024</v>
      </c>
      <c r="C147" s="115">
        <f>[19]С2.5!$I$11</f>
        <v>0.11700000000000001</v>
      </c>
      <c r="D147" s="119"/>
      <c r="E147" s="89"/>
    </row>
    <row r="148" spans="1:5" x14ac:dyDescent="0.2">
      <c r="A148" s="105"/>
      <c r="B148" s="110">
        <f t="shared" si="0"/>
        <v>2025</v>
      </c>
      <c r="C148" s="111">
        <f>[19]С2.5!$J$11</f>
        <v>6.0999999999999999E-2</v>
      </c>
      <c r="D148" s="119"/>
      <c r="E148" s="89"/>
    </row>
    <row r="149" spans="1:5" hidden="1" x14ac:dyDescent="0.2">
      <c r="A149" s="105"/>
      <c r="B149" s="110">
        <f t="shared" si="0"/>
        <v>2026</v>
      </c>
      <c r="C149" s="111">
        <f>[19]С2.5!$K$11</f>
        <v>3.5813361771260002E-2</v>
      </c>
      <c r="D149" s="119"/>
      <c r="E149" s="89"/>
    </row>
    <row r="150" spans="1:5" hidden="1" x14ac:dyDescent="0.2">
      <c r="A150" s="105"/>
      <c r="B150" s="110">
        <f t="shared" si="0"/>
        <v>2027</v>
      </c>
      <c r="C150" s="111">
        <f>[19]С2.5!$L$11</f>
        <v>3.2682303599220003E-2</v>
      </c>
      <c r="D150" s="119"/>
      <c r="E150" s="89"/>
    </row>
    <row r="151" spans="1:5" hidden="1" x14ac:dyDescent="0.2">
      <c r="A151" s="105"/>
      <c r="B151" s="110">
        <f t="shared" si="0"/>
        <v>2028</v>
      </c>
      <c r="C151" s="111">
        <f>[19]С2.5!$M$11</f>
        <v>0</v>
      </c>
      <c r="D151" s="119"/>
      <c r="E151" s="89"/>
    </row>
    <row r="152" spans="1:5" hidden="1" x14ac:dyDescent="0.2">
      <c r="A152" s="105"/>
      <c r="B152" s="110">
        <f t="shared" si="0"/>
        <v>2029</v>
      </c>
      <c r="C152" s="111">
        <f>[19]С2.5!$N$11</f>
        <v>0</v>
      </c>
      <c r="D152" s="119"/>
      <c r="E152" s="89"/>
    </row>
    <row r="153" spans="1:5" hidden="1" x14ac:dyDescent="0.2">
      <c r="A153" s="105"/>
      <c r="B153" s="110">
        <f t="shared" si="0"/>
        <v>2030</v>
      </c>
      <c r="C153" s="111">
        <f>[19]С2.5!$O$11</f>
        <v>0</v>
      </c>
      <c r="D153" s="119"/>
      <c r="E153" s="89"/>
    </row>
    <row r="154" spans="1:5" hidden="1" x14ac:dyDescent="0.2">
      <c r="A154" s="105"/>
      <c r="B154" s="110">
        <f t="shared" si="0"/>
        <v>2031</v>
      </c>
      <c r="C154" s="111">
        <f>[19]С2.5!$P$11</f>
        <v>0</v>
      </c>
      <c r="D154" s="119"/>
      <c r="E154" s="89"/>
    </row>
    <row r="155" spans="1:5" hidden="1" x14ac:dyDescent="0.2">
      <c r="A155" s="89"/>
      <c r="B155" s="110">
        <f t="shared" si="0"/>
        <v>2032</v>
      </c>
      <c r="C155" s="111">
        <f>[19]С2.5!$Q$11</f>
        <v>0</v>
      </c>
      <c r="D155" s="119"/>
      <c r="E155" s="89"/>
    </row>
    <row r="156" spans="1:5" hidden="1" x14ac:dyDescent="0.2">
      <c r="A156" s="89"/>
      <c r="B156" s="110">
        <f t="shared" si="0"/>
        <v>2033</v>
      </c>
      <c r="C156" s="111">
        <f>[19]С2.5!$R$11</f>
        <v>0</v>
      </c>
      <c r="D156" s="119"/>
      <c r="E156" s="89"/>
    </row>
    <row r="157" spans="1:5" hidden="1" x14ac:dyDescent="0.2">
      <c r="B157" s="110">
        <f t="shared" si="0"/>
        <v>2034</v>
      </c>
      <c r="C157" s="111">
        <f>[19]С2.5!$S$11</f>
        <v>0</v>
      </c>
    </row>
    <row r="158" spans="1:5" hidden="1" x14ac:dyDescent="0.2">
      <c r="B158" s="110">
        <f t="shared" si="0"/>
        <v>2035</v>
      </c>
      <c r="C158" s="111">
        <f>[19]С2.5!$T$11</f>
        <v>0</v>
      </c>
    </row>
    <row r="159" spans="1:5" hidden="1" x14ac:dyDescent="0.2">
      <c r="B159" s="110">
        <f t="shared" si="0"/>
        <v>2036</v>
      </c>
      <c r="C159" s="111">
        <f>[19]С2.5!$U$11</f>
        <v>0</v>
      </c>
    </row>
    <row r="160" spans="1:5" hidden="1" x14ac:dyDescent="0.2">
      <c r="B160" s="110">
        <f t="shared" si="0"/>
        <v>2037</v>
      </c>
      <c r="C160" s="111">
        <f>[19]С2.5!$V$11</f>
        <v>0</v>
      </c>
    </row>
    <row r="161" spans="2:3" s="2" customFormat="1" hidden="1" x14ac:dyDescent="0.2">
      <c r="B161" s="110">
        <f t="shared" si="0"/>
        <v>2038</v>
      </c>
      <c r="C161" s="111">
        <f>[19]С2.5!$W$11</f>
        <v>0</v>
      </c>
    </row>
    <row r="162" spans="2:3" s="2" customFormat="1" hidden="1" x14ac:dyDescent="0.2">
      <c r="B162" s="110">
        <f t="shared" si="0"/>
        <v>2039</v>
      </c>
      <c r="C162" s="111">
        <f>[19]С2.5!$X$11</f>
        <v>0</v>
      </c>
    </row>
    <row r="163" spans="2:3" s="2" customFormat="1" hidden="1" x14ac:dyDescent="0.2">
      <c r="B163" s="110">
        <f t="shared" si="0"/>
        <v>2040</v>
      </c>
      <c r="C163" s="111">
        <f>[19]С2.5!$Y$11</f>
        <v>0</v>
      </c>
    </row>
    <row r="164" spans="2:3" s="2" customFormat="1" hidden="1" x14ac:dyDescent="0.2">
      <c r="B164" s="110">
        <f t="shared" si="0"/>
        <v>2041</v>
      </c>
      <c r="C164" s="111">
        <f>[19]С2.5!$Z$11</f>
        <v>0</v>
      </c>
    </row>
    <row r="165" spans="2:3" s="2" customFormat="1" hidden="1" x14ac:dyDescent="0.2">
      <c r="B165" s="110">
        <f t="shared" si="0"/>
        <v>2042</v>
      </c>
      <c r="C165" s="111">
        <f>[19]С2.5!$AA$11</f>
        <v>0</v>
      </c>
    </row>
    <row r="166" spans="2:3" s="2" customFormat="1" hidden="1" x14ac:dyDescent="0.2">
      <c r="B166" s="110">
        <f t="shared" si="0"/>
        <v>2043</v>
      </c>
      <c r="C166" s="111">
        <f>[19]С2.5!$AB$11</f>
        <v>0</v>
      </c>
    </row>
    <row r="167" spans="2:3" s="2" customFormat="1" hidden="1" x14ac:dyDescent="0.2">
      <c r="B167" s="110">
        <f t="shared" si="0"/>
        <v>2044</v>
      </c>
      <c r="C167" s="111">
        <f>[19]С2.5!$AC$11</f>
        <v>0</v>
      </c>
    </row>
    <row r="168" spans="2:3" s="2" customFormat="1" hidden="1" x14ac:dyDescent="0.2">
      <c r="B168" s="110">
        <f t="shared" si="0"/>
        <v>2045</v>
      </c>
      <c r="C168" s="111">
        <f>[19]С2.5!$AD$11</f>
        <v>0</v>
      </c>
    </row>
    <row r="169" spans="2:3" s="2" customFormat="1" hidden="1" x14ac:dyDescent="0.2">
      <c r="B169" s="110">
        <f t="shared" si="0"/>
        <v>2046</v>
      </c>
      <c r="C169" s="111">
        <f>[19]С2.5!$AE$11</f>
        <v>0</v>
      </c>
    </row>
    <row r="170" spans="2:3" s="2" customFormat="1" hidden="1" x14ac:dyDescent="0.2">
      <c r="B170" s="110">
        <f t="shared" si="0"/>
        <v>2047</v>
      </c>
      <c r="C170" s="111">
        <f>[19]С2.5!$AF$11</f>
        <v>0</v>
      </c>
    </row>
    <row r="171" spans="2:3" s="2" customFormat="1" hidden="1" x14ac:dyDescent="0.2">
      <c r="B171" s="110">
        <f t="shared" si="0"/>
        <v>2048</v>
      </c>
      <c r="C171" s="111">
        <f>[19]С2.5!$AG$11</f>
        <v>0</v>
      </c>
    </row>
    <row r="172" spans="2:3" s="2" customFormat="1" hidden="1" x14ac:dyDescent="0.2">
      <c r="B172" s="110">
        <f t="shared" si="0"/>
        <v>2049</v>
      </c>
      <c r="C172" s="111">
        <f>[19]С2.5!$AH$11</f>
        <v>0</v>
      </c>
    </row>
    <row r="173" spans="2:3" s="2" customFormat="1" hidden="1" x14ac:dyDescent="0.2">
      <c r="B173" s="110">
        <f t="shared" si="0"/>
        <v>2050</v>
      </c>
      <c r="C173" s="111">
        <f>[19]С2.5!$AI$11</f>
        <v>0</v>
      </c>
    </row>
    <row r="174" spans="2:3" s="2" customFormat="1" hidden="1" x14ac:dyDescent="0.2">
      <c r="B174" s="110">
        <f t="shared" si="0"/>
        <v>2051</v>
      </c>
      <c r="C174" s="111">
        <f>[19]С2.5!$AJ$11</f>
        <v>0</v>
      </c>
    </row>
    <row r="175" spans="2:3" s="2" customFormat="1" hidden="1" x14ac:dyDescent="0.2">
      <c r="B175" s="110">
        <f t="shared" si="0"/>
        <v>2052</v>
      </c>
      <c r="C175" s="111">
        <f>[19]С2.5!$AK$11</f>
        <v>0</v>
      </c>
    </row>
    <row r="176" spans="2:3" s="2" customFormat="1" hidden="1" x14ac:dyDescent="0.2">
      <c r="B176" s="110">
        <f t="shared" si="0"/>
        <v>2053</v>
      </c>
      <c r="C176" s="111">
        <f>[19]С2.5!$AL$11</f>
        <v>0</v>
      </c>
    </row>
    <row r="177" spans="2:3" s="2" customFormat="1" hidden="1" x14ac:dyDescent="0.2">
      <c r="B177" s="110">
        <f t="shared" si="0"/>
        <v>2054</v>
      </c>
      <c r="C177" s="111">
        <f>[19]С2.5!$AM$11</f>
        <v>0</v>
      </c>
    </row>
    <row r="178" spans="2:3" s="2" customFormat="1" hidden="1" x14ac:dyDescent="0.2">
      <c r="B178" s="110">
        <f t="shared" si="0"/>
        <v>2055</v>
      </c>
      <c r="C178" s="111">
        <f>[19]С2.5!$AN$11</f>
        <v>0</v>
      </c>
    </row>
    <row r="179" spans="2:3" s="2" customFormat="1" hidden="1" x14ac:dyDescent="0.2">
      <c r="B179" s="110">
        <f t="shared" si="0"/>
        <v>2056</v>
      </c>
      <c r="C179" s="111">
        <f>[19]С2.5!$AO$11</f>
        <v>0</v>
      </c>
    </row>
    <row r="180" spans="2:3" s="2" customFormat="1" hidden="1" x14ac:dyDescent="0.2">
      <c r="B180" s="110">
        <f t="shared" si="0"/>
        <v>2057</v>
      </c>
      <c r="C180" s="111">
        <f>[19]С2.5!$AP$11</f>
        <v>0</v>
      </c>
    </row>
    <row r="181" spans="2:3" s="2" customFormat="1" hidden="1" x14ac:dyDescent="0.2">
      <c r="B181" s="110">
        <f t="shared" si="0"/>
        <v>2058</v>
      </c>
      <c r="C181" s="111">
        <f>[19]С2.5!$AQ$11</f>
        <v>0</v>
      </c>
    </row>
    <row r="182" spans="2:3" s="2" customFormat="1" hidden="1" x14ac:dyDescent="0.2">
      <c r="B182" s="110">
        <f t="shared" si="0"/>
        <v>2059</v>
      </c>
      <c r="C182" s="111">
        <f>[19]С2.5!$AR$11</f>
        <v>0</v>
      </c>
    </row>
    <row r="183" spans="2:3" s="2" customFormat="1" hidden="1" x14ac:dyDescent="0.2">
      <c r="B183" s="110">
        <f t="shared" si="0"/>
        <v>2060</v>
      </c>
      <c r="C183" s="111">
        <f>[19]С2.5!$AS$11</f>
        <v>0</v>
      </c>
    </row>
    <row r="184" spans="2:3" s="2" customFormat="1" hidden="1" x14ac:dyDescent="0.2">
      <c r="B184" s="110">
        <f t="shared" si="0"/>
        <v>2061</v>
      </c>
      <c r="C184" s="111">
        <f>[19]С2.5!$AT$11</f>
        <v>0</v>
      </c>
    </row>
    <row r="185" spans="2:3" s="2" customFormat="1" hidden="1" x14ac:dyDescent="0.2">
      <c r="B185" s="110">
        <f t="shared" si="0"/>
        <v>2062</v>
      </c>
      <c r="C185" s="111">
        <f>[19]С2.5!$AU$11</f>
        <v>0</v>
      </c>
    </row>
    <row r="186" spans="2:3" s="2" customFormat="1" hidden="1" x14ac:dyDescent="0.2">
      <c r="B186" s="110">
        <f t="shared" si="0"/>
        <v>2063</v>
      </c>
      <c r="C186" s="111">
        <f>[19]С2.5!$AV$11</f>
        <v>0</v>
      </c>
    </row>
    <row r="187" spans="2:3" s="2" customFormat="1" hidden="1" x14ac:dyDescent="0.2">
      <c r="B187" s="110">
        <f t="shared" si="0"/>
        <v>2064</v>
      </c>
      <c r="C187" s="111">
        <f>[19]С2.5!$AW$11</f>
        <v>0</v>
      </c>
    </row>
    <row r="188" spans="2:3" s="2" customFormat="1" hidden="1" x14ac:dyDescent="0.2">
      <c r="B188" s="110">
        <f t="shared" si="0"/>
        <v>2065</v>
      </c>
      <c r="C188" s="111">
        <f>[19]С2.5!$AX$11</f>
        <v>0</v>
      </c>
    </row>
    <row r="189" spans="2:3" s="2" customFormat="1" hidden="1" x14ac:dyDescent="0.2">
      <c r="B189" s="110">
        <f t="shared" si="0"/>
        <v>2066</v>
      </c>
      <c r="C189" s="111">
        <f>[19]С2.5!$AY$11</f>
        <v>0</v>
      </c>
    </row>
    <row r="190" spans="2:3" s="2" customFormat="1" hidden="1" x14ac:dyDescent="0.2">
      <c r="B190" s="110">
        <f t="shared" si="0"/>
        <v>2067</v>
      </c>
      <c r="C190" s="111">
        <f>[19]С2.5!$AZ$11</f>
        <v>0</v>
      </c>
    </row>
    <row r="191" spans="2:3" s="2" customFormat="1" hidden="1" x14ac:dyDescent="0.2">
      <c r="B191" s="110">
        <f t="shared" si="0"/>
        <v>2068</v>
      </c>
      <c r="C191" s="111">
        <f>[19]С2.5!$BA$11</f>
        <v>0</v>
      </c>
    </row>
    <row r="192" spans="2:3" s="2" customFormat="1" hidden="1" x14ac:dyDescent="0.2">
      <c r="B192" s="110">
        <f t="shared" si="0"/>
        <v>2069</v>
      </c>
      <c r="C192" s="111">
        <f>[19]С2.5!$BB$11</f>
        <v>0</v>
      </c>
    </row>
    <row r="193" spans="2:3" s="2" customFormat="1" hidden="1" x14ac:dyDescent="0.2">
      <c r="B193" s="110">
        <f t="shared" si="0"/>
        <v>2070</v>
      </c>
      <c r="C193" s="111">
        <f>[19]С2.5!$BC$11</f>
        <v>0</v>
      </c>
    </row>
    <row r="194" spans="2:3" s="2" customFormat="1" hidden="1" x14ac:dyDescent="0.2">
      <c r="B194" s="110">
        <f t="shared" si="0"/>
        <v>2071</v>
      </c>
      <c r="C194" s="111">
        <f>[19]С2.5!$BD$11</f>
        <v>0</v>
      </c>
    </row>
    <row r="195" spans="2:3" s="2" customFormat="1" hidden="1" x14ac:dyDescent="0.2">
      <c r="B195" s="110">
        <f t="shared" si="0"/>
        <v>2072</v>
      </c>
      <c r="C195" s="111">
        <f>[19]С2.5!$BE$11</f>
        <v>0</v>
      </c>
    </row>
    <row r="196" spans="2:3" s="2" customFormat="1" hidden="1" x14ac:dyDescent="0.2">
      <c r="B196" s="110">
        <f t="shared" si="0"/>
        <v>2073</v>
      </c>
      <c r="C196" s="111">
        <f>[19]С2.5!$BF$11</f>
        <v>0</v>
      </c>
    </row>
    <row r="197" spans="2:3" s="2" customFormat="1" hidden="1" x14ac:dyDescent="0.2">
      <c r="B197" s="110">
        <f t="shared" si="0"/>
        <v>2074</v>
      </c>
      <c r="C197" s="111">
        <f>[19]С2.5!$BG$11</f>
        <v>0</v>
      </c>
    </row>
    <row r="198" spans="2:3" s="2" customFormat="1" hidden="1" x14ac:dyDescent="0.2">
      <c r="B198" s="110">
        <f t="shared" si="0"/>
        <v>2075</v>
      </c>
      <c r="C198" s="111">
        <f>[19]С2.5!$BH$11</f>
        <v>0</v>
      </c>
    </row>
    <row r="199" spans="2:3" s="2" customFormat="1" hidden="1" x14ac:dyDescent="0.2">
      <c r="B199" s="110">
        <f t="shared" si="0"/>
        <v>2076</v>
      </c>
      <c r="C199" s="111">
        <f>[19]С2.5!$BI$11</f>
        <v>0</v>
      </c>
    </row>
    <row r="200" spans="2:3" s="2" customFormat="1" hidden="1" x14ac:dyDescent="0.2">
      <c r="B200" s="110">
        <f t="shared" si="0"/>
        <v>2077</v>
      </c>
      <c r="C200" s="111">
        <f>[19]С2.5!$BJ$11</f>
        <v>0</v>
      </c>
    </row>
    <row r="201" spans="2:3" s="2" customFormat="1" hidden="1" x14ac:dyDescent="0.2">
      <c r="B201" s="110">
        <f t="shared" si="0"/>
        <v>2078</v>
      </c>
      <c r="C201" s="111">
        <f>[19]С2.5!$BK$11</f>
        <v>0</v>
      </c>
    </row>
    <row r="202" spans="2:3" s="2" customFormat="1" hidden="1" x14ac:dyDescent="0.2">
      <c r="B202" s="110">
        <f t="shared" si="0"/>
        <v>2079</v>
      </c>
      <c r="C202" s="111">
        <f>[19]С2.5!$BL$11</f>
        <v>0</v>
      </c>
    </row>
    <row r="203" spans="2:3" s="2" customFormat="1" hidden="1" x14ac:dyDescent="0.2">
      <c r="B203" s="110">
        <f t="shared" si="0"/>
        <v>2080</v>
      </c>
      <c r="C203" s="111">
        <f>[19]С2.5!$BM$11</f>
        <v>0</v>
      </c>
    </row>
    <row r="204" spans="2:3" s="2" customFormat="1" hidden="1" x14ac:dyDescent="0.2">
      <c r="B204" s="110">
        <f t="shared" si="0"/>
        <v>2081</v>
      </c>
      <c r="C204" s="111">
        <f>[19]С2.5!$BN$11</f>
        <v>0</v>
      </c>
    </row>
    <row r="205" spans="2:3" s="2" customFormat="1" hidden="1" x14ac:dyDescent="0.2">
      <c r="B205" s="110">
        <f t="shared" si="0"/>
        <v>2082</v>
      </c>
      <c r="C205" s="111">
        <f>[19]С2.5!$BO$11</f>
        <v>0</v>
      </c>
    </row>
    <row r="206" spans="2:3" s="2" customFormat="1" hidden="1" x14ac:dyDescent="0.2">
      <c r="B206" s="110">
        <f t="shared" si="0"/>
        <v>2083</v>
      </c>
      <c r="C206" s="111">
        <f>[19]С2.5!$BP$11</f>
        <v>0</v>
      </c>
    </row>
    <row r="207" spans="2:3" s="2" customFormat="1" hidden="1" x14ac:dyDescent="0.2">
      <c r="B207" s="110">
        <f t="shared" si="0"/>
        <v>2084</v>
      </c>
      <c r="C207" s="111">
        <f>[19]С2.5!$BQ$11</f>
        <v>0</v>
      </c>
    </row>
    <row r="208" spans="2:3" s="2" customFormat="1" hidden="1" x14ac:dyDescent="0.2">
      <c r="B208" s="110">
        <f t="shared" si="0"/>
        <v>2085</v>
      </c>
      <c r="C208" s="111">
        <f>[19]С2.5!$BR$11</f>
        <v>0</v>
      </c>
    </row>
    <row r="209" spans="2:3" s="2" customFormat="1" hidden="1" x14ac:dyDescent="0.2">
      <c r="B209" s="110">
        <f t="shared" ref="B209:B223" si="1">B208+1</f>
        <v>2086</v>
      </c>
      <c r="C209" s="111">
        <f>[19]С2.5!$BS$11</f>
        <v>0</v>
      </c>
    </row>
    <row r="210" spans="2:3" s="2" customFormat="1" hidden="1" x14ac:dyDescent="0.2">
      <c r="B210" s="110">
        <f t="shared" si="1"/>
        <v>2087</v>
      </c>
      <c r="C210" s="111">
        <f>[19]С2.5!$BT$11</f>
        <v>0</v>
      </c>
    </row>
    <row r="211" spans="2:3" s="2" customFormat="1" hidden="1" x14ac:dyDescent="0.2">
      <c r="B211" s="110">
        <f t="shared" si="1"/>
        <v>2088</v>
      </c>
      <c r="C211" s="111">
        <f>[19]С2.5!$BU$11</f>
        <v>0</v>
      </c>
    </row>
    <row r="212" spans="2:3" s="2" customFormat="1" hidden="1" x14ac:dyDescent="0.2">
      <c r="B212" s="110">
        <f t="shared" si="1"/>
        <v>2089</v>
      </c>
      <c r="C212" s="111">
        <f>[19]С2.5!$BV$11</f>
        <v>0</v>
      </c>
    </row>
    <row r="213" spans="2:3" s="2" customFormat="1" hidden="1" x14ac:dyDescent="0.2">
      <c r="B213" s="110">
        <f t="shared" si="1"/>
        <v>2090</v>
      </c>
      <c r="C213" s="111">
        <f>[19]С2.5!$BW$11</f>
        <v>0</v>
      </c>
    </row>
    <row r="214" spans="2:3" s="2" customFormat="1" hidden="1" x14ac:dyDescent="0.2">
      <c r="B214" s="110">
        <f t="shared" si="1"/>
        <v>2091</v>
      </c>
      <c r="C214" s="111">
        <f>[19]С2.5!$BX$11</f>
        <v>0</v>
      </c>
    </row>
    <row r="215" spans="2:3" s="2" customFormat="1" hidden="1" x14ac:dyDescent="0.2">
      <c r="B215" s="110">
        <f t="shared" si="1"/>
        <v>2092</v>
      </c>
      <c r="C215" s="111">
        <f>[19]С2.5!$BY$11</f>
        <v>0</v>
      </c>
    </row>
    <row r="216" spans="2:3" s="2" customFormat="1" hidden="1" x14ac:dyDescent="0.2">
      <c r="B216" s="110">
        <f t="shared" si="1"/>
        <v>2093</v>
      </c>
      <c r="C216" s="111">
        <f>[19]С2.5!$BZ$11</f>
        <v>0</v>
      </c>
    </row>
    <row r="217" spans="2:3" s="2" customFormat="1" hidden="1" x14ac:dyDescent="0.2">
      <c r="B217" s="110">
        <f t="shared" si="1"/>
        <v>2094</v>
      </c>
      <c r="C217" s="111">
        <f>[19]С2.5!$CA$11</f>
        <v>0</v>
      </c>
    </row>
    <row r="218" spans="2:3" s="2" customFormat="1" hidden="1" x14ac:dyDescent="0.2">
      <c r="B218" s="110">
        <f t="shared" si="1"/>
        <v>2095</v>
      </c>
      <c r="C218" s="111">
        <f>[19]С2.5!$CB$11</f>
        <v>0</v>
      </c>
    </row>
    <row r="219" spans="2:3" s="2" customFormat="1" hidden="1" x14ac:dyDescent="0.2">
      <c r="B219" s="110">
        <f t="shared" si="1"/>
        <v>2096</v>
      </c>
      <c r="C219" s="111">
        <f>[19]С2.5!$CC$11</f>
        <v>0</v>
      </c>
    </row>
    <row r="220" spans="2:3" s="2" customFormat="1" hidden="1" x14ac:dyDescent="0.2">
      <c r="B220" s="110">
        <f t="shared" si="1"/>
        <v>2097</v>
      </c>
      <c r="C220" s="111">
        <f>[19]С2.5!$CD$11</f>
        <v>0</v>
      </c>
    </row>
    <row r="221" spans="2:3" s="2" customFormat="1" hidden="1" x14ac:dyDescent="0.2">
      <c r="B221" s="110">
        <f t="shared" si="1"/>
        <v>2098</v>
      </c>
      <c r="C221" s="111">
        <f>[19]С2.5!$CE$11</f>
        <v>0</v>
      </c>
    </row>
    <row r="222" spans="2:3" s="2" customFormat="1" hidden="1" x14ac:dyDescent="0.2">
      <c r="B222" s="110">
        <f t="shared" si="1"/>
        <v>2099</v>
      </c>
      <c r="C222" s="111">
        <f>[19]С2.5!$CF$11</f>
        <v>0</v>
      </c>
    </row>
    <row r="223" spans="2:3" s="2" customFormat="1" ht="13.5" hidden="1" thickBot="1" x14ac:dyDescent="0.25">
      <c r="B223" s="112">
        <f t="shared" si="1"/>
        <v>2100</v>
      </c>
      <c r="C223" s="113">
        <f>[19]С2.5!$CG$11</f>
        <v>0</v>
      </c>
    </row>
    <row r="224" spans="2:3" s="2" customFormat="1" hidden="1" x14ac:dyDescent="0.2">
      <c r="C224" s="116"/>
    </row>
    <row r="225" spans="3:3" s="2" customFormat="1" hidden="1" x14ac:dyDescent="0.2">
      <c r="C225" s="116"/>
    </row>
    <row r="226" spans="3:3" s="2" customFormat="1" x14ac:dyDescent="0.2">
      <c r="C226" s="116"/>
    </row>
  </sheetData>
  <mergeCells count="9">
    <mergeCell ref="B124:D124"/>
    <mergeCell ref="B127:D127"/>
    <mergeCell ref="B141:D141"/>
    <mergeCell ref="B1:D1"/>
    <mergeCell ref="A14:C14"/>
    <mergeCell ref="B27:D27"/>
    <mergeCell ref="B40:D40"/>
    <mergeCell ref="B84:D84"/>
    <mergeCell ref="B95:D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9153" r:id="rId3" name="Button 1">
              <controlPr defaultSize="0" print="0" autoFill="0" autoPict="0" macro="[19]!Лист29.PrintBlock">
                <anchor moveWithCells="1" sizeWithCells="1">
                  <from>
                    <xdr:col>4</xdr:col>
                    <xdr:colOff>38100</xdr:colOff>
                    <xdr:row>0</xdr:row>
                    <xdr:rowOff>85725</xdr:rowOff>
                  </from>
                  <to>
                    <xdr:col>5</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19</vt:i4>
      </vt:variant>
    </vt:vector>
  </HeadingPairs>
  <TitlesOfParts>
    <vt:vector size="19" baseType="lpstr">
      <vt:lpstr>РП Краснозерское</vt:lpstr>
      <vt:lpstr>Аксенихинский</vt:lpstr>
      <vt:lpstr>Веселовский</vt:lpstr>
      <vt:lpstr>Зубковский</vt:lpstr>
      <vt:lpstr>Казанакский</vt:lpstr>
      <vt:lpstr>Кайгородский</vt:lpstr>
      <vt:lpstr>Колыбельский</vt:lpstr>
      <vt:lpstr>Коневский</vt:lpstr>
      <vt:lpstr>Лобинский</vt:lpstr>
      <vt:lpstr>Лотошанский</vt:lpstr>
      <vt:lpstr>Майский</vt:lpstr>
      <vt:lpstr>Мохнатологовский</vt:lpstr>
      <vt:lpstr>Нижнечеремошинский</vt:lpstr>
      <vt:lpstr>Октябрьский</vt:lpstr>
      <vt:lpstr>Орехово-Логовской</vt:lpstr>
      <vt:lpstr>Половинский</vt:lpstr>
      <vt:lpstr>Полойский</vt:lpstr>
      <vt:lpstr>Садовский</vt:lpstr>
      <vt:lpstr>Светловский</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Ерыгина</dc:creator>
  <cp:lastModifiedBy>Большаков</cp:lastModifiedBy>
  <dcterms:created xsi:type="dcterms:W3CDTF">2023-01-18T04:55:49Z</dcterms:created>
  <dcterms:modified xsi:type="dcterms:W3CDTF">2025-01-17T09:46:51Z</dcterms:modified>
</cp:coreProperties>
</file>