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50" windowWidth="27795" windowHeight="11580" firstSheet="8" activeTab="16"/>
  </bookViews>
  <sheets>
    <sheet name="Абрамовский сс" sheetId="2" r:id="rId1"/>
    <sheet name="Балманский сс" sheetId="3" r:id="rId2"/>
    <sheet name="Булатовский сс" sheetId="4" r:id="rId3"/>
    <sheet name="Верх-Ичинский" sheetId="5" r:id="rId4"/>
    <sheet name="Веснянский сс" sheetId="6" r:id="rId5"/>
    <sheet name="Гжатский сс" sheetId="7" r:id="rId6"/>
    <sheet name="Горбуновский сс" sheetId="8" r:id="rId7"/>
    <sheet name="Зоновский сс" sheetId="9" r:id="rId8"/>
    <sheet name="Камский сс" sheetId="10" r:id="rId9"/>
    <sheet name="Куйбышевский сс" sheetId="11" r:id="rId10"/>
    <sheet name="МИхайловский сс" sheetId="12" r:id="rId11"/>
    <sheet name="Новоичинский сс" sheetId="13" r:id="rId12"/>
    <sheet name="Октябрьский сс" sheetId="14" r:id="rId13"/>
    <sheet name="Осиновский сс" sheetId="18" r:id="rId14"/>
    <sheet name="Отрадненский сс" sheetId="15" r:id="rId15"/>
    <sheet name="Сергинский сс" sheetId="16" r:id="rId16"/>
    <sheet name="Чумаковский сс" sheetId="17" r:id="rId17"/>
  </sheets>
  <externalReferences>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18" l="1"/>
  <c r="C222" i="18"/>
  <c r="C221" i="18"/>
  <c r="C220" i="18"/>
  <c r="C219" i="18"/>
  <c r="C218" i="18"/>
  <c r="C217" i="18"/>
  <c r="C216" i="18"/>
  <c r="C215" i="18"/>
  <c r="C214" i="18"/>
  <c r="C213" i="18"/>
  <c r="C212" i="18"/>
  <c r="C211" i="18"/>
  <c r="C210" i="18"/>
  <c r="C209" i="18"/>
  <c r="C208" i="18"/>
  <c r="C207" i="18"/>
  <c r="C206" i="18"/>
  <c r="C205" i="18"/>
  <c r="C204" i="18"/>
  <c r="C203" i="18"/>
  <c r="C202" i="18"/>
  <c r="C201" i="18"/>
  <c r="C200" i="18"/>
  <c r="C199" i="18"/>
  <c r="C198" i="18"/>
  <c r="C197" i="18"/>
  <c r="C196" i="18"/>
  <c r="C195" i="18"/>
  <c r="C194" i="18"/>
  <c r="C193" i="18"/>
  <c r="C192" i="18"/>
  <c r="C191" i="18"/>
  <c r="C190" i="18"/>
  <c r="C189" i="18"/>
  <c r="C188" i="18"/>
  <c r="C187" i="18"/>
  <c r="C186" i="18"/>
  <c r="C185" i="18"/>
  <c r="C184" i="18"/>
  <c r="C183" i="18"/>
  <c r="C182" i="18"/>
  <c r="C181" i="18"/>
  <c r="C180" i="18"/>
  <c r="C179" i="18"/>
  <c r="C178" i="18"/>
  <c r="C177" i="18"/>
  <c r="C176" i="18"/>
  <c r="C175" i="18"/>
  <c r="C174" i="18"/>
  <c r="C173" i="18"/>
  <c r="C172" i="18"/>
  <c r="C171" i="18"/>
  <c r="C170" i="18"/>
  <c r="C169" i="18"/>
  <c r="C168" i="18"/>
  <c r="C167" i="18"/>
  <c r="C166" i="18"/>
  <c r="C165" i="18"/>
  <c r="C164" i="18"/>
  <c r="C163" i="18"/>
  <c r="C162" i="18"/>
  <c r="C161" i="18"/>
  <c r="C160" i="18"/>
  <c r="C159" i="18"/>
  <c r="C158" i="18"/>
  <c r="C157" i="18"/>
  <c r="C156" i="18"/>
  <c r="C155" i="18"/>
  <c r="C154" i="18"/>
  <c r="C153" i="18"/>
  <c r="C152" i="18"/>
  <c r="C151" i="18"/>
  <c r="C150" i="18"/>
  <c r="C149" i="18"/>
  <c r="C148" i="18"/>
  <c r="C147" i="18"/>
  <c r="C146" i="18"/>
  <c r="C145" i="18"/>
  <c r="C144" i="18"/>
  <c r="B144" i="18"/>
  <c r="B145" i="18" s="1"/>
  <c r="B146" i="18" s="1"/>
  <c r="B147" i="18" s="1"/>
  <c r="B148" i="18" s="1"/>
  <c r="B149" i="18" s="1"/>
  <c r="B150" i="18" s="1"/>
  <c r="B151" i="18" s="1"/>
  <c r="B152" i="18" s="1"/>
  <c r="B153" i="18" s="1"/>
  <c r="B154" i="18" s="1"/>
  <c r="B155" i="18" s="1"/>
  <c r="B156" i="18" s="1"/>
  <c r="B157" i="18" s="1"/>
  <c r="B158" i="18" s="1"/>
  <c r="B159" i="18" s="1"/>
  <c r="B160" i="18" s="1"/>
  <c r="B161" i="18" s="1"/>
  <c r="B162" i="18" s="1"/>
  <c r="B163" i="18" s="1"/>
  <c r="B164" i="18" s="1"/>
  <c r="B165" i="18" s="1"/>
  <c r="B166" i="18" s="1"/>
  <c r="B167" i="18" s="1"/>
  <c r="B168" i="18" s="1"/>
  <c r="B169" i="18" s="1"/>
  <c r="B170" i="18" s="1"/>
  <c r="B171" i="18" s="1"/>
  <c r="B172" i="18" s="1"/>
  <c r="B173" i="18" s="1"/>
  <c r="B174" i="18" s="1"/>
  <c r="B175" i="18" s="1"/>
  <c r="B176" i="18" s="1"/>
  <c r="B177" i="18" s="1"/>
  <c r="B178" i="18" s="1"/>
  <c r="B179" i="18" s="1"/>
  <c r="B180" i="18" s="1"/>
  <c r="B181" i="18" s="1"/>
  <c r="B182" i="18" s="1"/>
  <c r="B183" i="18" s="1"/>
  <c r="B184" i="18" s="1"/>
  <c r="B185" i="18" s="1"/>
  <c r="B186" i="18" s="1"/>
  <c r="B187" i="18" s="1"/>
  <c r="B188" i="18" s="1"/>
  <c r="B189" i="18" s="1"/>
  <c r="B190" i="18" s="1"/>
  <c r="B191" i="18" s="1"/>
  <c r="B192" i="18" s="1"/>
  <c r="B193" i="18" s="1"/>
  <c r="B194" i="18" s="1"/>
  <c r="B195" i="18" s="1"/>
  <c r="B196" i="18" s="1"/>
  <c r="B197" i="18" s="1"/>
  <c r="B198" i="18" s="1"/>
  <c r="B199" i="18" s="1"/>
  <c r="B200" i="18" s="1"/>
  <c r="B201" i="18" s="1"/>
  <c r="B202" i="18" s="1"/>
  <c r="B203" i="18" s="1"/>
  <c r="B204" i="18" s="1"/>
  <c r="B205" i="18" s="1"/>
  <c r="B206" i="18" s="1"/>
  <c r="B207" i="18" s="1"/>
  <c r="B208" i="18" s="1"/>
  <c r="B209" i="18" s="1"/>
  <c r="B210" i="18" s="1"/>
  <c r="B211" i="18" s="1"/>
  <c r="B212" i="18" s="1"/>
  <c r="B213" i="18" s="1"/>
  <c r="B214" i="18" s="1"/>
  <c r="B215" i="18" s="1"/>
  <c r="B216" i="18" s="1"/>
  <c r="B217" i="18" s="1"/>
  <c r="B218" i="18" s="1"/>
  <c r="B219" i="18" s="1"/>
  <c r="B220" i="18" s="1"/>
  <c r="B221" i="18" s="1"/>
  <c r="B222" i="18" s="1"/>
  <c r="B223" i="18" s="1"/>
  <c r="C143" i="18"/>
  <c r="D140" i="18"/>
  <c r="C140" i="18"/>
  <c r="C138" i="18"/>
  <c r="C137" i="18"/>
  <c r="C136" i="18"/>
  <c r="C135" i="18"/>
  <c r="C125" i="18"/>
  <c r="D122" i="18"/>
  <c r="C122" i="18"/>
  <c r="C121" i="18"/>
  <c r="C120" i="18"/>
  <c r="C119" i="18"/>
  <c r="C118" i="18"/>
  <c r="C117" i="18"/>
  <c r="C116" i="18"/>
  <c r="C115" i="18"/>
  <c r="C114" i="18"/>
  <c r="C113" i="18"/>
  <c r="C112" i="18"/>
  <c r="D111" i="18"/>
  <c r="C111" i="18"/>
  <c r="D110" i="18"/>
  <c r="C110" i="18"/>
  <c r="D109" i="18"/>
  <c r="C109" i="18"/>
  <c r="D108" i="18"/>
  <c r="C108" i="18"/>
  <c r="C107" i="18"/>
  <c r="C106" i="18"/>
  <c r="C105" i="18"/>
  <c r="C104" i="18"/>
  <c r="D103" i="18"/>
  <c r="C103" i="18"/>
  <c r="C102" i="18"/>
  <c r="C101" i="18"/>
  <c r="C100" i="18"/>
  <c r="C99" i="18"/>
  <c r="C98" i="18"/>
  <c r="C97" i="18"/>
  <c r="C96" i="18"/>
  <c r="C93" i="18"/>
  <c r="D92" i="18"/>
  <c r="C92" i="18"/>
  <c r="C91" i="18"/>
  <c r="C90" i="18"/>
  <c r="D89" i="18"/>
  <c r="C89" i="18"/>
  <c r="C88" i="18"/>
  <c r="C87" i="18"/>
  <c r="D86" i="18"/>
  <c r="C86" i="18"/>
  <c r="C85" i="18"/>
  <c r="C82" i="18"/>
  <c r="C81" i="18"/>
  <c r="D80" i="18"/>
  <c r="C80" i="18"/>
  <c r="C79" i="18"/>
  <c r="D78" i="18"/>
  <c r="C78" i="18"/>
  <c r="D77" i="18"/>
  <c r="C77" i="18"/>
  <c r="C76" i="18"/>
  <c r="C75" i="18"/>
  <c r="D74" i="18"/>
  <c r="C74" i="18"/>
  <c r="C73" i="18"/>
  <c r="C72" i="18"/>
  <c r="D72" i="18" s="1"/>
  <c r="C71" i="18"/>
  <c r="D71" i="18" s="1"/>
  <c r="C70" i="18"/>
  <c r="C69" i="18"/>
  <c r="D68" i="18"/>
  <c r="C68" i="18"/>
  <c r="C67" i="18"/>
  <c r="C66" i="18"/>
  <c r="C65" i="18"/>
  <c r="C64" i="18"/>
  <c r="D63" i="18"/>
  <c r="C63" i="18"/>
  <c r="C62" i="18"/>
  <c r="C61" i="18"/>
  <c r="C60" i="18"/>
  <c r="C59" i="18"/>
  <c r="C58" i="18"/>
  <c r="C57" i="18"/>
  <c r="C56" i="18"/>
  <c r="C55" i="18"/>
  <c r="C54" i="18"/>
  <c r="C53" i="18"/>
  <c r="C52" i="18"/>
  <c r="C51" i="18"/>
  <c r="C50" i="18"/>
  <c r="C49" i="18"/>
  <c r="D48" i="18"/>
  <c r="C48" i="18"/>
  <c r="D47" i="18"/>
  <c r="C47" i="18"/>
  <c r="C46" i="18"/>
  <c r="C45" i="18"/>
  <c r="D44" i="18"/>
  <c r="C44" i="18"/>
  <c r="D43" i="18"/>
  <c r="C43" i="18"/>
  <c r="D42" i="18"/>
  <c r="C42" i="18"/>
  <c r="C41" i="18"/>
  <c r="C38" i="18"/>
  <c r="C37" i="18"/>
  <c r="C36" i="18"/>
  <c r="C35" i="18"/>
  <c r="C34" i="18"/>
  <c r="C33" i="18"/>
  <c r="C32" i="18"/>
  <c r="D31" i="18"/>
  <c r="C31" i="18"/>
  <c r="D30" i="18"/>
  <c r="C30" i="18"/>
  <c r="D29" i="18"/>
  <c r="C29" i="18"/>
  <c r="D28" i="18"/>
  <c r="C28" i="18"/>
  <c r="C23" i="18"/>
  <c r="C22" i="18"/>
  <c r="C21" i="18"/>
  <c r="C20" i="18"/>
  <c r="C19" i="18"/>
  <c r="C18" i="18"/>
  <c r="C17" i="18"/>
  <c r="C13" i="18"/>
  <c r="B13" i="18"/>
  <c r="C12" i="18"/>
  <c r="B12" i="18"/>
  <c r="C11" i="18"/>
  <c r="B11" i="18"/>
  <c r="C10" i="18"/>
  <c r="B10" i="18"/>
  <c r="C9" i="18"/>
  <c r="B9" i="18"/>
  <c r="C8" i="18"/>
  <c r="B8" i="18"/>
  <c r="C7" i="18"/>
  <c r="B7" i="18"/>
  <c r="C6" i="18"/>
  <c r="B6" i="18"/>
  <c r="C5" i="18"/>
  <c r="B5" i="18"/>
  <c r="C4" i="18"/>
  <c r="B4" i="18"/>
  <c r="C2" i="18"/>
  <c r="C223" i="17" l="1"/>
  <c r="C222" i="17"/>
  <c r="C221" i="17"/>
  <c r="C220" i="17"/>
  <c r="C219" i="17"/>
  <c r="C218" i="17"/>
  <c r="C217" i="17"/>
  <c r="C216" i="17"/>
  <c r="C215" i="17"/>
  <c r="C214" i="17"/>
  <c r="C213" i="17"/>
  <c r="C212" i="17"/>
  <c r="C211" i="17"/>
  <c r="C210" i="17"/>
  <c r="C209" i="17"/>
  <c r="C208" i="17"/>
  <c r="C207" i="17"/>
  <c r="C206" i="17"/>
  <c r="C205" i="17"/>
  <c r="C204" i="17"/>
  <c r="C203" i="17"/>
  <c r="C202" i="17"/>
  <c r="C201" i="17"/>
  <c r="C200" i="17"/>
  <c r="C199" i="17"/>
  <c r="C198" i="17"/>
  <c r="C197" i="17"/>
  <c r="C196" i="17"/>
  <c r="C195" i="17"/>
  <c r="C194" i="17"/>
  <c r="C193" i="17"/>
  <c r="C192" i="17"/>
  <c r="C191" i="17"/>
  <c r="C190" i="17"/>
  <c r="C189" i="17"/>
  <c r="C188" i="17"/>
  <c r="C187" i="17"/>
  <c r="C186" i="17"/>
  <c r="C185" i="17"/>
  <c r="C184" i="17"/>
  <c r="C183" i="17"/>
  <c r="C182" i="17"/>
  <c r="C181" i="17"/>
  <c r="C180" i="17"/>
  <c r="C179" i="17"/>
  <c r="C178" i="17"/>
  <c r="C177" i="17"/>
  <c r="C176" i="17"/>
  <c r="C175" i="17"/>
  <c r="C174" i="17"/>
  <c r="C173" i="17"/>
  <c r="C172" i="17"/>
  <c r="C171" i="17"/>
  <c r="C170" i="17"/>
  <c r="C169" i="17"/>
  <c r="C168" i="17"/>
  <c r="C167" i="17"/>
  <c r="C166" i="17"/>
  <c r="C165" i="17"/>
  <c r="C164" i="17"/>
  <c r="C163" i="17"/>
  <c r="C162" i="17"/>
  <c r="C161" i="17"/>
  <c r="C160" i="17"/>
  <c r="C159" i="17"/>
  <c r="C158" i="17"/>
  <c r="C157" i="17"/>
  <c r="C156" i="17"/>
  <c r="C155" i="17"/>
  <c r="C154" i="17"/>
  <c r="C153" i="17"/>
  <c r="C152" i="17"/>
  <c r="C151" i="17"/>
  <c r="C150" i="17"/>
  <c r="C149" i="17"/>
  <c r="C148" i="17"/>
  <c r="C147" i="17"/>
  <c r="C146" i="17"/>
  <c r="C145" i="17"/>
  <c r="C144" i="17"/>
  <c r="B144" i="17"/>
  <c r="B145" i="17" s="1"/>
  <c r="B146" i="17" s="1"/>
  <c r="B147" i="17" s="1"/>
  <c r="B148" i="17" s="1"/>
  <c r="B149" i="17" s="1"/>
  <c r="B150" i="17" s="1"/>
  <c r="B151" i="17" s="1"/>
  <c r="B152" i="17" s="1"/>
  <c r="B153" i="17" s="1"/>
  <c r="B154" i="17" s="1"/>
  <c r="B155" i="17" s="1"/>
  <c r="B156" i="17" s="1"/>
  <c r="B157" i="17" s="1"/>
  <c r="B158" i="17" s="1"/>
  <c r="B159" i="17" s="1"/>
  <c r="B160" i="17" s="1"/>
  <c r="B161" i="17" s="1"/>
  <c r="B162" i="17" s="1"/>
  <c r="B163" i="17" s="1"/>
  <c r="B164" i="17" s="1"/>
  <c r="B165" i="17" s="1"/>
  <c r="B166" i="17" s="1"/>
  <c r="B167" i="17" s="1"/>
  <c r="B168" i="17" s="1"/>
  <c r="B169" i="17" s="1"/>
  <c r="B170" i="17" s="1"/>
  <c r="B171" i="17" s="1"/>
  <c r="B172" i="17" s="1"/>
  <c r="B173" i="17" s="1"/>
  <c r="B174" i="17" s="1"/>
  <c r="B175" i="17" s="1"/>
  <c r="B176" i="17" s="1"/>
  <c r="B177" i="17" s="1"/>
  <c r="B178" i="17" s="1"/>
  <c r="B179" i="17" s="1"/>
  <c r="B180" i="17" s="1"/>
  <c r="B181" i="17" s="1"/>
  <c r="B182" i="17" s="1"/>
  <c r="B183" i="17" s="1"/>
  <c r="B184" i="17" s="1"/>
  <c r="B185" i="17" s="1"/>
  <c r="B186" i="17" s="1"/>
  <c r="B187" i="17" s="1"/>
  <c r="B188" i="17" s="1"/>
  <c r="B189" i="17" s="1"/>
  <c r="B190" i="17" s="1"/>
  <c r="B191" i="17" s="1"/>
  <c r="B192" i="17" s="1"/>
  <c r="B193" i="17" s="1"/>
  <c r="B194" i="17" s="1"/>
  <c r="B195" i="17" s="1"/>
  <c r="B196" i="17" s="1"/>
  <c r="B197" i="17" s="1"/>
  <c r="B198" i="17" s="1"/>
  <c r="B199" i="17" s="1"/>
  <c r="B200" i="17" s="1"/>
  <c r="B201" i="17" s="1"/>
  <c r="B202" i="17" s="1"/>
  <c r="B203" i="17" s="1"/>
  <c r="B204" i="17" s="1"/>
  <c r="B205" i="17" s="1"/>
  <c r="B206" i="17" s="1"/>
  <c r="B207" i="17" s="1"/>
  <c r="B208" i="17" s="1"/>
  <c r="B209" i="17" s="1"/>
  <c r="B210" i="17" s="1"/>
  <c r="B211" i="17" s="1"/>
  <c r="B212" i="17" s="1"/>
  <c r="B213" i="17" s="1"/>
  <c r="B214" i="17" s="1"/>
  <c r="B215" i="17" s="1"/>
  <c r="B216" i="17" s="1"/>
  <c r="B217" i="17" s="1"/>
  <c r="B218" i="17" s="1"/>
  <c r="B219" i="17" s="1"/>
  <c r="B220" i="17" s="1"/>
  <c r="B221" i="17" s="1"/>
  <c r="B222" i="17" s="1"/>
  <c r="B223" i="17" s="1"/>
  <c r="C143" i="17"/>
  <c r="C140" i="17"/>
  <c r="C138" i="17"/>
  <c r="C137" i="17"/>
  <c r="C136" i="17"/>
  <c r="C135" i="17"/>
  <c r="C125" i="17"/>
  <c r="C122" i="17"/>
  <c r="C121" i="17"/>
  <c r="C120" i="17"/>
  <c r="C119" i="17"/>
  <c r="C118" i="17"/>
  <c r="C117" i="17"/>
  <c r="C116" i="17"/>
  <c r="C115" i="17"/>
  <c r="C114" i="17"/>
  <c r="C113" i="17"/>
  <c r="C112" i="17"/>
  <c r="C111" i="17"/>
  <c r="C110" i="17"/>
  <c r="C109" i="17"/>
  <c r="C108" i="17"/>
  <c r="C107" i="17"/>
  <c r="C106" i="17"/>
  <c r="C105" i="17"/>
  <c r="C104" i="17"/>
  <c r="C103" i="17"/>
  <c r="C102" i="17"/>
  <c r="C101" i="17"/>
  <c r="C100" i="17"/>
  <c r="C99" i="17"/>
  <c r="C98" i="17"/>
  <c r="C97" i="17"/>
  <c r="C96" i="17"/>
  <c r="C93" i="17"/>
  <c r="C92" i="17"/>
  <c r="C91" i="17"/>
  <c r="C90" i="17"/>
  <c r="C89" i="17"/>
  <c r="C88" i="17"/>
  <c r="C87" i="17"/>
  <c r="C86" i="17"/>
  <c r="C85" i="17"/>
  <c r="C82" i="17"/>
  <c r="C81" i="17"/>
  <c r="C80" i="17"/>
  <c r="C79" i="17"/>
  <c r="C78" i="17"/>
  <c r="C77" i="17"/>
  <c r="C76" i="17"/>
  <c r="C75" i="17"/>
  <c r="C74" i="17"/>
  <c r="C73" i="17"/>
  <c r="C72" i="17"/>
  <c r="C71" i="17"/>
  <c r="C70" i="17"/>
  <c r="C69" i="17"/>
  <c r="C68" i="17"/>
  <c r="C67" i="17"/>
  <c r="C66" i="17"/>
  <c r="C65" i="17"/>
  <c r="C64" i="17"/>
  <c r="C63" i="17"/>
  <c r="C62" i="17"/>
  <c r="C61" i="17"/>
  <c r="C60" i="17"/>
  <c r="C59" i="17"/>
  <c r="C58" i="17"/>
  <c r="C57" i="17"/>
  <c r="C56" i="17"/>
  <c r="C55" i="17"/>
  <c r="C54" i="17"/>
  <c r="C53" i="17"/>
  <c r="C52" i="17"/>
  <c r="C51" i="17"/>
  <c r="C50" i="17"/>
  <c r="C49" i="17"/>
  <c r="C48" i="17"/>
  <c r="C47" i="17"/>
  <c r="C46" i="17"/>
  <c r="C45" i="17"/>
  <c r="C44" i="17"/>
  <c r="C43" i="17"/>
  <c r="C42" i="17"/>
  <c r="C41" i="17"/>
  <c r="C38" i="17"/>
  <c r="C37" i="17"/>
  <c r="C36" i="17"/>
  <c r="C35" i="17"/>
  <c r="C34" i="17"/>
  <c r="C33" i="17"/>
  <c r="C32" i="17"/>
  <c r="C31" i="17"/>
  <c r="C30" i="17"/>
  <c r="C29" i="17"/>
  <c r="C28" i="17"/>
  <c r="C23" i="17"/>
  <c r="C22" i="17"/>
  <c r="C21" i="17"/>
  <c r="C20" i="17"/>
  <c r="C19" i="17"/>
  <c r="C18" i="17"/>
  <c r="C17" i="17" s="1"/>
  <c r="C13" i="17"/>
  <c r="B13" i="17"/>
  <c r="C12" i="17"/>
  <c r="B12" i="17"/>
  <c r="C11" i="17"/>
  <c r="B11" i="17"/>
  <c r="C10" i="17"/>
  <c r="B10" i="17"/>
  <c r="C9" i="17"/>
  <c r="B9" i="17"/>
  <c r="C8" i="17"/>
  <c r="B8" i="17"/>
  <c r="C7" i="17"/>
  <c r="B7" i="17"/>
  <c r="C6" i="17"/>
  <c r="B6" i="17"/>
  <c r="C5" i="17"/>
  <c r="B5" i="17"/>
  <c r="C4" i="17"/>
  <c r="B4" i="17"/>
  <c r="C2" i="17"/>
  <c r="C223" i="16" l="1"/>
  <c r="C222" i="16"/>
  <c r="C221" i="16"/>
  <c r="C220" i="16"/>
  <c r="C219" i="16"/>
  <c r="C218" i="16"/>
  <c r="C217" i="16"/>
  <c r="C216" i="16"/>
  <c r="C215" i="16"/>
  <c r="C214" i="16"/>
  <c r="C213" i="16"/>
  <c r="C212" i="16"/>
  <c r="C211" i="16"/>
  <c r="C210" i="16"/>
  <c r="C209" i="16"/>
  <c r="C208" i="16"/>
  <c r="C207" i="16"/>
  <c r="C206" i="16"/>
  <c r="C205" i="16"/>
  <c r="C204" i="16"/>
  <c r="C203" i="16"/>
  <c r="C202" i="16"/>
  <c r="C201" i="16"/>
  <c r="C200" i="16"/>
  <c r="C199" i="16"/>
  <c r="C198" i="16"/>
  <c r="C197" i="16"/>
  <c r="C196" i="16"/>
  <c r="C195" i="16"/>
  <c r="C194" i="16"/>
  <c r="C193" i="16"/>
  <c r="C192" i="16"/>
  <c r="C191" i="16"/>
  <c r="C190" i="16"/>
  <c r="C189" i="16"/>
  <c r="C188" i="16"/>
  <c r="C187" i="16"/>
  <c r="C186" i="16"/>
  <c r="C185" i="16"/>
  <c r="C184" i="16"/>
  <c r="C183" i="16"/>
  <c r="C182" i="16"/>
  <c r="C181" i="16"/>
  <c r="C180" i="16"/>
  <c r="C179" i="16"/>
  <c r="C178" i="16"/>
  <c r="C177" i="16"/>
  <c r="C176" i="16"/>
  <c r="C175" i="16"/>
  <c r="C174" i="16"/>
  <c r="C173" i="16"/>
  <c r="C172" i="16"/>
  <c r="C171" i="16"/>
  <c r="C170" i="16"/>
  <c r="C169" i="16"/>
  <c r="C168" i="16"/>
  <c r="C167" i="16"/>
  <c r="C166" i="16"/>
  <c r="C165" i="16"/>
  <c r="C164" i="16"/>
  <c r="C163" i="16"/>
  <c r="C162" i="16"/>
  <c r="C161" i="16"/>
  <c r="C160" i="16"/>
  <c r="C159" i="16"/>
  <c r="C158" i="16"/>
  <c r="C157" i="16"/>
  <c r="C156" i="16"/>
  <c r="C155" i="16"/>
  <c r="C154" i="16"/>
  <c r="C153" i="16"/>
  <c r="C152" i="16"/>
  <c r="C151" i="16"/>
  <c r="C150" i="16"/>
  <c r="C149" i="16"/>
  <c r="C148" i="16"/>
  <c r="C147" i="16"/>
  <c r="C146" i="16"/>
  <c r="C145" i="16"/>
  <c r="C144" i="16"/>
  <c r="B144" i="16"/>
  <c r="B145" i="16" s="1"/>
  <c r="B146" i="16" s="1"/>
  <c r="B147" i="16" s="1"/>
  <c r="B148" i="16" s="1"/>
  <c r="B149" i="16" s="1"/>
  <c r="B150" i="16" s="1"/>
  <c r="B151" i="16" s="1"/>
  <c r="B152" i="16" s="1"/>
  <c r="B153" i="16" s="1"/>
  <c r="B154" i="16" s="1"/>
  <c r="B155" i="16" s="1"/>
  <c r="B156" i="16" s="1"/>
  <c r="B157" i="16" s="1"/>
  <c r="B158" i="16" s="1"/>
  <c r="B159" i="16" s="1"/>
  <c r="B160" i="16" s="1"/>
  <c r="B161" i="16" s="1"/>
  <c r="B162" i="16" s="1"/>
  <c r="B163" i="16" s="1"/>
  <c r="B164" i="16" s="1"/>
  <c r="B165" i="16" s="1"/>
  <c r="B166" i="16" s="1"/>
  <c r="B167" i="16" s="1"/>
  <c r="B168" i="16" s="1"/>
  <c r="B169" i="16" s="1"/>
  <c r="B170" i="16" s="1"/>
  <c r="B171" i="16" s="1"/>
  <c r="B172" i="16" s="1"/>
  <c r="B173" i="16" s="1"/>
  <c r="B174" i="16" s="1"/>
  <c r="B175" i="16" s="1"/>
  <c r="B176" i="16" s="1"/>
  <c r="B177" i="16" s="1"/>
  <c r="B178" i="16" s="1"/>
  <c r="B179" i="16" s="1"/>
  <c r="B180" i="16" s="1"/>
  <c r="B181" i="16" s="1"/>
  <c r="B182" i="16" s="1"/>
  <c r="B183" i="16" s="1"/>
  <c r="B184" i="16" s="1"/>
  <c r="B185" i="16" s="1"/>
  <c r="B186" i="16" s="1"/>
  <c r="B187" i="16" s="1"/>
  <c r="B188" i="16" s="1"/>
  <c r="B189" i="16" s="1"/>
  <c r="B190" i="16" s="1"/>
  <c r="B191" i="16" s="1"/>
  <c r="B192" i="16" s="1"/>
  <c r="B193" i="16" s="1"/>
  <c r="B194" i="16" s="1"/>
  <c r="B195" i="16" s="1"/>
  <c r="B196" i="16" s="1"/>
  <c r="B197" i="16" s="1"/>
  <c r="B198" i="16" s="1"/>
  <c r="B199" i="16" s="1"/>
  <c r="B200" i="16" s="1"/>
  <c r="B201" i="16" s="1"/>
  <c r="B202" i="16" s="1"/>
  <c r="B203" i="16" s="1"/>
  <c r="B204" i="16" s="1"/>
  <c r="B205" i="16" s="1"/>
  <c r="B206" i="16" s="1"/>
  <c r="B207" i="16" s="1"/>
  <c r="B208" i="16" s="1"/>
  <c r="B209" i="16" s="1"/>
  <c r="B210" i="16" s="1"/>
  <c r="B211" i="16" s="1"/>
  <c r="B212" i="16" s="1"/>
  <c r="B213" i="16" s="1"/>
  <c r="B214" i="16" s="1"/>
  <c r="B215" i="16" s="1"/>
  <c r="B216" i="16" s="1"/>
  <c r="B217" i="16" s="1"/>
  <c r="B218" i="16" s="1"/>
  <c r="B219" i="16" s="1"/>
  <c r="B220" i="16" s="1"/>
  <c r="B221" i="16" s="1"/>
  <c r="B222" i="16" s="1"/>
  <c r="B223" i="16" s="1"/>
  <c r="C143" i="16"/>
  <c r="C140" i="16"/>
  <c r="C138" i="16"/>
  <c r="C137" i="16"/>
  <c r="C136" i="16"/>
  <c r="C135" i="16"/>
  <c r="C125" i="16"/>
  <c r="C122" i="16"/>
  <c r="C121" i="16"/>
  <c r="C120" i="16"/>
  <c r="C119" i="16"/>
  <c r="C118" i="16"/>
  <c r="C117" i="16"/>
  <c r="C116" i="16"/>
  <c r="C115" i="16"/>
  <c r="C114" i="16"/>
  <c r="C113" i="16"/>
  <c r="C112" i="16"/>
  <c r="C111" i="16"/>
  <c r="C110" i="16"/>
  <c r="C109" i="16"/>
  <c r="C108" i="16"/>
  <c r="C107" i="16"/>
  <c r="C106" i="16"/>
  <c r="C105" i="16"/>
  <c r="C104" i="16"/>
  <c r="C103" i="16"/>
  <c r="C102" i="16"/>
  <c r="C101" i="16"/>
  <c r="C100" i="16"/>
  <c r="C99" i="16"/>
  <c r="C98" i="16"/>
  <c r="C97" i="16"/>
  <c r="C96" i="16"/>
  <c r="C93" i="16"/>
  <c r="C92" i="16"/>
  <c r="C91" i="16"/>
  <c r="C90" i="16"/>
  <c r="C89" i="16"/>
  <c r="C88" i="16"/>
  <c r="C87" i="16"/>
  <c r="C86" i="16"/>
  <c r="C85" i="16"/>
  <c r="C82" i="16"/>
  <c r="C81" i="16"/>
  <c r="C80" i="16"/>
  <c r="C79" i="16"/>
  <c r="C78" i="16"/>
  <c r="C77" i="16"/>
  <c r="C76" i="16"/>
  <c r="C75" i="16"/>
  <c r="C74" i="16"/>
  <c r="C73" i="16"/>
  <c r="C72" i="16"/>
  <c r="C71" i="16"/>
  <c r="C70" i="16"/>
  <c r="C69" i="16"/>
  <c r="C68" i="16"/>
  <c r="C67" i="16"/>
  <c r="C66" i="16"/>
  <c r="C65" i="16"/>
  <c r="C64" i="16"/>
  <c r="C63" i="16"/>
  <c r="C62" i="16"/>
  <c r="C61" i="16"/>
  <c r="C60" i="16"/>
  <c r="C59" i="16"/>
  <c r="C58" i="16"/>
  <c r="C57" i="16"/>
  <c r="C56" i="16"/>
  <c r="C55" i="16"/>
  <c r="C54" i="16"/>
  <c r="C53" i="16"/>
  <c r="C52" i="16"/>
  <c r="C51" i="16"/>
  <c r="C50" i="16"/>
  <c r="C49" i="16"/>
  <c r="C48" i="16"/>
  <c r="C47" i="16"/>
  <c r="C46" i="16"/>
  <c r="C45" i="16"/>
  <c r="C44" i="16"/>
  <c r="C43" i="16"/>
  <c r="C42" i="16"/>
  <c r="C41" i="16"/>
  <c r="C38" i="16"/>
  <c r="C37" i="16"/>
  <c r="C36" i="16"/>
  <c r="C35" i="16"/>
  <c r="C34" i="16"/>
  <c r="C33" i="16"/>
  <c r="C32" i="16"/>
  <c r="C31" i="16"/>
  <c r="C30" i="16"/>
  <c r="C29" i="16"/>
  <c r="C28" i="16"/>
  <c r="C23" i="16"/>
  <c r="C22" i="16"/>
  <c r="C21" i="16"/>
  <c r="C20" i="16"/>
  <c r="C19" i="16"/>
  <c r="C18" i="16"/>
  <c r="C17" i="16" s="1"/>
  <c r="C13" i="16"/>
  <c r="B13" i="16"/>
  <c r="C12" i="16"/>
  <c r="B12" i="16"/>
  <c r="C11" i="16"/>
  <c r="B11" i="16"/>
  <c r="C10" i="16"/>
  <c r="B10" i="16"/>
  <c r="C9" i="16"/>
  <c r="B9" i="16"/>
  <c r="C8" i="16"/>
  <c r="B8" i="16"/>
  <c r="C7" i="16"/>
  <c r="B7" i="16"/>
  <c r="C6" i="16"/>
  <c r="B6" i="16"/>
  <c r="C5" i="16"/>
  <c r="B5" i="16"/>
  <c r="C4" i="16"/>
  <c r="B4" i="16"/>
  <c r="C2" i="16"/>
  <c r="C223" i="15" l="1"/>
  <c r="C222" i="15"/>
  <c r="C221" i="15"/>
  <c r="C220" i="15"/>
  <c r="C219" i="15"/>
  <c r="C218" i="15"/>
  <c r="C217" i="15"/>
  <c r="C216" i="15"/>
  <c r="C215" i="15"/>
  <c r="C214" i="15"/>
  <c r="C213" i="15"/>
  <c r="C212" i="15"/>
  <c r="C211" i="15"/>
  <c r="C210" i="15"/>
  <c r="C209" i="15"/>
  <c r="C208" i="15"/>
  <c r="C207" i="15"/>
  <c r="C206" i="15"/>
  <c r="C205" i="15"/>
  <c r="C204" i="15"/>
  <c r="C203" i="15"/>
  <c r="C202" i="15"/>
  <c r="C201" i="15"/>
  <c r="C200" i="15"/>
  <c r="C199" i="15"/>
  <c r="C198" i="15"/>
  <c r="C197" i="15"/>
  <c r="C196" i="15"/>
  <c r="C195" i="15"/>
  <c r="C194" i="15"/>
  <c r="C193" i="15"/>
  <c r="C192" i="15"/>
  <c r="C191" i="15"/>
  <c r="C190" i="15"/>
  <c r="C189" i="15"/>
  <c r="C188" i="15"/>
  <c r="C187" i="15"/>
  <c r="C186" i="15"/>
  <c r="C185" i="15"/>
  <c r="C184" i="15"/>
  <c r="C183" i="15"/>
  <c r="C182" i="15"/>
  <c r="C181" i="15"/>
  <c r="C180" i="15"/>
  <c r="C179" i="15"/>
  <c r="C178" i="15"/>
  <c r="C177" i="15"/>
  <c r="C176" i="15"/>
  <c r="C175" i="15"/>
  <c r="C174" i="15"/>
  <c r="C173" i="15"/>
  <c r="C172" i="15"/>
  <c r="C171" i="15"/>
  <c r="C170" i="15"/>
  <c r="C169" i="15"/>
  <c r="C168" i="15"/>
  <c r="C167" i="15"/>
  <c r="C166" i="15"/>
  <c r="C165" i="15"/>
  <c r="C164" i="15"/>
  <c r="C163" i="15"/>
  <c r="C162" i="15"/>
  <c r="C161" i="15"/>
  <c r="C160" i="15"/>
  <c r="C159" i="15"/>
  <c r="C158" i="15"/>
  <c r="C157" i="15"/>
  <c r="C156" i="15"/>
  <c r="C155" i="15"/>
  <c r="C154" i="15"/>
  <c r="C153" i="15"/>
  <c r="C152" i="15"/>
  <c r="C151" i="15"/>
  <c r="C150" i="15"/>
  <c r="C149" i="15"/>
  <c r="C148" i="15"/>
  <c r="C147" i="15"/>
  <c r="C146" i="15"/>
  <c r="C145" i="15"/>
  <c r="C144" i="15"/>
  <c r="B144" i="15"/>
  <c r="B145" i="15" s="1"/>
  <c r="B146" i="15" s="1"/>
  <c r="B147" i="15" s="1"/>
  <c r="B148" i="15" s="1"/>
  <c r="B149" i="15" s="1"/>
  <c r="B150" i="15" s="1"/>
  <c r="B151" i="15" s="1"/>
  <c r="B152" i="15" s="1"/>
  <c r="B153" i="15" s="1"/>
  <c r="B154" i="15" s="1"/>
  <c r="B155" i="15" s="1"/>
  <c r="B156" i="15" s="1"/>
  <c r="B157" i="15" s="1"/>
  <c r="B158" i="15" s="1"/>
  <c r="B159" i="15" s="1"/>
  <c r="B160" i="15" s="1"/>
  <c r="B161" i="15" s="1"/>
  <c r="B162" i="15" s="1"/>
  <c r="B163" i="15" s="1"/>
  <c r="B164" i="15" s="1"/>
  <c r="B165" i="15" s="1"/>
  <c r="B166" i="15" s="1"/>
  <c r="B167" i="15" s="1"/>
  <c r="B168" i="15" s="1"/>
  <c r="B169" i="15" s="1"/>
  <c r="B170" i="15" s="1"/>
  <c r="B171" i="15" s="1"/>
  <c r="B172" i="15" s="1"/>
  <c r="B173" i="15" s="1"/>
  <c r="B174" i="15" s="1"/>
  <c r="B175" i="15" s="1"/>
  <c r="B176" i="15" s="1"/>
  <c r="B177" i="15" s="1"/>
  <c r="B178" i="15" s="1"/>
  <c r="B179" i="15" s="1"/>
  <c r="B180" i="15" s="1"/>
  <c r="B181" i="15" s="1"/>
  <c r="B182" i="15" s="1"/>
  <c r="B183" i="15" s="1"/>
  <c r="B184" i="15" s="1"/>
  <c r="B185" i="15" s="1"/>
  <c r="B186" i="15" s="1"/>
  <c r="B187" i="15" s="1"/>
  <c r="B188" i="15" s="1"/>
  <c r="B189" i="15" s="1"/>
  <c r="B190" i="15" s="1"/>
  <c r="B191" i="15" s="1"/>
  <c r="B192" i="15" s="1"/>
  <c r="B193" i="15" s="1"/>
  <c r="B194" i="15" s="1"/>
  <c r="B195" i="15" s="1"/>
  <c r="B196" i="15" s="1"/>
  <c r="B197" i="15" s="1"/>
  <c r="B198" i="15" s="1"/>
  <c r="B199" i="15" s="1"/>
  <c r="B200" i="15" s="1"/>
  <c r="B201" i="15" s="1"/>
  <c r="B202" i="15" s="1"/>
  <c r="B203" i="15" s="1"/>
  <c r="B204" i="15" s="1"/>
  <c r="B205" i="15" s="1"/>
  <c r="B206" i="15" s="1"/>
  <c r="B207" i="15" s="1"/>
  <c r="B208" i="15" s="1"/>
  <c r="B209" i="15" s="1"/>
  <c r="B210" i="15" s="1"/>
  <c r="B211" i="15" s="1"/>
  <c r="B212" i="15" s="1"/>
  <c r="B213" i="15" s="1"/>
  <c r="B214" i="15" s="1"/>
  <c r="B215" i="15" s="1"/>
  <c r="B216" i="15" s="1"/>
  <c r="B217" i="15" s="1"/>
  <c r="B218" i="15" s="1"/>
  <c r="B219" i="15" s="1"/>
  <c r="B220" i="15" s="1"/>
  <c r="B221" i="15" s="1"/>
  <c r="B222" i="15" s="1"/>
  <c r="B223" i="15" s="1"/>
  <c r="C143" i="15"/>
  <c r="C140" i="15"/>
  <c r="C138" i="15"/>
  <c r="C137" i="15"/>
  <c r="C136" i="15"/>
  <c r="C135" i="15"/>
  <c r="C125" i="15"/>
  <c r="C122" i="15"/>
  <c r="C121" i="15"/>
  <c r="C120" i="15"/>
  <c r="C119" i="15"/>
  <c r="C118" i="15"/>
  <c r="C117" i="15"/>
  <c r="C116" i="15"/>
  <c r="C115" i="15"/>
  <c r="C114" i="15"/>
  <c r="C113" i="15"/>
  <c r="C112" i="15"/>
  <c r="C111" i="15"/>
  <c r="C110" i="15"/>
  <c r="C109" i="15"/>
  <c r="C108" i="15"/>
  <c r="C107" i="15"/>
  <c r="C106" i="15"/>
  <c r="C105" i="15"/>
  <c r="C104" i="15"/>
  <c r="C103" i="15"/>
  <c r="C102" i="15"/>
  <c r="C101" i="15"/>
  <c r="C100" i="15"/>
  <c r="C99" i="15"/>
  <c r="C98" i="15"/>
  <c r="C97" i="15"/>
  <c r="C96" i="15"/>
  <c r="C93" i="15"/>
  <c r="C92" i="15"/>
  <c r="C91" i="15"/>
  <c r="C90" i="15"/>
  <c r="C89" i="15"/>
  <c r="C88" i="15"/>
  <c r="C87" i="15"/>
  <c r="C86" i="15"/>
  <c r="C85" i="15"/>
  <c r="C82" i="15"/>
  <c r="C81" i="15"/>
  <c r="C80" i="15"/>
  <c r="C79" i="15"/>
  <c r="C78" i="15"/>
  <c r="C77" i="15"/>
  <c r="C76" i="15"/>
  <c r="C75" i="15"/>
  <c r="C74" i="15"/>
  <c r="C73" i="15"/>
  <c r="C72" i="15"/>
  <c r="C71" i="15"/>
  <c r="C70" i="15"/>
  <c r="C69" i="15"/>
  <c r="C68" i="15"/>
  <c r="C67" i="15"/>
  <c r="C66" i="15"/>
  <c r="C65" i="15"/>
  <c r="C64" i="15"/>
  <c r="C63" i="15"/>
  <c r="C62" i="15"/>
  <c r="C61" i="15"/>
  <c r="C60" i="15"/>
  <c r="C59" i="15"/>
  <c r="C58" i="15"/>
  <c r="C57" i="15"/>
  <c r="C56" i="15"/>
  <c r="C55" i="15"/>
  <c r="C54" i="15"/>
  <c r="C53" i="15"/>
  <c r="C52" i="15"/>
  <c r="C51" i="15"/>
  <c r="C50" i="15"/>
  <c r="C49" i="15"/>
  <c r="C48" i="15"/>
  <c r="C47" i="15"/>
  <c r="C46" i="15"/>
  <c r="C45" i="15"/>
  <c r="C44" i="15"/>
  <c r="C43" i="15"/>
  <c r="C42" i="15"/>
  <c r="C41" i="15"/>
  <c r="C38" i="15"/>
  <c r="C37" i="15"/>
  <c r="C36" i="15"/>
  <c r="C35" i="15"/>
  <c r="C34" i="15"/>
  <c r="C33" i="15"/>
  <c r="C32" i="15"/>
  <c r="C31" i="15"/>
  <c r="C30" i="15"/>
  <c r="C29" i="15"/>
  <c r="C28" i="15"/>
  <c r="C23" i="15"/>
  <c r="C22" i="15"/>
  <c r="C21" i="15"/>
  <c r="C20" i="15"/>
  <c r="C19" i="15"/>
  <c r="C18" i="15"/>
  <c r="C17" i="15" s="1"/>
  <c r="C13" i="15"/>
  <c r="B13" i="15"/>
  <c r="C12" i="15"/>
  <c r="B12" i="15"/>
  <c r="C11" i="15"/>
  <c r="B11" i="15"/>
  <c r="C10" i="15"/>
  <c r="B10" i="15"/>
  <c r="C9" i="15"/>
  <c r="B9" i="15"/>
  <c r="C8" i="15"/>
  <c r="B8" i="15"/>
  <c r="C7" i="15"/>
  <c r="B7" i="15"/>
  <c r="C6" i="15"/>
  <c r="B6" i="15"/>
  <c r="C5" i="15"/>
  <c r="B5" i="15"/>
  <c r="C4" i="15"/>
  <c r="B4" i="15"/>
  <c r="C2" i="15"/>
  <c r="C225" i="14" l="1"/>
  <c r="C224" i="14"/>
  <c r="C223" i="14"/>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B146" i="14"/>
  <c r="B147" i="14" s="1"/>
  <c r="B148" i="14" s="1"/>
  <c r="B149" i="14" s="1"/>
  <c r="B150" i="14" s="1"/>
  <c r="B151" i="14" s="1"/>
  <c r="B152" i="14" s="1"/>
  <c r="B153" i="14" s="1"/>
  <c r="B154" i="14" s="1"/>
  <c r="B155" i="14" s="1"/>
  <c r="B156" i="14" s="1"/>
  <c r="B157" i="14" s="1"/>
  <c r="B158" i="14" s="1"/>
  <c r="B159" i="14" s="1"/>
  <c r="B160" i="14" s="1"/>
  <c r="B161" i="14" s="1"/>
  <c r="B162" i="14" s="1"/>
  <c r="C145" i="14"/>
  <c r="C142" i="14"/>
  <c r="C140" i="14"/>
  <c r="C139" i="14"/>
  <c r="C138" i="14"/>
  <c r="C137" i="14"/>
  <c r="C135" i="14"/>
  <c r="C134" i="14"/>
  <c r="C133" i="14"/>
  <c r="C132" i="14"/>
  <c r="C131" i="14"/>
  <c r="C130" i="14"/>
  <c r="C127" i="14"/>
  <c r="C124" i="14"/>
  <c r="C123" i="14"/>
  <c r="C122" i="14"/>
  <c r="C121" i="14"/>
  <c r="C120" i="14"/>
  <c r="C119" i="14"/>
  <c r="C118" i="14"/>
  <c r="C117" i="14"/>
  <c r="C116" i="14"/>
  <c r="C115" i="14"/>
  <c r="C114" i="14"/>
  <c r="C113" i="14"/>
  <c r="C112" i="14"/>
  <c r="C111" i="14"/>
  <c r="C110" i="14"/>
  <c r="C109" i="14"/>
  <c r="C108" i="14"/>
  <c r="C107" i="14"/>
  <c r="C106" i="14"/>
  <c r="C105" i="14"/>
  <c r="C104" i="14"/>
  <c r="C103" i="14"/>
  <c r="C102" i="14"/>
  <c r="C99" i="14"/>
  <c r="C98" i="14"/>
  <c r="C97" i="14"/>
  <c r="C96" i="14"/>
  <c r="C95" i="14"/>
  <c r="C94" i="14"/>
  <c r="C93" i="14"/>
  <c r="C92" i="14"/>
  <c r="C91" i="14"/>
  <c r="C88" i="14"/>
  <c r="C87" i="14"/>
  <c r="C86" i="14"/>
  <c r="C85" i="14"/>
  <c r="C84" i="14"/>
  <c r="C83"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3" i="14"/>
  <c r="C42" i="14"/>
  <c r="C41" i="14"/>
  <c r="C40" i="14"/>
  <c r="C39" i="14"/>
  <c r="C38" i="14"/>
  <c r="C37" i="14"/>
  <c r="C36" i="14"/>
  <c r="C35" i="14"/>
  <c r="C34" i="14"/>
  <c r="B34" i="14"/>
  <c r="C33" i="14"/>
  <c r="B33" i="14"/>
  <c r="C32" i="14"/>
  <c r="B32" i="14"/>
  <c r="C31" i="14"/>
  <c r="B31" i="14"/>
  <c r="C30" i="14"/>
  <c r="C29" i="14"/>
  <c r="C28" i="14"/>
  <c r="C23" i="14"/>
  <c r="C22" i="14"/>
  <c r="C21" i="14"/>
  <c r="C20" i="14"/>
  <c r="C19" i="14"/>
  <c r="C18" i="14"/>
  <c r="C17" i="14"/>
  <c r="C13" i="14"/>
  <c r="B13" i="14"/>
  <c r="C12" i="14"/>
  <c r="B12" i="14"/>
  <c r="C11" i="14"/>
  <c r="B11" i="14"/>
  <c r="C10" i="14"/>
  <c r="B10" i="14"/>
  <c r="C9" i="14"/>
  <c r="B9" i="14"/>
  <c r="C8" i="14"/>
  <c r="B8" i="14"/>
  <c r="C7" i="14"/>
  <c r="B7" i="14"/>
  <c r="C6" i="14"/>
  <c r="B6" i="14"/>
  <c r="C5" i="14"/>
  <c r="B5" i="14"/>
  <c r="C4" i="14"/>
  <c r="B4" i="14"/>
  <c r="C2" i="14"/>
  <c r="B225" i="14" l="1"/>
  <c r="B163" i="14"/>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B224" i="14" s="1"/>
  <c r="C223" i="13" l="1"/>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9" i="13"/>
  <c r="C18" i="13"/>
  <c r="C17" i="13" s="1"/>
  <c r="C13" i="13"/>
  <c r="B13" i="13"/>
  <c r="C12" i="13"/>
  <c r="B12" i="13"/>
  <c r="C11" i="13"/>
  <c r="B11" i="13"/>
  <c r="C10" i="13"/>
  <c r="B10" i="13"/>
  <c r="C9" i="13"/>
  <c r="B9" i="13"/>
  <c r="C8" i="13"/>
  <c r="B8" i="13"/>
  <c r="C7" i="13"/>
  <c r="B7" i="13"/>
  <c r="C6" i="13"/>
  <c r="B6" i="13"/>
  <c r="C5" i="13"/>
  <c r="B5" i="13"/>
  <c r="C4" i="13"/>
  <c r="B4" i="13"/>
  <c r="C2" i="13"/>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7" i="12" s="1"/>
  <c r="C13" i="12"/>
  <c r="B13" i="12"/>
  <c r="C12" i="12"/>
  <c r="B12" i="12"/>
  <c r="C11" i="12"/>
  <c r="B11" i="12"/>
  <c r="C10" i="12"/>
  <c r="B10" i="12"/>
  <c r="C9" i="12"/>
  <c r="B9" i="12"/>
  <c r="C8" i="12"/>
  <c r="B8" i="12"/>
  <c r="C7" i="12"/>
  <c r="B7" i="12"/>
  <c r="C6" i="12"/>
  <c r="B6" i="12"/>
  <c r="C5" i="12"/>
  <c r="B5" i="12"/>
  <c r="C4" i="12"/>
  <c r="B4" i="12"/>
  <c r="C2" i="12"/>
  <c r="C223" i="11" l="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7" i="11" s="1"/>
  <c r="C13" i="11"/>
  <c r="B13" i="11"/>
  <c r="C12" i="11"/>
  <c r="B12" i="11"/>
  <c r="C11" i="11"/>
  <c r="B11" i="11"/>
  <c r="C10" i="11"/>
  <c r="B10" i="11"/>
  <c r="C9" i="11"/>
  <c r="B9" i="11"/>
  <c r="C8" i="11"/>
  <c r="B8" i="11"/>
  <c r="C7" i="11"/>
  <c r="B7" i="11"/>
  <c r="C6" i="11"/>
  <c r="B6" i="11"/>
  <c r="C5" i="11"/>
  <c r="B5" i="11"/>
  <c r="C4" i="11"/>
  <c r="B4" i="11"/>
  <c r="C2" i="11"/>
  <c r="C223" i="10" l="1"/>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7" i="10" s="1"/>
  <c r="C13" i="10"/>
  <c r="B13" i="10"/>
  <c r="C12" i="10"/>
  <c r="B12" i="10"/>
  <c r="C11" i="10"/>
  <c r="B11" i="10"/>
  <c r="C10" i="10"/>
  <c r="B10" i="10"/>
  <c r="C9" i="10"/>
  <c r="B9" i="10"/>
  <c r="C8" i="10"/>
  <c r="B8" i="10"/>
  <c r="C7" i="10"/>
  <c r="B7" i="10"/>
  <c r="C6" i="10"/>
  <c r="B6" i="10"/>
  <c r="C5" i="10"/>
  <c r="B5" i="10"/>
  <c r="C4" i="10"/>
  <c r="B4" i="10"/>
  <c r="C2" i="10"/>
  <c r="C223" i="9" l="1"/>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9" i="9"/>
  <c r="C18" i="9"/>
  <c r="C17" i="9" s="1"/>
  <c r="C13" i="9"/>
  <c r="B13" i="9"/>
  <c r="C12" i="9"/>
  <c r="B12" i="9"/>
  <c r="C11" i="9"/>
  <c r="B11" i="9"/>
  <c r="C10" i="9"/>
  <c r="B10" i="9"/>
  <c r="C9" i="9"/>
  <c r="B9" i="9"/>
  <c r="C8" i="9"/>
  <c r="B8" i="9"/>
  <c r="C7" i="9"/>
  <c r="B7" i="9"/>
  <c r="C6" i="9"/>
  <c r="B6" i="9"/>
  <c r="C5" i="9"/>
  <c r="B5" i="9"/>
  <c r="C4" i="9"/>
  <c r="B4" i="9"/>
  <c r="C2" i="9"/>
  <c r="C223" i="8" l="1"/>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7" i="8" s="1"/>
  <c r="C13" i="8"/>
  <c r="B13" i="8"/>
  <c r="C12" i="8"/>
  <c r="B12" i="8"/>
  <c r="C11" i="8"/>
  <c r="B11" i="8"/>
  <c r="C10" i="8"/>
  <c r="B10" i="8"/>
  <c r="C9" i="8"/>
  <c r="B9" i="8"/>
  <c r="C8" i="8"/>
  <c r="B8" i="8"/>
  <c r="C7" i="8"/>
  <c r="B7" i="8"/>
  <c r="C6" i="8"/>
  <c r="B6" i="8"/>
  <c r="C5" i="8"/>
  <c r="B5" i="8"/>
  <c r="C4" i="8"/>
  <c r="B4" i="8"/>
  <c r="C2" i="8"/>
  <c r="C223" i="7" l="1"/>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C145" i="7"/>
  <c r="C144" i="7"/>
  <c r="B144" i="7"/>
  <c r="B145" i="7" s="1"/>
  <c r="B146" i="7" s="1"/>
  <c r="B147" i="7" s="1"/>
  <c r="B148" i="7" s="1"/>
  <c r="B149" i="7" s="1"/>
  <c r="B150" i="7" s="1"/>
  <c r="B151" i="7" s="1"/>
  <c r="B152" i="7" s="1"/>
  <c r="B153" i="7" s="1"/>
  <c r="B154" i="7" s="1"/>
  <c r="B155" i="7" s="1"/>
  <c r="B156" i="7" s="1"/>
  <c r="B157" i="7" s="1"/>
  <c r="B158" i="7" s="1"/>
  <c r="B159" i="7" s="1"/>
  <c r="B160" i="7" s="1"/>
  <c r="B161" i="7" s="1"/>
  <c r="B162" i="7" s="1"/>
  <c r="B163" i="7" s="1"/>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C143" i="7"/>
  <c r="C140" i="7"/>
  <c r="C138" i="7"/>
  <c r="C137" i="7"/>
  <c r="C136" i="7"/>
  <c r="C135" i="7"/>
  <c r="C125" i="7"/>
  <c r="C122" i="7"/>
  <c r="C121" i="7"/>
  <c r="C120" i="7"/>
  <c r="C119" i="7"/>
  <c r="C118" i="7"/>
  <c r="C117" i="7"/>
  <c r="C116" i="7"/>
  <c r="C115" i="7"/>
  <c r="C114" i="7"/>
  <c r="C113" i="7"/>
  <c r="C112" i="7"/>
  <c r="C111" i="7"/>
  <c r="C110" i="7"/>
  <c r="C109" i="7"/>
  <c r="C108" i="7"/>
  <c r="C107" i="7"/>
  <c r="C106" i="7"/>
  <c r="C105" i="7"/>
  <c r="C104" i="7"/>
  <c r="C103" i="7"/>
  <c r="C102" i="7"/>
  <c r="C101" i="7"/>
  <c r="C100" i="7"/>
  <c r="C99" i="7"/>
  <c r="C98" i="7"/>
  <c r="C97" i="7"/>
  <c r="C96" i="7"/>
  <c r="C93" i="7"/>
  <c r="C92" i="7"/>
  <c r="C91" i="7"/>
  <c r="C90" i="7"/>
  <c r="C89" i="7"/>
  <c r="C88" i="7"/>
  <c r="C87" i="7"/>
  <c r="C86" i="7"/>
  <c r="C85"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5" i="7"/>
  <c r="C44" i="7"/>
  <c r="C43" i="7"/>
  <c r="C42" i="7"/>
  <c r="C41" i="7"/>
  <c r="C38" i="7"/>
  <c r="C37" i="7"/>
  <c r="C36" i="7"/>
  <c r="C35" i="7"/>
  <c r="C34" i="7"/>
  <c r="C33" i="7"/>
  <c r="C32" i="7"/>
  <c r="C31" i="7"/>
  <c r="C30" i="7"/>
  <c r="C29" i="7"/>
  <c r="C28" i="7"/>
  <c r="C23" i="7"/>
  <c r="C22" i="7"/>
  <c r="C21" i="7"/>
  <c r="C20" i="7"/>
  <c r="C19" i="7"/>
  <c r="C18" i="7"/>
  <c r="C17" i="7" s="1"/>
  <c r="C13" i="7"/>
  <c r="B13" i="7"/>
  <c r="C12" i="7"/>
  <c r="B12" i="7"/>
  <c r="C11" i="7"/>
  <c r="B11" i="7"/>
  <c r="C10" i="7"/>
  <c r="B10" i="7"/>
  <c r="C9" i="7"/>
  <c r="B9" i="7"/>
  <c r="C8" i="7"/>
  <c r="B8" i="7"/>
  <c r="C7" i="7"/>
  <c r="B7" i="7"/>
  <c r="C6" i="7"/>
  <c r="B6" i="7"/>
  <c r="C5" i="7"/>
  <c r="B5" i="7"/>
  <c r="C4" i="7"/>
  <c r="B4" i="7"/>
  <c r="C2" i="7"/>
  <c r="C223" i="6" l="1"/>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8" i="6"/>
  <c r="C17" i="6"/>
  <c r="C13" i="6"/>
  <c r="B13" i="6"/>
  <c r="C12" i="6"/>
  <c r="B12" i="6"/>
  <c r="C11" i="6"/>
  <c r="B11" i="6"/>
  <c r="C10" i="6"/>
  <c r="B10" i="6"/>
  <c r="C9" i="6"/>
  <c r="B9" i="6"/>
  <c r="C8" i="6"/>
  <c r="B8" i="6"/>
  <c r="C7" i="6"/>
  <c r="B7" i="6"/>
  <c r="C6" i="6"/>
  <c r="B6" i="6"/>
  <c r="C5" i="6"/>
  <c r="B5" i="6"/>
  <c r="C4" i="6"/>
  <c r="B4" i="6"/>
  <c r="C2" i="6"/>
  <c r="C223" i="5" l="1"/>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C144" i="5"/>
  <c r="B144" i="5"/>
  <c r="B145" i="5" s="1"/>
  <c r="B146" i="5" s="1"/>
  <c r="B147" i="5" s="1"/>
  <c r="B148" i="5" s="1"/>
  <c r="B149" i="5" s="1"/>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C143" i="5"/>
  <c r="C140" i="5"/>
  <c r="C138" i="5"/>
  <c r="C137" i="5"/>
  <c r="C136" i="5"/>
  <c r="C135" i="5"/>
  <c r="C125"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3" i="5"/>
  <c r="C92" i="5"/>
  <c r="C91" i="5"/>
  <c r="C90" i="5"/>
  <c r="C89" i="5"/>
  <c r="C88" i="5"/>
  <c r="C87" i="5"/>
  <c r="C86" i="5"/>
  <c r="C85"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38" i="5"/>
  <c r="C37" i="5"/>
  <c r="C36" i="5"/>
  <c r="C35" i="5"/>
  <c r="C34" i="5"/>
  <c r="C33" i="5"/>
  <c r="C32" i="5"/>
  <c r="C31" i="5"/>
  <c r="C30" i="5"/>
  <c r="C29" i="5"/>
  <c r="C28" i="5"/>
  <c r="C23" i="5"/>
  <c r="C22" i="5"/>
  <c r="C21" i="5"/>
  <c r="C20" i="5"/>
  <c r="C19" i="5"/>
  <c r="C18" i="5"/>
  <c r="C17" i="5" s="1"/>
  <c r="C13" i="5"/>
  <c r="B13" i="5"/>
  <c r="C12" i="5"/>
  <c r="B12" i="5"/>
  <c r="C11" i="5"/>
  <c r="B11" i="5"/>
  <c r="C10" i="5"/>
  <c r="B10" i="5"/>
  <c r="C9" i="5"/>
  <c r="B9" i="5"/>
  <c r="C8" i="5"/>
  <c r="B8" i="5"/>
  <c r="C7" i="5"/>
  <c r="B7" i="5"/>
  <c r="C6" i="5"/>
  <c r="B6" i="5"/>
  <c r="C5" i="5"/>
  <c r="B5" i="5"/>
  <c r="C4" i="5"/>
  <c r="B4" i="5"/>
  <c r="C2" i="5"/>
  <c r="C223" i="4" l="1"/>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C145" i="4"/>
  <c r="C144" i="4"/>
  <c r="B144" i="4"/>
  <c r="B145" i="4" s="1"/>
  <c r="B146" i="4" s="1"/>
  <c r="B147" i="4" s="1"/>
  <c r="B148" i="4" s="1"/>
  <c r="B149" i="4" s="1"/>
  <c r="B150" i="4" s="1"/>
  <c r="B151" i="4" s="1"/>
  <c r="B152" i="4" s="1"/>
  <c r="B153" i="4" s="1"/>
  <c r="B154" i="4" s="1"/>
  <c r="B155" i="4" s="1"/>
  <c r="B156" i="4" s="1"/>
  <c r="B157" i="4" s="1"/>
  <c r="B158" i="4" s="1"/>
  <c r="B159" i="4" s="1"/>
  <c r="B160" i="4" s="1"/>
  <c r="B161" i="4" s="1"/>
  <c r="B162" i="4" s="1"/>
  <c r="B163" i="4" s="1"/>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C143" i="4"/>
  <c r="C140" i="4"/>
  <c r="C138" i="4"/>
  <c r="C137" i="4"/>
  <c r="C136" i="4"/>
  <c r="C135" i="4"/>
  <c r="C125" i="4"/>
  <c r="C122" i="4"/>
  <c r="C121" i="4"/>
  <c r="C120" i="4"/>
  <c r="C119" i="4"/>
  <c r="C118" i="4"/>
  <c r="C117" i="4"/>
  <c r="C116" i="4"/>
  <c r="C115" i="4"/>
  <c r="C114" i="4"/>
  <c r="C113" i="4"/>
  <c r="C112" i="4"/>
  <c r="C111" i="4"/>
  <c r="C110" i="4"/>
  <c r="C109" i="4"/>
  <c r="C108" i="4"/>
  <c r="C107" i="4"/>
  <c r="C106" i="4"/>
  <c r="C105" i="4"/>
  <c r="C104" i="4"/>
  <c r="C103" i="4"/>
  <c r="C102" i="4"/>
  <c r="C101" i="4"/>
  <c r="C100" i="4"/>
  <c r="C99" i="4"/>
  <c r="C98" i="4"/>
  <c r="C97" i="4"/>
  <c r="C96" i="4"/>
  <c r="C93" i="4"/>
  <c r="C92" i="4"/>
  <c r="C91" i="4"/>
  <c r="C90" i="4"/>
  <c r="C89" i="4"/>
  <c r="C88" i="4"/>
  <c r="C87" i="4"/>
  <c r="C86" i="4"/>
  <c r="C85"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5" i="4"/>
  <c r="C44" i="4"/>
  <c r="C43" i="4"/>
  <c r="C42" i="4"/>
  <c r="C41" i="4"/>
  <c r="C38" i="4"/>
  <c r="C37" i="4"/>
  <c r="C36" i="4"/>
  <c r="C35" i="4"/>
  <c r="C34" i="4"/>
  <c r="C33" i="4"/>
  <c r="C32" i="4"/>
  <c r="C31" i="4"/>
  <c r="C30" i="4"/>
  <c r="C29" i="4"/>
  <c r="C28" i="4"/>
  <c r="C23" i="4"/>
  <c r="C22" i="4"/>
  <c r="C21" i="4"/>
  <c r="C20" i="4"/>
  <c r="C19" i="4"/>
  <c r="C18" i="4"/>
  <c r="C17" i="4" s="1"/>
  <c r="C13" i="4"/>
  <c r="B13" i="4"/>
  <c r="C12" i="4"/>
  <c r="B12" i="4"/>
  <c r="C11" i="4"/>
  <c r="B11" i="4"/>
  <c r="C10" i="4"/>
  <c r="B10" i="4"/>
  <c r="C9" i="4"/>
  <c r="B9" i="4"/>
  <c r="C8" i="4"/>
  <c r="B8" i="4"/>
  <c r="C7" i="4"/>
  <c r="B7" i="4"/>
  <c r="C6" i="4"/>
  <c r="B6" i="4"/>
  <c r="C5" i="4"/>
  <c r="B5" i="4"/>
  <c r="C4" i="4"/>
  <c r="B4" i="4"/>
  <c r="C2" i="4"/>
  <c r="C223" i="3" l="1"/>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C145" i="3"/>
  <c r="C144" i="3"/>
  <c r="B144" i="3"/>
  <c r="B145" i="3" s="1"/>
  <c r="B146" i="3" s="1"/>
  <c r="B147" i="3" s="1"/>
  <c r="B148" i="3" s="1"/>
  <c r="B149" i="3" s="1"/>
  <c r="B150" i="3" s="1"/>
  <c r="B151" i="3" s="1"/>
  <c r="B152" i="3" s="1"/>
  <c r="B153" i="3" s="1"/>
  <c r="B154" i="3" s="1"/>
  <c r="B155" i="3" s="1"/>
  <c r="B156" i="3" s="1"/>
  <c r="B157" i="3" s="1"/>
  <c r="B158" i="3" s="1"/>
  <c r="B159" i="3" s="1"/>
  <c r="B160" i="3" s="1"/>
  <c r="B161" i="3" s="1"/>
  <c r="B162" i="3" s="1"/>
  <c r="B163" i="3" s="1"/>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C143" i="3"/>
  <c r="C140" i="3"/>
  <c r="C138" i="3"/>
  <c r="C137" i="3"/>
  <c r="C136" i="3"/>
  <c r="C135" i="3"/>
  <c r="C125" i="3"/>
  <c r="C122" i="3"/>
  <c r="C121" i="3"/>
  <c r="C120" i="3"/>
  <c r="C119" i="3"/>
  <c r="C118" i="3"/>
  <c r="C117" i="3"/>
  <c r="C116" i="3"/>
  <c r="C115" i="3"/>
  <c r="C114" i="3"/>
  <c r="C113" i="3"/>
  <c r="C112" i="3"/>
  <c r="C111" i="3"/>
  <c r="C110" i="3"/>
  <c r="C109" i="3"/>
  <c r="C108" i="3"/>
  <c r="C107" i="3"/>
  <c r="C106" i="3"/>
  <c r="C105" i="3"/>
  <c r="C104" i="3"/>
  <c r="C103" i="3"/>
  <c r="C102" i="3"/>
  <c r="C101" i="3"/>
  <c r="C100" i="3"/>
  <c r="C99" i="3"/>
  <c r="C98" i="3"/>
  <c r="C97" i="3"/>
  <c r="C96" i="3"/>
  <c r="C93" i="3"/>
  <c r="C92" i="3"/>
  <c r="C91" i="3"/>
  <c r="C90" i="3"/>
  <c r="C89" i="3"/>
  <c r="C88" i="3"/>
  <c r="C87" i="3"/>
  <c r="C86" i="3"/>
  <c r="C85"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5" i="3"/>
  <c r="C44" i="3"/>
  <c r="C43" i="3"/>
  <c r="C42" i="3"/>
  <c r="C41" i="3"/>
  <c r="C38" i="3"/>
  <c r="C37" i="3"/>
  <c r="C36" i="3"/>
  <c r="C35" i="3"/>
  <c r="C34" i="3"/>
  <c r="C33" i="3"/>
  <c r="C32" i="3"/>
  <c r="C31" i="3"/>
  <c r="C30" i="3"/>
  <c r="C29" i="3"/>
  <c r="C28" i="3"/>
  <c r="C23" i="3"/>
  <c r="C22" i="3"/>
  <c r="C21" i="3"/>
  <c r="C20" i="3"/>
  <c r="C19" i="3"/>
  <c r="C18" i="3"/>
  <c r="C17" i="3" s="1"/>
  <c r="C13" i="3"/>
  <c r="B13" i="3"/>
  <c r="C12" i="3"/>
  <c r="B12" i="3"/>
  <c r="C11" i="3"/>
  <c r="B11" i="3"/>
  <c r="C10" i="3"/>
  <c r="B10" i="3"/>
  <c r="C9" i="3"/>
  <c r="B9" i="3"/>
  <c r="C8" i="3"/>
  <c r="B8" i="3"/>
  <c r="C7" i="3"/>
  <c r="B7" i="3"/>
  <c r="C6" i="3"/>
  <c r="B6" i="3"/>
  <c r="C5" i="3"/>
  <c r="B5" i="3"/>
  <c r="C4" i="3"/>
  <c r="B4" i="3"/>
  <c r="C2" i="3"/>
  <c r="C223" i="2" l="1"/>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C145" i="2"/>
  <c r="C144" i="2"/>
  <c r="B144" i="2"/>
  <c r="B145" i="2" s="1"/>
  <c r="B146" i="2" s="1"/>
  <c r="B147" i="2" s="1"/>
  <c r="B148" i="2" s="1"/>
  <c r="B149" i="2" s="1"/>
  <c r="B150" i="2" s="1"/>
  <c r="B151" i="2" s="1"/>
  <c r="B152" i="2" s="1"/>
  <c r="B153" i="2" s="1"/>
  <c r="B154" i="2" s="1"/>
  <c r="B155" i="2" s="1"/>
  <c r="B156" i="2" s="1"/>
  <c r="B157" i="2" s="1"/>
  <c r="B158" i="2" s="1"/>
  <c r="B159" i="2" s="1"/>
  <c r="B160" i="2" s="1"/>
  <c r="B161" i="2" s="1"/>
  <c r="B162" i="2" s="1"/>
  <c r="B163" i="2" s="1"/>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C143" i="2"/>
  <c r="C140" i="2"/>
  <c r="C138" i="2"/>
  <c r="C137" i="2"/>
  <c r="C136" i="2"/>
  <c r="C135" i="2"/>
  <c r="C125" i="2"/>
  <c r="C122" i="2"/>
  <c r="C121" i="2"/>
  <c r="C120" i="2"/>
  <c r="C119" i="2"/>
  <c r="C118" i="2"/>
  <c r="C117" i="2"/>
  <c r="C116" i="2"/>
  <c r="C115" i="2"/>
  <c r="C114" i="2"/>
  <c r="C113" i="2"/>
  <c r="C112" i="2"/>
  <c r="C111" i="2"/>
  <c r="C110" i="2"/>
  <c r="C109" i="2"/>
  <c r="C108" i="2"/>
  <c r="C107" i="2"/>
  <c r="C106" i="2"/>
  <c r="C105" i="2"/>
  <c r="C104" i="2"/>
  <c r="C103" i="2"/>
  <c r="C102" i="2"/>
  <c r="C101" i="2"/>
  <c r="C100" i="2"/>
  <c r="C99" i="2"/>
  <c r="C98" i="2"/>
  <c r="C97" i="2"/>
  <c r="C96" i="2"/>
  <c r="C93" i="2"/>
  <c r="C92" i="2"/>
  <c r="C91" i="2"/>
  <c r="C90" i="2"/>
  <c r="C89" i="2"/>
  <c r="C88" i="2"/>
  <c r="C87" i="2"/>
  <c r="C86" i="2"/>
  <c r="C85"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5" i="2"/>
  <c r="C44" i="2"/>
  <c r="C43" i="2"/>
  <c r="C42" i="2"/>
  <c r="C41" i="2"/>
  <c r="C38" i="2"/>
  <c r="C37" i="2"/>
  <c r="C36" i="2"/>
  <c r="C35" i="2"/>
  <c r="C34" i="2"/>
  <c r="C33" i="2"/>
  <c r="C32" i="2"/>
  <c r="C31" i="2"/>
  <c r="C30" i="2"/>
  <c r="C29" i="2"/>
  <c r="C28" i="2"/>
  <c r="C23" i="2"/>
  <c r="C22" i="2"/>
  <c r="C21" i="2"/>
  <c r="C20" i="2"/>
  <c r="C19" i="2"/>
  <c r="C18" i="2"/>
  <c r="C13" i="2"/>
  <c r="B13" i="2"/>
  <c r="C12" i="2"/>
  <c r="B12" i="2"/>
  <c r="C11" i="2"/>
  <c r="B11" i="2"/>
  <c r="C10" i="2"/>
  <c r="B10" i="2"/>
  <c r="C9" i="2"/>
  <c r="B9" i="2"/>
  <c r="C8" i="2"/>
  <c r="B8" i="2"/>
  <c r="C7" i="2"/>
  <c r="B7" i="2"/>
  <c r="C6" i="2"/>
  <c r="B6" i="2"/>
  <c r="C5" i="2"/>
  <c r="B5" i="2"/>
  <c r="C4" i="2"/>
  <c r="B4" i="2"/>
  <c r="C2" i="2"/>
  <c r="C17" i="2" l="1"/>
</calcChain>
</file>

<file path=xl/sharedStrings.xml><?xml version="1.0" encoding="utf-8"?>
<sst xmlns="http://schemas.openxmlformats.org/spreadsheetml/2006/main" count="4140" uniqueCount="278">
  <si>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</si>
  <si>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</si>
  <si>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</si>
  <si>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</si>
  <si>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</si>
  <si>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</si>
  <si>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</si>
  <si>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</si>
  <si>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</si>
  <si>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</si>
  <si>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</si>
  <si>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</si>
  <si>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</si>
  <si>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</si>
  <si>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</si>
  <si>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</si>
  <si>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</si>
  <si>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</si>
  <si>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</si>
  <si>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</si>
  <si>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</si>
  <si>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</si>
  <si>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</si>
  <si>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</si>
  <si>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</si>
  <si>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</si>
  <si>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</si>
  <si>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</si>
  <si>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</si>
  <si>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</si>
  <si>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</si>
  <si>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</si>
  <si>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</si>
  <si>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</si>
  <si>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</si>
  <si>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</si>
  <si>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</si>
  <si>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</si>
  <si>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</si>
  <si>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</si>
  <si>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</si>
  <si>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</si>
  <si>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</si>
  <si>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</si>
  <si>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</si>
  <si>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</si>
  <si>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</si>
  <si>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</si>
  <si>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</si>
  <si>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</si>
  <si>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</si>
  <si>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</si>
  <si>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</si>
  <si>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</si>
  <si>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</si>
  <si>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</si>
  <si>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</si>
  <si>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</si>
  <si>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</si>
  <si>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</si>
  <si>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</si>
  <si>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</si>
  <si>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</si>
  <si>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</si>
  <si>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</si>
  <si>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</si>
  <si>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</si>
  <si>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</si>
  <si>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</si>
  <si>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</si>
  <si>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</si>
  <si>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</si>
  <si>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</si>
  <si>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</si>
  <si>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</si>
  <si>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</si>
  <si>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</si>
  <si>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</si>
  <si>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</si>
  <si>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</si>
  <si>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</si>
  <si>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</si>
  <si>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</si>
  <si>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</si>
  <si>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</si>
  <si>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</si>
  <si>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</si>
  <si>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</si>
  <si>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</si>
  <si>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</si>
  <si>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</si>
  <si>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</si>
  <si>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</si>
  <si>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</si>
  <si>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</si>
  <si>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</si>
  <si>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</si>
  <si>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</si>
  <si>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</si>
  <si>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</si>
  <si>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</si>
  <si>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</si>
  <si>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</si>
  <si>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</si>
  <si>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</si>
  <si>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</si>
  <si>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</si>
  <si>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</si>
  <si>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</si>
  <si>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</si>
  <si>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</si>
  <si>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</si>
  <si>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</si>
  <si>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</si>
  <si>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</si>
  <si>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</si>
  <si>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</si>
  <si>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</si>
  <si>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</si>
  <si>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</si>
  <si>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</si>
  <si>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</si>
  <si>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</si>
  <si>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</si>
  <si>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</si>
  <si>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</si>
  <si>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</si>
  <si>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</si>
  <si>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</si>
  <si>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</si>
  <si>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</si>
  <si>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</si>
  <si>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</si>
  <si>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</si>
  <si>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</si>
  <si>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</si>
  <si>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</si>
  <si>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</si>
  <si>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</si>
  <si>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</si>
  <si>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</si>
  <si>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</si>
  <si>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</si>
  <si>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</si>
  <si>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</si>
  <si>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</si>
  <si>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</si>
  <si>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</si>
  <si>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</si>
  <si>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</si>
  <si>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</si>
  <si>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</si>
  <si>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</si>
  <si>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</si>
  <si>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</si>
  <si>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</si>
  <si>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</si>
  <si>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</si>
  <si>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</si>
  <si>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</si>
  <si>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</si>
  <si>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</si>
  <si>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</si>
  <si>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</si>
  <si>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</si>
  <si>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</si>
  <si>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</si>
  <si>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</si>
  <si>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</si>
  <si>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</si>
  <si>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</si>
  <si>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</si>
  <si>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</si>
  <si>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</si>
  <si>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</si>
  <si>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</si>
  <si>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</si>
  <si>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</si>
  <si>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</si>
  <si>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</si>
  <si>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</si>
  <si>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</si>
  <si>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</si>
  <si>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</si>
  <si>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</si>
  <si>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</si>
  <si>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</si>
  <si>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</si>
  <si>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</si>
  <si>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</si>
  <si>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</si>
  <si>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</si>
  <si>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</si>
  <si>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</si>
  <si>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</si>
  <si>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</si>
  <si>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</si>
  <si>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</si>
  <si>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</si>
  <si>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</si>
  <si>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</si>
  <si>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</si>
  <si>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</si>
  <si>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</si>
  <si>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</si>
  <si>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</si>
  <si>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</si>
  <si>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</si>
  <si>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</si>
  <si>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</si>
  <si>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</si>
  <si>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</si>
  <si>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</si>
  <si>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</si>
  <si>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</si>
  <si>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</si>
  <si>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</si>
  <si>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</si>
  <si>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</si>
  <si>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</si>
  <si>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</si>
  <si>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</si>
  <si>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</si>
  <si>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</si>
  <si>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</si>
  <si>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</si>
  <si>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</si>
  <si>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</si>
  <si>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</si>
  <si>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</si>
  <si>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</si>
  <si>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</si>
  <si>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</si>
  <si>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</si>
  <si>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</si>
  <si>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</si>
  <si>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</si>
  <si>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</si>
  <si>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</si>
  <si>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</si>
  <si>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</si>
  <si>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</si>
  <si>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</si>
  <si>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</si>
  <si>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</si>
  <si>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</si>
  <si>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</si>
  <si>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</si>
  <si>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</si>
  <si>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</si>
  <si>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</si>
  <si>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</si>
  <si>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</si>
  <si>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</si>
  <si>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</si>
  <si>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</si>
  <si>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</si>
  <si>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</si>
  <si>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</si>
  <si>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Источник информации</t>
  </si>
  <si>
    <t>Таблица ТЭП (I)</t>
  </si>
  <si>
    <t>Постановление №1562</t>
  </si>
  <si>
    <t>Таблица ТЭП (II.1.)</t>
  </si>
  <si>
    <t>Таблица ТЭП (II.2.)</t>
  </si>
  <si>
    <t>Таблица ТЭП (IX)</t>
  </si>
  <si>
    <t>Таблица ТЭП (II) Таблица 2</t>
  </si>
  <si>
    <t>Таблица ТЭП (II) Таблица 3</t>
  </si>
  <si>
    <t>таблица 4 Сборника сметных норм дополнительных затрат при производстве строительно-монтажных работ в зимнее время (ГСН 81-05-02-2007)</t>
  </si>
  <si>
    <t>Приложение № 1 Сборника сметных норм дополнительных затрат при производстве строительно-монтажных работ в зимнее время 
(ГСН 81-05-02-2007).</t>
  </si>
  <si>
    <t>Таблица ТЭП (VIII)</t>
  </si>
  <si>
    <t>Таблица ТЭП (VII)</t>
  </si>
  <si>
    <t>Таблица ТЭП (X)</t>
  </si>
  <si>
    <t>Таблица ТЭП (XI)</t>
  </si>
  <si>
    <t>Таблица ТЭП (III)</t>
  </si>
  <si>
    <t>Таблица ТЭП (IV)</t>
  </si>
  <si>
    <t>Таблица ТЭП (II)</t>
  </si>
  <si>
    <t>Таблица ТЭП (VI)</t>
  </si>
  <si>
    <t>Таблица ТЭП (XIV)</t>
  </si>
</sst>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 numFmtId="368" formatCode="0.000"/>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s>
  <cellStyleXfs count="48046">
    <xf numFmtId="0" fontId="0" fillId="0" borderId="0"/>
    <xf numFmtId="9" fontId="1" fillId="0" borderId="0" applyFont="0" applyFill="0" applyBorder="0" applyAlignment="0" applyProtection="0"/>
    <xf numFmtId="0" fontId="1" fillId="0" borderId="0"/>
    <xf numFmtId="0" fontId="33" fillId="0" borderId="0"/>
    <xf numFmtId="167" fontId="38" fillId="0" borderId="0"/>
    <xf numFmtId="0" fontId="39" fillId="0" borderId="0"/>
    <xf numFmtId="167" fontId="40" fillId="0" borderId="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0" fontId="33" fillId="0" borderId="0"/>
    <xf numFmtId="166" fontId="42" fillId="0" borderId="0">
      <alignment vertical="top"/>
    </xf>
    <xf numFmtId="169" fontId="42" fillId="7" borderId="0">
      <alignment vertical="top"/>
    </xf>
    <xf numFmtId="166" fontId="43" fillId="8" borderId="0">
      <alignment vertical="top"/>
    </xf>
    <xf numFmtId="0" fontId="38" fillId="0" borderId="0"/>
    <xf numFmtId="167" fontId="38" fillId="0" borderId="0"/>
    <xf numFmtId="0" fontId="41" fillId="0" borderId="0" applyNumberFormat="0" applyFont="0" applyFill="0" applyBorder="0" applyAlignment="0" applyProtection="0"/>
    <xf numFmtId="167" fontId="44" fillId="0" borderId="0" applyFont="0" applyFill="0" applyBorder="0" applyAlignment="0"/>
    <xf numFmtId="167" fontId="45"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6" fillId="0" borderId="29">
      <protection locked="0"/>
    </xf>
    <xf numFmtId="0" fontId="46" fillId="0" borderId="29">
      <protection locked="0"/>
    </xf>
    <xf numFmtId="0" fontId="46" fillId="0" borderId="29">
      <protection locked="0"/>
    </xf>
    <xf numFmtId="0" fontId="47" fillId="0" borderId="0"/>
    <xf numFmtId="170" fontId="47" fillId="0" borderId="0"/>
    <xf numFmtId="170" fontId="47" fillId="0" borderId="0"/>
    <xf numFmtId="170" fontId="47" fillId="0" borderId="0"/>
    <xf numFmtId="170" fontId="39" fillId="0" borderId="0"/>
    <xf numFmtId="170" fontId="39"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0" fontId="38" fillId="0" borderId="0"/>
    <xf numFmtId="0" fontId="38"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50" fillId="0" borderId="0"/>
    <xf numFmtId="0" fontId="50" fillId="0" borderId="0"/>
    <xf numFmtId="0" fontId="50" fillId="0" borderId="0"/>
    <xf numFmtId="0" fontId="50" fillId="0" borderId="0"/>
    <xf numFmtId="0" fontId="50" fillId="0" borderId="0"/>
    <xf numFmtId="170" fontId="47" fillId="0" borderId="0"/>
    <xf numFmtId="170" fontId="47" fillId="0" borderId="0"/>
    <xf numFmtId="170" fontId="39" fillId="0" borderId="0"/>
    <xf numFmtId="170" fontId="39" fillId="0" borderId="0"/>
    <xf numFmtId="170" fontId="39" fillId="0" borderId="0"/>
    <xf numFmtId="170" fontId="39" fillId="0" borderId="0"/>
    <xf numFmtId="170" fontId="39" fillId="0" borderId="0"/>
    <xf numFmtId="0" fontId="47" fillId="0" borderId="0"/>
    <xf numFmtId="167" fontId="39" fillId="0" borderId="0"/>
    <xf numFmtId="167" fontId="51" fillId="0" borderId="0"/>
    <xf numFmtId="170" fontId="47" fillId="0" borderId="0"/>
    <xf numFmtId="170" fontId="39" fillId="0" borderId="0"/>
    <xf numFmtId="170" fontId="47" fillId="0" borderId="0"/>
    <xf numFmtId="170"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39" fillId="0" borderId="0"/>
    <xf numFmtId="0" fontId="47" fillId="0" borderId="0"/>
    <xf numFmtId="170" fontId="39" fillId="0" borderId="0"/>
    <xf numFmtId="170" fontId="47" fillId="0" borderId="0"/>
    <xf numFmtId="170" fontId="39" fillId="0" borderId="0"/>
    <xf numFmtId="167" fontId="47" fillId="0" borderId="0"/>
    <xf numFmtId="167" fontId="53"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0" fontId="39" fillId="0" borderId="0"/>
    <xf numFmtId="170" fontId="47" fillId="0" borderId="0"/>
    <xf numFmtId="170" fontId="47" fillId="0" borderId="0"/>
    <xf numFmtId="170" fontId="47" fillId="0" borderId="0"/>
    <xf numFmtId="170" fontId="39" fillId="0" borderId="0"/>
    <xf numFmtId="170" fontId="47" fillId="0" borderId="0"/>
    <xf numFmtId="0" fontId="39" fillId="0" borderId="0"/>
    <xf numFmtId="167" fontId="47" fillId="0" borderId="0"/>
    <xf numFmtId="167" fontId="47"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7" fillId="0" borderId="0"/>
    <xf numFmtId="0" fontId="47" fillId="0" borderId="0"/>
    <xf numFmtId="167" fontId="39" fillId="0" borderId="0"/>
    <xf numFmtId="167" fontId="51" fillId="0" borderId="0"/>
    <xf numFmtId="171" fontId="38" fillId="0" borderId="0" applyFont="0" applyFill="0" applyBorder="0" applyAlignment="0" applyProtection="0"/>
    <xf numFmtId="167" fontId="47" fillId="0" borderId="0"/>
    <xf numFmtId="0" fontId="39" fillId="0" borderId="0"/>
    <xf numFmtId="0" fontId="55" fillId="0" borderId="0"/>
    <xf numFmtId="0" fontId="5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72" fontId="54" fillId="0" borderId="0" applyFont="0" applyFill="0" applyBorder="0" applyAlignment="0" applyProtection="0"/>
    <xf numFmtId="39" fontId="38" fillId="0" borderId="0" applyFont="0" applyFill="0" applyBorder="0" applyAlignment="0" applyProtection="0"/>
    <xf numFmtId="167" fontId="47" fillId="0" borderId="0"/>
    <xf numFmtId="167"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3" fillId="0" borderId="0"/>
    <xf numFmtId="0" fontId="47" fillId="0" borderId="0"/>
    <xf numFmtId="0" fontId="57" fillId="0" borderId="0" applyNumberFormat="0" applyFill="0" applyBorder="0" applyAlignment="0" applyProtection="0"/>
    <xf numFmtId="0" fontId="38" fillId="9" borderId="0" applyNumberFormat="0" applyFont="0" applyAlignment="0" applyProtection="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0" fontId="39" fillId="0" borderId="0"/>
    <xf numFmtId="0" fontId="39" fillId="0" borderId="0"/>
    <xf numFmtId="167" fontId="53" fillId="0" borderId="0"/>
    <xf numFmtId="0" fontId="47" fillId="0" borderId="0"/>
    <xf numFmtId="0" fontId="47" fillId="0" borderId="0"/>
    <xf numFmtId="0" fontId="47" fillId="0" borderId="0"/>
    <xf numFmtId="167" fontId="47" fillId="0" borderId="0"/>
    <xf numFmtId="167" fontId="53" fillId="0" borderId="0"/>
    <xf numFmtId="167" fontId="39"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74" fontId="58" fillId="0" borderId="0">
      <alignment vertical="top"/>
    </xf>
    <xf numFmtId="38" fontId="33" fillId="0" borderId="0">
      <alignment vertical="top"/>
    </xf>
    <xf numFmtId="175" fontId="49" fillId="0" borderId="0" applyFont="0" applyFill="0" applyBorder="0" applyAlignment="0" applyProtection="0"/>
    <xf numFmtId="176" fontId="54" fillId="0" borderId="0" applyFont="0" applyFill="0" applyBorder="0" applyAlignment="0" applyProtection="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8" fillId="0" borderId="0" applyNumberFormat="0" applyFill="0" applyBorder="0" applyAlignment="0" applyProtection="0"/>
    <xf numFmtId="0" fontId="49" fillId="0" borderId="0" applyFont="0" applyFill="0" applyBorder="0" applyAlignment="0" applyProtection="0"/>
    <xf numFmtId="0" fontId="49"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55"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33" fillId="0" borderId="0"/>
    <xf numFmtId="167" fontId="39" fillId="0" borderId="0"/>
    <xf numFmtId="167" fontId="39" fillId="0" borderId="0"/>
    <xf numFmtId="167" fontId="39" fillId="0" borderId="0"/>
    <xf numFmtId="167" fontId="47" fillId="0" borderId="0"/>
    <xf numFmtId="167" fontId="47" fillId="0" borderId="0"/>
    <xf numFmtId="0" fontId="59" fillId="0" borderId="0" applyNumberFormat="0" applyFill="0" applyBorder="0" applyProtection="0">
      <alignment vertical="top"/>
    </xf>
    <xf numFmtId="167" fontId="39" fillId="0" borderId="0"/>
    <xf numFmtId="167" fontId="39" fillId="0" borderId="0"/>
    <xf numFmtId="167" fontId="39" fillId="0" borderId="0"/>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0" applyNumberFormat="0" applyFill="0" applyBorder="0" applyProtection="0">
      <alignment horizontal="left"/>
    </xf>
    <xf numFmtId="0" fontId="61" fillId="0" borderId="0" applyNumberFormat="0" applyFill="0" applyBorder="0" applyProtection="0">
      <alignment horizontal="centerContinuous"/>
    </xf>
    <xf numFmtId="0" fontId="47" fillId="0" borderId="0"/>
    <xf numFmtId="0" fontId="39" fillId="0" borderId="0"/>
    <xf numFmtId="167" fontId="39" fillId="0" borderId="0"/>
    <xf numFmtId="167" fontId="39" fillId="0" borderId="0"/>
    <xf numFmtId="167" fontId="39" fillId="0" borderId="0"/>
    <xf numFmtId="167" fontId="39" fillId="0" borderId="0"/>
    <xf numFmtId="4" fontId="48" fillId="0" borderId="0">
      <alignment vertical="center"/>
    </xf>
    <xf numFmtId="0" fontId="38" fillId="0" borderId="0"/>
    <xf numFmtId="167" fontId="47" fillId="0" borderId="0"/>
    <xf numFmtId="170" fontId="47" fillId="0" borderId="0"/>
    <xf numFmtId="170" fontId="47" fillId="0" borderId="0"/>
    <xf numFmtId="170" fontId="39" fillId="0" borderId="0"/>
    <xf numFmtId="167" fontId="47" fillId="0" borderId="0"/>
    <xf numFmtId="170" fontId="39" fillId="0" borderId="0"/>
    <xf numFmtId="170" fontId="47" fillId="0" borderId="0"/>
    <xf numFmtId="170" fontId="39" fillId="0" borderId="0"/>
    <xf numFmtId="0" fontId="39" fillId="0" borderId="0"/>
    <xf numFmtId="170" fontId="39" fillId="0" borderId="0"/>
    <xf numFmtId="170" fontId="39" fillId="0" borderId="0"/>
    <xf numFmtId="170" fontId="39" fillId="0" borderId="0"/>
    <xf numFmtId="170" fontId="39" fillId="0" borderId="0"/>
    <xf numFmtId="170" fontId="47" fillId="0" borderId="0"/>
    <xf numFmtId="167" fontId="55" fillId="0" borderId="0"/>
    <xf numFmtId="167" fontId="55" fillId="0" borderId="0"/>
    <xf numFmtId="167" fontId="47" fillId="0" borderId="0"/>
    <xf numFmtId="170" fontId="47" fillId="0" borderId="0"/>
    <xf numFmtId="167" fontId="47" fillId="0" borderId="0"/>
    <xf numFmtId="0" fontId="47" fillId="0" borderId="0"/>
    <xf numFmtId="0" fontId="39"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0" fontId="39" fillId="0" borderId="0"/>
    <xf numFmtId="170" fontId="39" fillId="0" borderId="0"/>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47" fillId="0" borderId="0"/>
    <xf numFmtId="0" fontId="39" fillId="0" borderId="0"/>
    <xf numFmtId="170" fontId="39" fillId="0" borderId="0"/>
    <xf numFmtId="170" fontId="39" fillId="0" borderId="0"/>
    <xf numFmtId="170" fontId="39" fillId="0" borderId="0"/>
    <xf numFmtId="0" fontId="39" fillId="0" borderId="0"/>
    <xf numFmtId="0" fontId="47" fillId="0" borderId="0"/>
    <xf numFmtId="4" fontId="48" fillId="0" borderId="0">
      <alignment vertical="center"/>
    </xf>
    <xf numFmtId="167" fontId="53" fillId="0" borderId="0"/>
    <xf numFmtId="167" fontId="47" fillId="0" borderId="0"/>
    <xf numFmtId="0" fontId="47" fillId="0" borderId="0"/>
    <xf numFmtId="167" fontId="54" fillId="0" borderId="0">
      <alignment vertical="center"/>
    </xf>
    <xf numFmtId="167" fontId="54" fillId="0" borderId="0">
      <alignment vertical="center"/>
    </xf>
    <xf numFmtId="167" fontId="54" fillId="0" borderId="0">
      <alignment vertical="center"/>
    </xf>
    <xf numFmtId="0" fontId="39" fillId="0" borderId="0"/>
    <xf numFmtId="0" fontId="47" fillId="0" borderId="0"/>
    <xf numFmtId="0" fontId="47" fillId="0" borderId="0"/>
    <xf numFmtId="0" fontId="47" fillId="0" borderId="0"/>
    <xf numFmtId="0" fontId="47" fillId="0" borderId="0"/>
    <xf numFmtId="0" fontId="47" fillId="0" borderId="0"/>
    <xf numFmtId="167" fontId="47" fillId="0" borderId="0"/>
    <xf numFmtId="0" fontId="47" fillId="0" borderId="0"/>
    <xf numFmtId="167" fontId="55"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47" fillId="0" borderId="0"/>
    <xf numFmtId="0" fontId="47" fillId="0" borderId="0"/>
    <xf numFmtId="0" fontId="47" fillId="0" borderId="0"/>
    <xf numFmtId="0" fontId="47"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167" fontId="39" fillId="0" borderId="0"/>
    <xf numFmtId="167" fontId="51" fillId="0" borderId="0"/>
    <xf numFmtId="167" fontId="39" fillId="0" borderId="0"/>
    <xf numFmtId="167" fontId="51" fillId="0" borderId="0"/>
    <xf numFmtId="170" fontId="39" fillId="0" borderId="0"/>
    <xf numFmtId="170" fontId="39" fillId="0" borderId="0"/>
    <xf numFmtId="170" fontId="39" fillId="0" borderId="0"/>
    <xf numFmtId="167" fontId="47" fillId="0" borderId="0"/>
    <xf numFmtId="4" fontId="48" fillId="0" borderId="0">
      <alignment vertical="center"/>
    </xf>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39" fillId="0" borderId="0"/>
    <xf numFmtId="0" fontId="47" fillId="0" borderId="0"/>
    <xf numFmtId="0" fontId="39" fillId="0" borderId="0"/>
    <xf numFmtId="0" fontId="47" fillId="0" borderId="0"/>
    <xf numFmtId="0" fontId="47" fillId="0" borderId="0"/>
    <xf numFmtId="0" fontId="39" fillId="0" borderId="0"/>
    <xf numFmtId="0" fontId="39" fillId="0" borderId="0"/>
    <xf numFmtId="0" fontId="39" fillId="0" borderId="0"/>
    <xf numFmtId="0" fontId="39" fillId="0" borderId="0"/>
    <xf numFmtId="170" fontId="39" fillId="0" borderId="0"/>
    <xf numFmtId="178" fontId="47" fillId="0" borderId="0"/>
    <xf numFmtId="167" fontId="47" fillId="0" borderId="0"/>
    <xf numFmtId="167" fontId="53" fillId="0" borderId="0"/>
    <xf numFmtId="0" fontId="47" fillId="0" borderId="0"/>
    <xf numFmtId="4" fontId="48" fillId="0" borderId="0">
      <alignment vertical="center"/>
    </xf>
    <xf numFmtId="167" fontId="47" fillId="0" borderId="0"/>
    <xf numFmtId="0" fontId="47" fillId="0" borderId="0"/>
    <xf numFmtId="167" fontId="47" fillId="0" borderId="0"/>
    <xf numFmtId="0" fontId="47" fillId="0" borderId="0"/>
    <xf numFmtId="177" fontId="38" fillId="0" borderId="0"/>
    <xf numFmtId="177" fontId="38" fillId="0" borderId="0"/>
    <xf numFmtId="0" fontId="38" fillId="0" borderId="0"/>
    <xf numFmtId="0" fontId="38" fillId="0" borderId="0"/>
    <xf numFmtId="177" fontId="38" fillId="0" borderId="0"/>
    <xf numFmtId="177" fontId="38" fillId="0" borderId="0"/>
    <xf numFmtId="0" fontId="38" fillId="0" borderId="0"/>
    <xf numFmtId="0" fontId="38" fillId="0" borderId="0"/>
    <xf numFmtId="170" fontId="47" fillId="0" borderId="0"/>
    <xf numFmtId="4" fontId="48" fillId="0" borderId="0">
      <alignment vertical="center"/>
    </xf>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39" fillId="0" borderId="0"/>
    <xf numFmtId="170" fontId="47" fillId="0" borderId="0"/>
    <xf numFmtId="0" fontId="47" fillId="0" borderId="0"/>
    <xf numFmtId="0" fontId="47" fillId="0" borderId="0"/>
    <xf numFmtId="167" fontId="55" fillId="0" borderId="0"/>
    <xf numFmtId="0" fontId="47" fillId="0" borderId="0"/>
    <xf numFmtId="170" fontId="39" fillId="0" borderId="0"/>
    <xf numFmtId="170" fontId="39" fillId="0" borderId="0"/>
    <xf numFmtId="167" fontId="33" fillId="0" borderId="0"/>
    <xf numFmtId="167" fontId="53" fillId="0" borderId="0"/>
    <xf numFmtId="167" fontId="33" fillId="0" borderId="0"/>
    <xf numFmtId="0" fontId="53" fillId="0" borderId="0"/>
    <xf numFmtId="0" fontId="39" fillId="0" borderId="0"/>
    <xf numFmtId="0" fontId="52" fillId="0" borderId="0"/>
    <xf numFmtId="0" fontId="52" fillId="0" borderId="0"/>
    <xf numFmtId="0" fontId="52" fillId="0" borderId="0"/>
    <xf numFmtId="0" fontId="52" fillId="0" borderId="0"/>
    <xf numFmtId="0" fontId="52" fillId="0" borderId="0"/>
    <xf numFmtId="167" fontId="33" fillId="0" borderId="0"/>
    <xf numFmtId="0" fontId="33"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53" fillId="0" borderId="0"/>
    <xf numFmtId="0" fontId="39" fillId="0" borderId="0"/>
    <xf numFmtId="0" fontId="47" fillId="0" borderId="0"/>
    <xf numFmtId="167" fontId="47" fillId="0" borderId="0"/>
    <xf numFmtId="0" fontId="47" fillId="0" borderId="0"/>
    <xf numFmtId="170" fontId="39" fillId="0" borderId="0"/>
    <xf numFmtId="170" fontId="47" fillId="0" borderId="0"/>
    <xf numFmtId="0" fontId="47"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0" fontId="47" fillId="0" borderId="0"/>
    <xf numFmtId="0" fontId="39" fillId="0" borderId="0"/>
    <xf numFmtId="0" fontId="47" fillId="0" borderId="0"/>
    <xf numFmtId="0" fontId="39" fillId="0" borderId="0"/>
    <xf numFmtId="167" fontId="39" fillId="0" borderId="0"/>
    <xf numFmtId="0" fontId="39" fillId="0" borderId="0"/>
    <xf numFmtId="174" fontId="58" fillId="0" borderId="0">
      <alignment vertical="top"/>
    </xf>
    <xf numFmtId="167" fontId="55"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47" fillId="0" borderId="0"/>
    <xf numFmtId="0" fontId="39" fillId="0" borderId="0"/>
    <xf numFmtId="0" fontId="52" fillId="0" borderId="0"/>
    <xf numFmtId="0" fontId="52" fillId="0" borderId="0"/>
    <xf numFmtId="0" fontId="52" fillId="0" borderId="0"/>
    <xf numFmtId="0" fontId="52" fillId="0" borderId="0"/>
    <xf numFmtId="0" fontId="52" fillId="0" borderId="0"/>
    <xf numFmtId="0" fontId="38" fillId="0" borderId="0"/>
    <xf numFmtId="0" fontId="38" fillId="0" borderId="0"/>
    <xf numFmtId="0" fontId="38" fillId="0" borderId="0"/>
    <xf numFmtId="0" fontId="38" fillId="0" borderId="0"/>
    <xf numFmtId="0" fontId="38" fillId="0" borderId="0"/>
    <xf numFmtId="0" fontId="39" fillId="0" borderId="0"/>
    <xf numFmtId="0" fontId="39"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170" fontId="47" fillId="0" borderId="0"/>
    <xf numFmtId="170" fontId="47" fillId="0" borderId="0"/>
    <xf numFmtId="0" fontId="39" fillId="0" borderId="0"/>
    <xf numFmtId="0" fontId="39" fillId="0" borderId="0"/>
    <xf numFmtId="170" fontId="47" fillId="0" borderId="0"/>
    <xf numFmtId="167" fontId="39" fillId="0" borderId="0"/>
    <xf numFmtId="167" fontId="53" fillId="0" borderId="0"/>
    <xf numFmtId="167" fontId="53" fillId="0" borderId="0"/>
    <xf numFmtId="0" fontId="53" fillId="0" borderId="0"/>
    <xf numFmtId="0" fontId="47"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47" fillId="0" borderId="0"/>
    <xf numFmtId="167" fontId="47" fillId="0" borderId="0"/>
    <xf numFmtId="167" fontId="47" fillId="0" borderId="0"/>
    <xf numFmtId="167" fontId="39" fillId="0" borderId="0"/>
    <xf numFmtId="0" fontId="39" fillId="0" borderId="0"/>
    <xf numFmtId="167" fontId="47" fillId="0" borderId="0"/>
    <xf numFmtId="167" fontId="53" fillId="0" borderId="0"/>
    <xf numFmtId="167" fontId="53" fillId="0" borderId="0"/>
    <xf numFmtId="4" fontId="48" fillId="0" borderId="0">
      <alignment vertical="center"/>
    </xf>
    <xf numFmtId="170" fontId="47" fillId="0" borderId="0"/>
    <xf numFmtId="0" fontId="39" fillId="0" borderId="0"/>
    <xf numFmtId="170" fontId="47" fillId="0" borderId="0"/>
    <xf numFmtId="174" fontId="58" fillId="0" borderId="0">
      <alignment vertical="top"/>
    </xf>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50" fillId="0" borderId="0"/>
    <xf numFmtId="0" fontId="50" fillId="0" borderId="0"/>
    <xf numFmtId="0" fontId="50" fillId="0" borderId="0"/>
    <xf numFmtId="0" fontId="50"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54" fillId="0" borderId="0" applyFont="0" applyFill="0" applyBorder="0" applyAlignment="0" applyProtection="0">
      <alignment vertical="center"/>
    </xf>
    <xf numFmtId="167" fontId="55" fillId="0" borderId="0" applyFill="0" applyBorder="0" applyAlignment="0" applyProtection="0"/>
    <xf numFmtId="170" fontId="39" fillId="0" borderId="0"/>
    <xf numFmtId="0" fontId="47" fillId="0" borderId="0"/>
    <xf numFmtId="0" fontId="47" fillId="0" borderId="0"/>
    <xf numFmtId="0" fontId="39" fillId="0" borderId="0"/>
    <xf numFmtId="0" fontId="39" fillId="0" borderId="0"/>
    <xf numFmtId="0" fontId="47" fillId="0" borderId="0"/>
    <xf numFmtId="167" fontId="53" fillId="0" borderId="0"/>
    <xf numFmtId="0" fontId="47" fillId="0" borderId="0"/>
    <xf numFmtId="0" fontId="50" fillId="0" borderId="0"/>
    <xf numFmtId="0" fontId="50" fillId="0" borderId="0"/>
    <xf numFmtId="0" fontId="50" fillId="0" borderId="0"/>
    <xf numFmtId="0" fontId="50" fillId="0" borderId="0"/>
    <xf numFmtId="0" fontId="50" fillId="0" borderId="0"/>
    <xf numFmtId="0" fontId="39" fillId="0" borderId="0"/>
    <xf numFmtId="0" fontId="39" fillId="0" borderId="0"/>
    <xf numFmtId="167" fontId="47" fillId="0" borderId="0"/>
    <xf numFmtId="0" fontId="47" fillId="0" borderId="0"/>
    <xf numFmtId="0" fontId="47" fillId="0" borderId="0"/>
    <xf numFmtId="167" fontId="47" fillId="0" borderId="0"/>
    <xf numFmtId="167" fontId="47" fillId="0" borderId="0"/>
    <xf numFmtId="0" fontId="47" fillId="0" borderId="0"/>
    <xf numFmtId="167" fontId="47" fillId="0" borderId="0"/>
    <xf numFmtId="0" fontId="47" fillId="0" borderId="0"/>
    <xf numFmtId="0" fontId="47" fillId="0" borderId="0"/>
    <xf numFmtId="167" fontId="47" fillId="0" borderId="0"/>
    <xf numFmtId="170" fontId="39" fillId="0" borderId="0"/>
    <xf numFmtId="170" fontId="39" fillId="0" borderId="0"/>
    <xf numFmtId="170" fontId="47" fillId="0" borderId="0"/>
    <xf numFmtId="167" fontId="39" fillId="0" borderId="0"/>
    <xf numFmtId="167" fontId="51" fillId="0" borderId="0"/>
    <xf numFmtId="167" fontId="47" fillId="0" borderId="0"/>
    <xf numFmtId="0" fontId="47"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33" fillId="0" borderId="0"/>
    <xf numFmtId="167" fontId="38" fillId="0" borderId="0"/>
    <xf numFmtId="167" fontId="33" fillId="0" borderId="0"/>
    <xf numFmtId="0" fontId="39" fillId="0" borderId="0"/>
    <xf numFmtId="167" fontId="39" fillId="0" borderId="0"/>
    <xf numFmtId="0" fontId="39" fillId="0" borderId="0"/>
    <xf numFmtId="167" fontId="39" fillId="0" borderId="0"/>
    <xf numFmtId="0" fontId="39" fillId="0" borderId="0"/>
    <xf numFmtId="167" fontId="39" fillId="0" borderId="0"/>
    <xf numFmtId="0" fontId="39" fillId="0" borderId="0"/>
    <xf numFmtId="167" fontId="33" fillId="0" borderId="0"/>
    <xf numFmtId="0" fontId="33" fillId="0" borderId="0"/>
    <xf numFmtId="167" fontId="39" fillId="0" borderId="0"/>
    <xf numFmtId="0" fontId="39" fillId="0" borderId="0"/>
    <xf numFmtId="167" fontId="39" fillId="0" borderId="0"/>
    <xf numFmtId="0" fontId="39" fillId="0" borderId="0"/>
    <xf numFmtId="167" fontId="39" fillId="0" borderId="0"/>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170" fontId="47" fillId="0" borderId="0"/>
    <xf numFmtId="170" fontId="47" fillId="0" borderId="0"/>
    <xf numFmtId="170" fontId="47" fillId="0" borderId="0"/>
    <xf numFmtId="170" fontId="47" fillId="0" borderId="0"/>
    <xf numFmtId="170" fontId="47" fillId="0" borderId="0"/>
    <xf numFmtId="0" fontId="39" fillId="0" borderId="0"/>
    <xf numFmtId="170" fontId="39" fillId="0" borderId="0"/>
    <xf numFmtId="167" fontId="39" fillId="0" borderId="0"/>
    <xf numFmtId="170" fontId="39" fillId="0" borderId="0"/>
    <xf numFmtId="170" fontId="39" fillId="0" borderId="0"/>
    <xf numFmtId="170" fontId="39" fillId="0" borderId="0"/>
    <xf numFmtId="170" fontId="39" fillId="0" borderId="0"/>
    <xf numFmtId="167" fontId="47" fillId="0" borderId="0"/>
    <xf numFmtId="170" fontId="39" fillId="0" borderId="0"/>
    <xf numFmtId="170" fontId="39" fillId="0" borderId="0"/>
    <xf numFmtId="170" fontId="47" fillId="0" borderId="0"/>
    <xf numFmtId="170" fontId="47" fillId="0" borderId="0"/>
    <xf numFmtId="170" fontId="39" fillId="0" borderId="0"/>
    <xf numFmtId="170" fontId="39" fillId="0" borderId="0"/>
    <xf numFmtId="170" fontId="47" fillId="0" borderId="0"/>
    <xf numFmtId="170" fontId="47" fillId="0" borderId="0"/>
    <xf numFmtId="170" fontId="47" fillId="0" borderId="0"/>
    <xf numFmtId="170" fontId="47" fillId="0" borderId="0"/>
    <xf numFmtId="170" fontId="39" fillId="0" borderId="0"/>
    <xf numFmtId="170" fontId="47" fillId="0" borderId="0"/>
    <xf numFmtId="174" fontId="58" fillId="0" borderId="0">
      <alignment vertical="top"/>
    </xf>
    <xf numFmtId="174" fontId="58" fillId="0" borderId="0">
      <alignment vertical="top"/>
    </xf>
    <xf numFmtId="170" fontId="47" fillId="0" borderId="0"/>
    <xf numFmtId="167" fontId="47" fillId="0" borderId="0"/>
    <xf numFmtId="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47" fillId="0" borderId="0"/>
    <xf numFmtId="170" fontId="47" fillId="0" borderId="0"/>
    <xf numFmtId="0" fontId="47" fillId="0" borderId="0"/>
    <xf numFmtId="0" fontId="47" fillId="0" borderId="0"/>
    <xf numFmtId="170" fontId="39" fillId="0" borderId="0"/>
    <xf numFmtId="170" fontId="39"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39" fillId="0" borderId="0"/>
    <xf numFmtId="0" fontId="47" fillId="0" borderId="0"/>
    <xf numFmtId="0" fontId="39" fillId="0" borderId="0"/>
    <xf numFmtId="0" fontId="39" fillId="0" borderId="0"/>
    <xf numFmtId="0" fontId="47" fillId="0" borderId="0"/>
    <xf numFmtId="170" fontId="47" fillId="0" borderId="0"/>
    <xf numFmtId="170" fontId="47" fillId="0" borderId="0"/>
    <xf numFmtId="167" fontId="47" fillId="0" borderId="0"/>
    <xf numFmtId="0" fontId="39" fillId="0" borderId="0"/>
    <xf numFmtId="170" fontId="39" fillId="0" borderId="0"/>
    <xf numFmtId="0" fontId="47" fillId="0" borderId="0"/>
    <xf numFmtId="170" fontId="39" fillId="0" borderId="0"/>
    <xf numFmtId="167" fontId="47" fillId="0" borderId="0"/>
    <xf numFmtId="0" fontId="47" fillId="0" borderId="0"/>
    <xf numFmtId="167" fontId="39" fillId="0" borderId="0"/>
    <xf numFmtId="167" fontId="51" fillId="0" borderId="0"/>
    <xf numFmtId="170" fontId="47" fillId="0" borderId="0"/>
    <xf numFmtId="167" fontId="53" fillId="0" borderId="0"/>
    <xf numFmtId="0" fontId="39" fillId="0" borderId="0"/>
    <xf numFmtId="170" fontId="39" fillId="0" borderId="0"/>
    <xf numFmtId="170" fontId="47" fillId="0" borderId="0"/>
    <xf numFmtId="4" fontId="48" fillId="0" borderId="0">
      <alignment vertical="center"/>
    </xf>
    <xf numFmtId="4" fontId="48"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4" fontId="48" fillId="0" borderId="0">
      <alignment vertical="center"/>
    </xf>
    <xf numFmtId="170" fontId="39" fillId="0" borderId="0"/>
    <xf numFmtId="0" fontId="39" fillId="0" borderId="0"/>
    <xf numFmtId="4" fontId="48" fillId="0" borderId="0">
      <alignment vertical="center"/>
    </xf>
    <xf numFmtId="0" fontId="47" fillId="0" borderId="0"/>
    <xf numFmtId="0" fontId="47" fillId="0" borderId="0"/>
    <xf numFmtId="167" fontId="47" fillId="0" borderId="0"/>
    <xf numFmtId="0" fontId="39" fillId="0" borderId="0"/>
    <xf numFmtId="170" fontId="39" fillId="0" borderId="0"/>
    <xf numFmtId="0" fontId="47" fillId="0" borderId="0"/>
    <xf numFmtId="0" fontId="50" fillId="0" borderId="0"/>
    <xf numFmtId="0" fontId="50" fillId="0" borderId="0"/>
    <xf numFmtId="0" fontId="50" fillId="0" borderId="0"/>
    <xf numFmtId="0" fontId="50" fillId="0" borderId="0"/>
    <xf numFmtId="0" fontId="50" fillId="0" borderId="0"/>
    <xf numFmtId="167" fontId="53" fillId="0" borderId="0"/>
    <xf numFmtId="170" fontId="47" fillId="0" borderId="0"/>
    <xf numFmtId="167" fontId="53" fillId="0" borderId="0"/>
    <xf numFmtId="170" fontId="39" fillId="0" borderId="0"/>
    <xf numFmtId="167" fontId="47" fillId="0" borderId="0"/>
    <xf numFmtId="0" fontId="47" fillId="0" borderId="0"/>
    <xf numFmtId="167" fontId="53" fillId="0" borderId="0"/>
    <xf numFmtId="167" fontId="33" fillId="0" borderId="0"/>
    <xf numFmtId="167" fontId="53" fillId="0" borderId="0"/>
    <xf numFmtId="167" fontId="33" fillId="0" borderId="0"/>
    <xf numFmtId="0" fontId="53" fillId="0" borderId="0"/>
    <xf numFmtId="167" fontId="33" fillId="0" borderId="0"/>
    <xf numFmtId="0" fontId="33" fillId="0" borderId="0"/>
    <xf numFmtId="167" fontId="53" fillId="0" borderId="0"/>
    <xf numFmtId="167" fontId="47" fillId="0" borderId="0"/>
    <xf numFmtId="0" fontId="47" fillId="0" borderId="0"/>
    <xf numFmtId="167" fontId="47" fillId="0" borderId="0"/>
    <xf numFmtId="0" fontId="47" fillId="0" borderId="0"/>
    <xf numFmtId="167" fontId="47" fillId="0" borderId="0"/>
    <xf numFmtId="0" fontId="47" fillId="0" borderId="0"/>
    <xf numFmtId="0" fontId="39" fillId="0" borderId="0"/>
    <xf numFmtId="167" fontId="47" fillId="0" borderId="0"/>
    <xf numFmtId="167" fontId="47" fillId="0" borderId="0"/>
    <xf numFmtId="167" fontId="53" fillId="0" borderId="0"/>
    <xf numFmtId="167" fontId="47" fillId="0" borderId="0"/>
    <xf numFmtId="170" fontId="39" fillId="0" borderId="0"/>
    <xf numFmtId="170" fontId="39" fillId="0" borderId="0"/>
    <xf numFmtId="170" fontId="39" fillId="0" borderId="0"/>
    <xf numFmtId="170" fontId="39" fillId="0" borderId="0"/>
    <xf numFmtId="170" fontId="39" fillId="0" borderId="0"/>
    <xf numFmtId="167" fontId="53" fillId="0" borderId="0"/>
    <xf numFmtId="170" fontId="47" fillId="0" borderId="0"/>
    <xf numFmtId="170" fontId="47" fillId="0" borderId="0"/>
    <xf numFmtId="170" fontId="47" fillId="0" borderId="0"/>
    <xf numFmtId="170" fontId="39" fillId="0" borderId="0"/>
    <xf numFmtId="0" fontId="47" fillId="0" borderId="0"/>
    <xf numFmtId="0" fontId="47" fillId="0" borderId="0"/>
    <xf numFmtId="0" fontId="47" fillId="0" borderId="0"/>
    <xf numFmtId="167" fontId="55"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7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0" fontId="47" fillId="0" borderId="0"/>
    <xf numFmtId="170" fontId="39" fillId="0" borderId="0"/>
    <xf numFmtId="179" fontId="38" fillId="11" borderId="0" applyFont="0" applyBorder="0">
      <alignment horizontal="center" vertical="center" shrinkToFit="1"/>
    </xf>
    <xf numFmtId="167" fontId="33" fillId="0" borderId="0"/>
    <xf numFmtId="167" fontId="53" fillId="0" borderId="0"/>
    <xf numFmtId="167" fontId="33" fillId="0" borderId="0"/>
    <xf numFmtId="0" fontId="53" fillId="0" borderId="0"/>
    <xf numFmtId="167" fontId="33" fillId="0" borderId="0"/>
    <xf numFmtId="0" fontId="33" fillId="0" borderId="0"/>
    <xf numFmtId="0" fontId="39" fillId="0" borderId="0"/>
    <xf numFmtId="0" fontId="39" fillId="0" borderId="0"/>
    <xf numFmtId="0" fontId="46" fillId="0" borderId="0">
      <protection locked="0"/>
    </xf>
    <xf numFmtId="0" fontId="46" fillId="0" borderId="0">
      <protection locked="0"/>
    </xf>
    <xf numFmtId="180" fontId="62" fillId="0" borderId="0">
      <protection locked="0"/>
    </xf>
    <xf numFmtId="181" fontId="62" fillId="0" borderId="0">
      <protection locked="0"/>
    </xf>
    <xf numFmtId="180" fontId="62" fillId="0" borderId="0">
      <protection locked="0"/>
    </xf>
    <xf numFmtId="182" fontId="62" fillId="0" borderId="0">
      <protection locked="0"/>
    </xf>
    <xf numFmtId="181" fontId="62" fillId="0" borderId="0">
      <protection locked="0"/>
    </xf>
    <xf numFmtId="182" fontId="62" fillId="0" borderId="0">
      <protection locked="0"/>
    </xf>
    <xf numFmtId="0" fontId="46" fillId="0" borderId="0">
      <protection locked="0"/>
    </xf>
    <xf numFmtId="183" fontId="62" fillId="0" borderId="0">
      <protection locked="0"/>
    </xf>
    <xf numFmtId="182" fontId="62" fillId="0" borderId="0">
      <protection locked="0"/>
    </xf>
    <xf numFmtId="0" fontId="46" fillId="0" borderId="0">
      <protection locked="0"/>
    </xf>
    <xf numFmtId="167" fontId="46" fillId="0" borderId="0">
      <protection locked="0"/>
    </xf>
    <xf numFmtId="184" fontId="63" fillId="0" borderId="0" applyFont="0" applyFill="0" applyBorder="0" applyAlignment="0" applyProtection="0"/>
    <xf numFmtId="167" fontId="64" fillId="0" borderId="0"/>
    <xf numFmtId="185" fontId="63" fillId="0" borderId="0" applyFont="0" applyFill="0" applyBorder="0" applyAlignment="0" applyProtection="0"/>
    <xf numFmtId="186" fontId="62" fillId="0" borderId="33">
      <protection locked="0"/>
    </xf>
    <xf numFmtId="0" fontId="46" fillId="0" borderId="29">
      <protection locked="0"/>
    </xf>
    <xf numFmtId="0" fontId="46" fillId="0" borderId="29">
      <protection locked="0"/>
    </xf>
    <xf numFmtId="167" fontId="38" fillId="0" borderId="0"/>
    <xf numFmtId="167" fontId="38" fillId="0" borderId="0"/>
    <xf numFmtId="167" fontId="38" fillId="0" borderId="0"/>
    <xf numFmtId="167" fontId="54" fillId="0" borderId="0">
      <alignment vertical="center"/>
    </xf>
    <xf numFmtId="167" fontId="65" fillId="0" borderId="0">
      <alignment vertical="center"/>
    </xf>
    <xf numFmtId="167" fontId="54" fillId="0" borderId="0">
      <alignment vertical="center"/>
    </xf>
    <xf numFmtId="0" fontId="66" fillId="0" borderId="0">
      <protection locked="0"/>
    </xf>
    <xf numFmtId="0" fontId="66" fillId="0" borderId="0">
      <protection locked="0"/>
    </xf>
    <xf numFmtId="186" fontId="67" fillId="0" borderId="0">
      <protection locked="0"/>
    </xf>
    <xf numFmtId="167" fontId="67" fillId="0" borderId="0">
      <protection locked="0"/>
    </xf>
    <xf numFmtId="186" fontId="67" fillId="0" borderId="0">
      <protection locked="0"/>
    </xf>
    <xf numFmtId="167" fontId="67" fillId="0" borderId="0">
      <protection locked="0"/>
    </xf>
    <xf numFmtId="0" fontId="68" fillId="0" borderId="0"/>
    <xf numFmtId="186" fontId="62" fillId="0" borderId="33">
      <protection locked="0"/>
    </xf>
    <xf numFmtId="167" fontId="62" fillId="0" borderId="33">
      <protection locked="0"/>
    </xf>
    <xf numFmtId="0" fontId="46" fillId="0" borderId="0">
      <protection locked="0"/>
    </xf>
    <xf numFmtId="0" fontId="46" fillId="0" borderId="0">
      <protection locked="0"/>
    </xf>
    <xf numFmtId="0" fontId="46"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46" fillId="0" borderId="0">
      <protection locked="0"/>
    </xf>
    <xf numFmtId="0" fontId="46"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46" fillId="0" borderId="0">
      <protection locked="0"/>
    </xf>
    <xf numFmtId="0" fontId="66" fillId="0" borderId="0">
      <protection locked="0"/>
    </xf>
    <xf numFmtId="0" fontId="66" fillId="0" borderId="0">
      <protection locked="0"/>
    </xf>
    <xf numFmtId="187" fontId="33"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9" fontId="69" fillId="0" borderId="34" applyFont="0" applyFill="0" applyBorder="0" applyAlignment="0" applyProtection="0">
      <alignment horizontal="right"/>
    </xf>
    <xf numFmtId="9" fontId="33" fillId="0" borderId="0"/>
    <xf numFmtId="9" fontId="53" fillId="0" borderId="0"/>
    <xf numFmtId="9" fontId="33" fillId="0" borderId="0"/>
    <xf numFmtId="167" fontId="64" fillId="0" borderId="0"/>
    <xf numFmtId="167" fontId="70" fillId="0" borderId="0"/>
    <xf numFmtId="190" fontId="71" fillId="0" borderId="0" applyFont="0" applyAlignment="0" applyProtection="0">
      <protection locked="0" hidden="1"/>
    </xf>
    <xf numFmtId="167" fontId="72" fillId="0" borderId="0"/>
    <xf numFmtId="167" fontId="70" fillId="0" borderId="0"/>
    <xf numFmtId="167" fontId="73" fillId="12" borderId="0"/>
    <xf numFmtId="167" fontId="73" fillId="12" borderId="0"/>
    <xf numFmtId="167" fontId="73" fillId="12" borderId="0"/>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0" fontId="74" fillId="13" borderId="19" applyNumberFormat="0" applyFill="0" applyBorder="0" applyAlignment="0">
      <alignment horizontal="left"/>
    </xf>
    <xf numFmtId="0" fontId="74" fillId="13" borderId="19" applyNumberFormat="0" applyFill="0" applyBorder="0" applyAlignment="0">
      <alignment horizontal="left"/>
    </xf>
    <xf numFmtId="167" fontId="75" fillId="13" borderId="0" applyNumberFormat="0" applyFill="0" applyBorder="0" applyAlignment="0"/>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0" fontId="76" fillId="14" borderId="19" applyNumberFormat="0" applyFill="0" applyBorder="0" applyAlignment="0">
      <alignment horizontal="left"/>
    </xf>
    <xf numFmtId="0" fontId="76" fillId="14" borderId="19" applyNumberFormat="0" applyFill="0" applyBorder="0" applyAlignment="0">
      <alignment horizontal="left"/>
    </xf>
    <xf numFmtId="167" fontId="77" fillId="15" borderId="0" applyNumberFormat="0" applyFill="0" applyBorder="0" applyAlignment="0"/>
    <xf numFmtId="167" fontId="78" fillId="0" borderId="0" applyNumberFormat="0" applyFill="0" applyBorder="0" applyAlignment="0"/>
    <xf numFmtId="167" fontId="79" fillId="0" borderId="7" applyNumberFormat="0" applyFill="0" applyBorder="0" applyAlignment="0">
      <alignment horizontal="left"/>
    </xf>
    <xf numFmtId="167" fontId="80" fillId="16" borderId="21" applyNumberFormat="0" applyFill="0" applyBorder="0" applyAlignment="0">
      <alignment horizontal="centerContinuous"/>
    </xf>
    <xf numFmtId="167" fontId="81" fillId="0" borderId="0" applyNumberFormat="0" applyFill="0" applyBorder="0" applyAlignment="0"/>
    <xf numFmtId="167" fontId="81" fillId="17" borderId="35" applyNumberFormat="0" applyFill="0" applyBorder="0" applyAlignment="0"/>
    <xf numFmtId="0" fontId="81" fillId="17" borderId="35" applyNumberFormat="0" applyFill="0" applyBorder="0" applyAlignment="0"/>
    <xf numFmtId="0" fontId="81" fillId="17" borderId="35" applyNumberFormat="0" applyFill="0" applyBorder="0" applyAlignment="0"/>
    <xf numFmtId="167" fontId="82" fillId="0" borderId="7" applyNumberFormat="0" applyFill="0" applyBorder="0" applyAlignment="0"/>
    <xf numFmtId="167" fontId="81" fillId="0" borderId="0" applyNumberFormat="0" applyFill="0" applyBorder="0" applyAlignment="0"/>
    <xf numFmtId="0"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5" fillId="5"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5" fillId="5" borderId="0" applyNumberFormat="0" applyBorder="0" applyAlignment="0" applyProtection="0"/>
    <xf numFmtId="167" fontId="84" fillId="18" borderId="0" applyNumberFormat="0" applyBorder="0" applyAlignment="0" applyProtection="0"/>
    <xf numFmtId="167" fontId="3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3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0" fontId="8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3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3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0" fontId="8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18" borderId="0" applyNumberFormat="0" applyBorder="0" applyAlignment="0" applyProtection="0"/>
    <xf numFmtId="0" fontId="83" fillId="18" borderId="0" applyNumberFormat="0" applyBorder="0" applyAlignment="0" applyProtection="0"/>
    <xf numFmtId="0"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0"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9" borderId="0" applyNumberFormat="0" applyBorder="0" applyAlignment="0" applyProtection="0"/>
    <xf numFmtId="0" fontId="83" fillId="19" borderId="0" applyNumberFormat="0" applyBorder="0" applyAlignment="0" applyProtection="0"/>
    <xf numFmtId="0"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0"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20" borderId="0" applyNumberFormat="0" applyBorder="0" applyAlignment="0" applyProtection="0"/>
    <xf numFmtId="0" fontId="83" fillId="20" borderId="0" applyNumberFormat="0" applyBorder="0" applyAlignment="0" applyProtection="0"/>
    <xf numFmtId="0"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0"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2" borderId="0" applyNumberFormat="0" applyBorder="0" applyAlignment="0" applyProtection="0"/>
    <xf numFmtId="0"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6" fillId="28"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3" borderId="0" applyNumberFormat="0" applyBorder="0" applyAlignment="0" applyProtection="0"/>
    <xf numFmtId="0" fontId="83" fillId="23" borderId="0" applyNumberFormat="0" applyBorder="0" applyAlignment="0" applyProtection="0"/>
    <xf numFmtId="0"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0"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8" fillId="18" borderId="0" applyNumberFormat="0" applyBorder="0" applyAlignment="0" applyProtection="0">
      <alignment vertical="center"/>
    </xf>
    <xf numFmtId="0" fontId="38" fillId="18" borderId="0" applyNumberFormat="0" applyBorder="0" applyAlignment="0" applyProtection="0">
      <alignment vertical="center"/>
    </xf>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22" borderId="0" applyNumberFormat="0" applyBorder="0" applyAlignment="0" applyProtection="0">
      <alignment vertical="center"/>
    </xf>
    <xf numFmtId="0" fontId="38" fillId="22" borderId="0" applyNumberFormat="0" applyBorder="0" applyAlignment="0" applyProtection="0">
      <alignment vertical="center"/>
    </xf>
    <xf numFmtId="167" fontId="38" fillId="23" borderId="0" applyNumberFormat="0" applyBorder="0" applyAlignment="0" applyProtection="0">
      <alignment vertical="center"/>
    </xf>
    <xf numFmtId="0" fontId="38" fillId="23" borderId="0" applyNumberFormat="0" applyBorder="0" applyAlignment="0" applyProtection="0">
      <alignment vertical="center"/>
    </xf>
    <xf numFmtId="191" fontId="71" fillId="0" borderId="0" applyFill="0" applyBorder="0" applyProtection="0">
      <alignment horizontal="right"/>
    </xf>
    <xf numFmtId="167" fontId="64" fillId="0" borderId="0"/>
    <xf numFmtId="167" fontId="70" fillId="0" borderId="0"/>
    <xf numFmtId="167" fontId="64" fillId="0" borderId="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3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0" fontId="8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3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5" borderId="0" applyNumberFormat="0" applyBorder="0" applyAlignment="0" applyProtection="0"/>
    <xf numFmtId="0" fontId="83" fillId="25" borderId="0" applyNumberFormat="0" applyBorder="0" applyAlignment="0" applyProtection="0"/>
    <xf numFmtId="0"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0"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3" fillId="31" borderId="0" applyNumberFormat="0" applyBorder="0" applyAlignment="0" applyProtection="0"/>
    <xf numFmtId="0"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0"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6" borderId="0" applyNumberFormat="0" applyBorder="0" applyAlignment="0" applyProtection="0"/>
    <xf numFmtId="0" fontId="83" fillId="26" borderId="0" applyNumberFormat="0" applyBorder="0" applyAlignment="0" applyProtection="0"/>
    <xf numFmtId="0"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0"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6" borderId="0" applyNumberFormat="0" applyBorder="0" applyAlignment="0" applyProtection="0">
      <alignment vertical="center"/>
    </xf>
    <xf numFmtId="0" fontId="38" fillId="26" borderId="0" applyNumberFormat="0" applyBorder="0" applyAlignment="0" applyProtection="0">
      <alignment vertical="center"/>
    </xf>
    <xf numFmtId="0" fontId="87"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33"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0" fontId="87"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33"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0" fontId="87"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33"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0" fontId="87"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35" borderId="0" applyNumberFormat="0" applyBorder="0" applyAlignment="0" applyProtection="0"/>
    <xf numFmtId="0" fontId="87" fillId="35" borderId="0" applyNumberFormat="0" applyBorder="0" applyAlignment="0" applyProtection="0"/>
    <xf numFmtId="0"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0"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25" borderId="0" applyNumberFormat="0" applyBorder="0" applyAlignment="0" applyProtection="0"/>
    <xf numFmtId="0" fontId="87" fillId="25" borderId="0" applyNumberFormat="0" applyBorder="0" applyAlignment="0" applyProtection="0"/>
    <xf numFmtId="0"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0"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7" fillId="31" borderId="0" applyNumberFormat="0" applyBorder="0" applyAlignment="0" applyProtection="0"/>
    <xf numFmtId="0"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0"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0"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0"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24" borderId="0" applyNumberFormat="0" applyBorder="0" applyAlignment="0" applyProtection="0"/>
    <xf numFmtId="0" fontId="87" fillId="24" borderId="0" applyNumberFormat="0" applyBorder="0" applyAlignment="0" applyProtection="0"/>
    <xf numFmtId="0"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0"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8" fillId="35" borderId="0" applyNumberFormat="0" applyBorder="0" applyAlignment="0" applyProtection="0">
      <alignment vertical="center"/>
    </xf>
    <xf numFmtId="0" fontId="38" fillId="35"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24" borderId="0" applyNumberFormat="0" applyBorder="0" applyAlignment="0" applyProtection="0">
      <alignment vertical="center"/>
    </xf>
    <xf numFmtId="0" fontId="38" fillId="24" borderId="0" applyNumberFormat="0" applyBorder="0" applyAlignment="0" applyProtection="0">
      <alignment vertical="center"/>
    </xf>
    <xf numFmtId="192" fontId="89" fillId="0" borderId="0" applyFont="0" applyFill="0" applyBorder="0">
      <alignment horizontal="center"/>
    </xf>
    <xf numFmtId="167" fontId="90" fillId="0" borderId="0">
      <alignment horizontal="right"/>
    </xf>
    <xf numFmtId="193" fontId="38" fillId="0" borderId="0" applyFont="0" applyFill="0" applyBorder="0" applyAlignment="0" applyProtection="0"/>
    <xf numFmtId="194" fontId="38" fillId="0" borderId="0" applyFont="0" applyFill="0" applyBorder="0" applyAlignment="0" applyProtection="0"/>
    <xf numFmtId="193" fontId="38" fillId="0" borderId="0" applyFont="0" applyFill="0" applyBorder="0" applyAlignment="0" applyProtection="0"/>
    <xf numFmtId="194" fontId="38" fillId="0" borderId="0" applyFont="0" applyFill="0" applyBorder="0" applyAlignment="0" applyProtection="0"/>
    <xf numFmtId="0" fontId="87" fillId="39" borderId="0" applyNumberFormat="0" applyBorder="0" applyAlignment="0" applyProtection="0"/>
    <xf numFmtId="167" fontId="84" fillId="40"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33"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0" fontId="87" fillId="39" borderId="0" applyNumberFormat="0" applyBorder="0" applyAlignment="0" applyProtection="0"/>
    <xf numFmtId="0" fontId="87" fillId="42" borderId="0" applyNumberFormat="0" applyBorder="0" applyAlignment="0" applyProtection="0"/>
    <xf numFmtId="167" fontId="84" fillId="43" borderId="0" applyNumberFormat="0" applyBorder="0" applyAlignment="0" applyProtection="0"/>
    <xf numFmtId="167" fontId="84" fillId="44" borderId="0" applyNumberFormat="0" applyBorder="0" applyAlignment="0" applyProtection="0"/>
    <xf numFmtId="167" fontId="88" fillId="45"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33"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0" fontId="87" fillId="42" borderId="0" applyNumberFormat="0" applyBorder="0" applyAlignment="0" applyProtection="0"/>
    <xf numFmtId="0" fontId="87" fillId="46" borderId="0" applyNumberFormat="0" applyBorder="0" applyAlignment="0" applyProtection="0"/>
    <xf numFmtId="167" fontId="84" fillId="43" borderId="0" applyNumberFormat="0" applyBorder="0" applyAlignment="0" applyProtection="0"/>
    <xf numFmtId="167" fontId="84" fillId="47" borderId="0" applyNumberFormat="0" applyBorder="0" applyAlignment="0" applyProtection="0"/>
    <xf numFmtId="167" fontId="88" fillId="44"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33"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0" fontId="87" fillId="46" borderId="0" applyNumberFormat="0" applyBorder="0" applyAlignment="0" applyProtection="0"/>
    <xf numFmtId="0" fontId="87" fillId="36" borderId="0" applyNumberFormat="0" applyBorder="0" applyAlignment="0" applyProtection="0"/>
    <xf numFmtId="167" fontId="84" fillId="40" borderId="0" applyNumberFormat="0" applyBorder="0" applyAlignment="0" applyProtection="0"/>
    <xf numFmtId="167" fontId="84" fillId="44" borderId="0" applyNumberFormat="0" applyBorder="0" applyAlignment="0" applyProtection="0"/>
    <xf numFmtId="167" fontId="88" fillId="44"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6" borderId="0" applyNumberFormat="0" applyBorder="0" applyAlignment="0" applyProtection="0"/>
    <xf numFmtId="0" fontId="87" fillId="37" borderId="0" applyNumberFormat="0" applyBorder="0" applyAlignment="0" applyProtection="0"/>
    <xf numFmtId="167" fontId="84" fillId="48"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37" borderId="0" applyNumberFormat="0" applyBorder="0" applyAlignment="0" applyProtection="0"/>
    <xf numFmtId="0" fontId="87" fillId="49" borderId="0" applyNumberFormat="0" applyBorder="0" applyAlignment="0" applyProtection="0"/>
    <xf numFmtId="167" fontId="84" fillId="43" borderId="0" applyNumberFormat="0" applyBorder="0" applyAlignment="0" applyProtection="0"/>
    <xf numFmtId="167" fontId="84" fillId="50" borderId="0" applyNumberFormat="0" applyBorder="0" applyAlignment="0" applyProtection="0"/>
    <xf numFmtId="167" fontId="88" fillId="50"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33"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0" fontId="87" fillId="49" borderId="0" applyNumberFormat="0" applyBorder="0" applyAlignment="0" applyProtection="0"/>
    <xf numFmtId="195" fontId="91" fillId="51" borderId="0">
      <alignment horizontal="center" vertical="center"/>
    </xf>
    <xf numFmtId="196" fontId="92" fillId="0" borderId="36" applyFont="0" applyFill="0">
      <alignment horizontal="right" vertical="center"/>
      <protection locked="0"/>
    </xf>
    <xf numFmtId="197" fontId="38" fillId="0" borderId="0" applyFont="0" applyFill="0" applyBorder="0" applyProtection="0"/>
    <xf numFmtId="0" fontId="93" fillId="0" borderId="0" applyNumberFormat="0" applyFill="0" applyBorder="0" applyAlignment="0" applyProtection="0">
      <alignment vertical="top"/>
      <protection locked="0"/>
    </xf>
    <xf numFmtId="198"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99"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67" fontId="96" fillId="0" borderId="0" applyNumberFormat="0" applyFill="0" applyBorder="0" applyAlignment="0" applyProtection="0">
      <alignment vertical="top"/>
      <protection locked="0"/>
    </xf>
    <xf numFmtId="167" fontId="41" fillId="0" borderId="0"/>
    <xf numFmtId="200" fontId="55" fillId="0" borderId="37">
      <protection locked="0"/>
    </xf>
    <xf numFmtId="201" fontId="33" fillId="0" borderId="0" applyFont="0" applyFill="0" applyBorder="0" applyAlignment="0" applyProtection="0"/>
    <xf numFmtId="202" fontId="33" fillId="0" borderId="0" applyFont="0" applyFill="0" applyBorder="0" applyAlignment="0" applyProtection="0"/>
    <xf numFmtId="203" fontId="97" fillId="0" borderId="0">
      <alignment horizontal="left"/>
    </xf>
    <xf numFmtId="203" fontId="97" fillId="0" borderId="0">
      <alignment horizontal="left"/>
    </xf>
    <xf numFmtId="203" fontId="97" fillId="0" borderId="0">
      <alignment horizontal="left"/>
    </xf>
    <xf numFmtId="39" fontId="98" fillId="0" borderId="0" applyFont="0" applyFill="0">
      <alignment vertical="center"/>
    </xf>
    <xf numFmtId="204" fontId="68" fillId="0" borderId="0"/>
    <xf numFmtId="0" fontId="99" fillId="0" borderId="0">
      <alignment horizontal="right"/>
    </xf>
    <xf numFmtId="196" fontId="92" fillId="0" borderId="0" applyFont="0" applyBorder="0" applyProtection="0">
      <alignment vertical="center"/>
    </xf>
    <xf numFmtId="195" fontId="38" fillId="0" borderId="0" applyNumberFormat="0" applyFont="0" applyAlignment="0">
      <alignment horizontal="center" vertical="center"/>
    </xf>
    <xf numFmtId="167" fontId="41" fillId="0" borderId="0" applyNumberFormat="0" applyFill="0" applyBorder="0" applyAlignment="0" applyProtection="0"/>
    <xf numFmtId="167" fontId="100" fillId="0" borderId="0" applyNumberFormat="0" applyFill="0" applyBorder="0" applyAlignment="0" applyProtection="0"/>
    <xf numFmtId="205" fontId="101" fillId="8" borderId="0" applyBorder="0">
      <protection locked="0"/>
    </xf>
    <xf numFmtId="197" fontId="102" fillId="52" borderId="12"/>
    <xf numFmtId="197" fontId="102" fillId="52" borderId="12"/>
    <xf numFmtId="197" fontId="102" fillId="52" borderId="12"/>
    <xf numFmtId="178" fontId="95" fillId="0" borderId="0" applyFont="0" applyFill="0" applyBorder="0" applyAlignment="0" applyProtection="0"/>
    <xf numFmtId="178" fontId="95" fillId="0" borderId="0" applyFont="0" applyFill="0" applyBorder="0" applyAlignment="0" applyProtection="0"/>
    <xf numFmtId="0" fontId="103" fillId="0" borderId="0"/>
    <xf numFmtId="169" fontId="104" fillId="0" borderId="0"/>
    <xf numFmtId="39" fontId="105" fillId="7" borderId="0" applyNumberFormat="0" applyBorder="0">
      <alignment vertical="center"/>
    </xf>
    <xf numFmtId="0" fontId="106"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33"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54" fillId="53" borderId="0"/>
    <xf numFmtId="167" fontId="108" fillId="53" borderId="0"/>
    <xf numFmtId="0" fontId="109" fillId="0" borderId="0"/>
    <xf numFmtId="167" fontId="110" fillId="0" borderId="0" applyNumberFormat="0" applyFill="0" applyBorder="0" applyAlignment="0" applyProtection="0"/>
    <xf numFmtId="0" fontId="55" fillId="0" borderId="0">
      <alignment horizontal="left"/>
    </xf>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38" fontId="112" fillId="0" borderId="0" applyNumberFormat="0" applyFill="0" applyBorder="0" applyAlignment="0" applyProtection="0">
      <alignment horizontal="right"/>
      <protection locked="0"/>
    </xf>
    <xf numFmtId="171" fontId="104" fillId="0" borderId="0"/>
    <xf numFmtId="167" fontId="113" fillId="0" borderId="0" applyNumberFormat="0" applyFill="0" applyBorder="0" applyAlignment="0" applyProtection="0"/>
    <xf numFmtId="0" fontId="114" fillId="0" borderId="35" applyNumberFormat="0" applyFill="0" applyAlignment="0" applyProtection="0"/>
    <xf numFmtId="0" fontId="114" fillId="0" borderId="35" applyNumberFormat="0" applyFill="0" applyAlignment="0" applyProtection="0"/>
    <xf numFmtId="0" fontId="114" fillId="0" borderId="35" applyNumberFormat="0" applyFill="0" applyAlignment="0" applyProtection="0"/>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left"/>
    </xf>
    <xf numFmtId="167" fontId="105" fillId="0" borderId="0">
      <alignment horizontal="right"/>
    </xf>
    <xf numFmtId="167" fontId="64"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7" fontId="116" fillId="0" borderId="0" applyFont="0" applyFill="0" applyBorder="0" applyAlignment="0" applyProtection="0"/>
    <xf numFmtId="49" fontId="117" fillId="0" borderId="0" applyFill="0" applyBorder="0">
      <alignment horizontal="left"/>
    </xf>
    <xf numFmtId="200" fontId="118" fillId="0" borderId="0" applyFill="0" applyBorder="0">
      <alignment horizontal="left"/>
    </xf>
    <xf numFmtId="49" fontId="119" fillId="0" borderId="0" applyFill="0" applyBorder="0">
      <alignment horizontal="left"/>
    </xf>
    <xf numFmtId="2" fontId="120" fillId="0" borderId="0" applyFill="0" applyBorder="0">
      <alignment horizontal="left"/>
    </xf>
    <xf numFmtId="0" fontId="63" fillId="0" borderId="0" applyFont="0" applyFill="0" applyBorder="0" applyAlignment="0" applyProtection="0"/>
    <xf numFmtId="208" fontId="121" fillId="0" borderId="0"/>
    <xf numFmtId="167" fontId="122" fillId="0" borderId="0"/>
    <xf numFmtId="178" fontId="123" fillId="0" borderId="0"/>
    <xf numFmtId="178" fontId="95" fillId="0" borderId="0"/>
    <xf numFmtId="178" fontId="124" fillId="0" borderId="0"/>
    <xf numFmtId="178" fontId="124" fillId="0" borderId="0"/>
    <xf numFmtId="178" fontId="94" fillId="0" borderId="0"/>
    <xf numFmtId="178" fontId="95" fillId="0" borderId="0"/>
    <xf numFmtId="178" fontId="94" fillId="0" borderId="0"/>
    <xf numFmtId="178" fontId="95" fillId="0" borderId="0"/>
    <xf numFmtId="178" fontId="94" fillId="0" borderId="0"/>
    <xf numFmtId="178" fontId="95" fillId="0" borderId="0"/>
    <xf numFmtId="178" fontId="125" fillId="0" borderId="0"/>
    <xf numFmtId="209" fontId="126" fillId="0" borderId="0" applyFill="0" applyBorder="0" applyAlignment="0"/>
    <xf numFmtId="167" fontId="40" fillId="0" borderId="0" applyFill="0" applyBorder="0" applyAlignment="0"/>
    <xf numFmtId="167" fontId="40" fillId="0" borderId="0" applyFill="0" applyBorder="0" applyAlignment="0"/>
    <xf numFmtId="210"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213" fontId="38" fillId="0" borderId="0" applyFill="0" applyBorder="0" applyAlignment="0"/>
    <xf numFmtId="214" fontId="126" fillId="0" borderId="0" applyFill="0" applyBorder="0" applyAlignment="0"/>
    <xf numFmtId="215" fontId="41" fillId="0" borderId="0" applyFill="0" applyBorder="0" applyAlignment="0"/>
    <xf numFmtId="215" fontId="41" fillId="0" borderId="0" applyFill="0" applyBorder="0" applyAlignment="0"/>
    <xf numFmtId="216" fontId="127" fillId="0" borderId="0" applyFill="0" applyBorder="0" applyAlignment="0"/>
    <xf numFmtId="217" fontId="126" fillId="0" borderId="0" applyFill="0" applyBorder="0" applyAlignment="0"/>
    <xf numFmtId="218" fontId="41" fillId="0" borderId="0" applyFill="0" applyBorder="0" applyAlignment="0"/>
    <xf numFmtId="218" fontId="41" fillId="0" borderId="0" applyFill="0" applyBorder="0" applyAlignment="0"/>
    <xf numFmtId="219" fontId="127" fillId="0" borderId="0" applyFill="0" applyBorder="0" applyAlignment="0"/>
    <xf numFmtId="220" fontId="126" fillId="0" borderId="0" applyFill="0" applyBorder="0" applyAlignment="0"/>
    <xf numFmtId="221" fontId="41" fillId="0" borderId="0" applyFill="0" applyBorder="0" applyAlignment="0"/>
    <xf numFmtId="221" fontId="41" fillId="0" borderId="0" applyFill="0" applyBorder="0" applyAlignment="0"/>
    <xf numFmtId="222" fontId="47" fillId="0" borderId="0" applyFill="0" applyBorder="0" applyAlignment="0"/>
    <xf numFmtId="209" fontId="126"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26"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0" fontId="128" fillId="54" borderId="39" applyNumberFormat="0" applyAlignment="0" applyProtection="0"/>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39" fontId="129" fillId="0" borderId="40">
      <protection locked="0"/>
    </xf>
    <xf numFmtId="39" fontId="129" fillId="0" borderId="40">
      <protection locked="0"/>
    </xf>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38" fontId="118" fillId="0" borderId="0">
      <alignment horizontal="left"/>
    </xf>
    <xf numFmtId="167" fontId="38" fillId="55" borderId="0" applyNumberFormat="0" applyFont="0" applyBorder="0" applyAlignment="0"/>
    <xf numFmtId="200" fontId="131" fillId="0" borderId="0"/>
    <xf numFmtId="167" fontId="41" fillId="0" borderId="0">
      <alignment horizontal="center" wrapText="1"/>
    </xf>
    <xf numFmtId="167" fontId="41" fillId="0" borderId="0">
      <alignment horizontal="center" wrapText="1"/>
    </xf>
    <xf numFmtId="167"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167" fontId="132" fillId="0" borderId="0" applyFill="0" applyBorder="0" applyProtection="0">
      <alignment horizontal="center"/>
      <protection locked="0"/>
    </xf>
    <xf numFmtId="1" fontId="133" fillId="0" borderId="0"/>
    <xf numFmtId="227" fontId="55" fillId="56" borderId="41">
      <alignment vertical="center"/>
    </xf>
    <xf numFmtId="0" fontId="134"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33"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228" fontId="38" fillId="0" borderId="43" applyFont="0" applyFill="0" applyBorder="0" applyProtection="0">
      <alignment horizontal="center"/>
      <protection locked="0"/>
    </xf>
    <xf numFmtId="0" fontId="58" fillId="0" borderId="40"/>
    <xf numFmtId="0" fontId="73" fillId="0" borderId="0">
      <alignment horizontal="center" wrapText="1"/>
      <protection hidden="1"/>
    </xf>
    <xf numFmtId="167" fontId="114" fillId="0" borderId="0" applyNumberFormat="0" applyFill="0" applyBorder="0" applyProtection="0">
      <alignment horizontal="center" vertical="center"/>
    </xf>
    <xf numFmtId="0" fontId="136" fillId="0" borderId="0">
      <alignment horizontal="right"/>
    </xf>
    <xf numFmtId="167" fontId="33" fillId="0" borderId="0"/>
    <xf numFmtId="229" fontId="137" fillId="0" borderId="0"/>
    <xf numFmtId="167" fontId="33"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22" fontId="47" fillId="0" borderId="0" applyFont="0" applyFill="0" applyBorder="0" applyAlignment="0" applyProtection="0"/>
    <xf numFmtId="209" fontId="41" fillId="0" borderId="0" applyFont="0" applyFill="0" applyBorder="0" applyAlignment="0" applyProtection="0"/>
    <xf numFmtId="209" fontId="41" fillId="0" borderId="0" applyFont="0" applyFill="0" applyBorder="0" applyAlignment="0" applyProtection="0"/>
    <xf numFmtId="210" fontId="41" fillId="0" borderId="0" applyFont="0" applyFill="0" applyBorder="0" applyAlignment="0" applyProtection="0"/>
    <xf numFmtId="210" fontId="41" fillId="0" borderId="0" applyFont="0" applyFill="0" applyBorder="0" applyAlignment="0" applyProtection="0"/>
    <xf numFmtId="167" fontId="138" fillId="0" borderId="0" applyFont="0" applyFill="0" applyBorder="0" applyAlignment="0" applyProtection="0"/>
    <xf numFmtId="167" fontId="64" fillId="0" borderId="0"/>
    <xf numFmtId="167" fontId="72" fillId="0" borderId="0"/>
    <xf numFmtId="167" fontId="139" fillId="0" borderId="0" applyFont="0" applyFill="0" applyBorder="0" applyAlignment="0" applyProtection="0">
      <alignment horizontal="right"/>
    </xf>
    <xf numFmtId="167" fontId="139"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167" fontId="55" fillId="0" borderId="0" applyFill="0" applyBorder="0" applyAlignment="0" applyProtection="0"/>
    <xf numFmtId="167" fontId="140"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alignment vertical="center"/>
    </xf>
    <xf numFmtId="167" fontId="140" fillId="0" borderId="0" applyFont="0" applyFill="0" applyBorder="0" applyAlignment="0" applyProtection="0"/>
    <xf numFmtId="167"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0" fontId="101" fillId="0" borderId="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6"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83"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6" fontId="85" fillId="0" borderId="0" applyFont="0" applyFill="0" applyBorder="0" applyAlignment="0" applyProtection="0"/>
    <xf numFmtId="237"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4"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8"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6" fontId="11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84"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38"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75" fontId="141" fillId="0" borderId="0" applyFont="0" applyFill="0" applyBorder="0" applyAlignment="0" applyProtection="0"/>
    <xf numFmtId="3" fontId="73" fillId="0" borderId="0" applyNumberFormat="0" applyFont="0" applyFill="0" applyBorder="0" applyAlignment="0" applyProtection="0">
      <alignment vertical="top"/>
    </xf>
    <xf numFmtId="0" fontId="142" fillId="0" borderId="0"/>
    <xf numFmtId="0" fontId="47" fillId="0" borderId="0"/>
    <xf numFmtId="3" fontId="143" fillId="0" borderId="0" applyFont="0" applyFill="0" applyBorder="0" applyAlignment="0" applyProtection="0"/>
    <xf numFmtId="3" fontId="143" fillId="0" borderId="0" applyFont="0" applyFill="0" applyBorder="0" applyAlignment="0" applyProtection="0"/>
    <xf numFmtId="3" fontId="143"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41" fillId="0" borderId="0" applyFont="0" applyFill="0" applyBorder="0" applyAlignment="0" applyProtection="0"/>
    <xf numFmtId="3" fontId="41" fillId="0" borderId="0" applyFont="0" applyFill="0" applyBorder="0" applyAlignment="0" applyProtection="0"/>
    <xf numFmtId="0" fontId="142" fillId="0" borderId="0"/>
    <xf numFmtId="0" fontId="47" fillId="0" borderId="0"/>
    <xf numFmtId="0" fontId="144" fillId="0" borderId="0"/>
    <xf numFmtId="167" fontId="145" fillId="0" borderId="0" applyFill="0" applyBorder="0" applyAlignment="0" applyProtection="0">
      <protection locked="0"/>
    </xf>
    <xf numFmtId="200" fontId="146" fillId="0" borderId="0" applyFill="0" applyBorder="0">
      <alignment horizontal="left"/>
    </xf>
    <xf numFmtId="196" fontId="147" fillId="0" borderId="44" applyNumberFormat="0" applyFill="0" applyBorder="0" applyAlignment="0" applyProtection="0"/>
    <xf numFmtId="190" fontId="148" fillId="0" borderId="0"/>
    <xf numFmtId="238" fontId="148" fillId="0" borderId="0"/>
    <xf numFmtId="239" fontId="148" fillId="0" borderId="0"/>
    <xf numFmtId="167" fontId="149" fillId="0" borderId="34" applyNumberFormat="0" applyFill="0" applyBorder="0" applyAlignment="0" applyProtection="0">
      <alignment horizontal="left"/>
    </xf>
    <xf numFmtId="167" fontId="150" fillId="0" borderId="0" applyNumberFormat="0" applyAlignment="0">
      <alignment horizontal="left"/>
    </xf>
    <xf numFmtId="240" fontId="151" fillId="9" borderId="0" applyBorder="0"/>
    <xf numFmtId="227" fontId="151" fillId="9" borderId="40" applyBorder="0"/>
    <xf numFmtId="241" fontId="151" fillId="9" borderId="40" applyBorder="0"/>
    <xf numFmtId="9" fontId="151" fillId="9" borderId="34" applyBorder="0"/>
    <xf numFmtId="182" fontId="151" fillId="9" borderId="0" applyBorder="0"/>
    <xf numFmtId="234" fontId="151" fillId="9" borderId="45" applyBorder="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0" applyFill="0" applyBorder="0" applyProtection="0"/>
    <xf numFmtId="200" fontId="152" fillId="52" borderId="37"/>
    <xf numFmtId="3" fontId="33" fillId="0" borderId="47" applyNumberFormat="0" applyAlignment="0">
      <alignment vertical="center"/>
    </xf>
    <xf numFmtId="3" fontId="153" fillId="0" borderId="47" applyNumberFormat="0" applyAlignment="0">
      <alignment vertical="center"/>
    </xf>
    <xf numFmtId="167" fontId="153" fillId="0" borderId="48" applyNumberFormat="0" applyAlignment="0"/>
    <xf numFmtId="3" fontId="33" fillId="0" borderId="47" applyNumberFormat="0" applyAlignment="0">
      <alignment vertical="center"/>
    </xf>
    <xf numFmtId="3" fontId="153" fillId="0" borderId="47" applyNumberFormat="0" applyAlignment="0">
      <alignment vertical="center"/>
    </xf>
    <xf numFmtId="243" fontId="73" fillId="0" borderId="0" applyFill="0" applyBorder="0">
      <alignment horizontal="right"/>
      <protection locked="0"/>
    </xf>
    <xf numFmtId="167" fontId="154" fillId="0" borderId="0"/>
    <xf numFmtId="167" fontId="154" fillId="0" borderId="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171" fontId="47" fillId="0" borderId="0" applyFont="0" applyFill="0" applyBorder="0" applyAlignment="0" applyProtection="0"/>
    <xf numFmtId="211" fontId="41" fillId="0" borderId="0" applyFont="0" applyFill="0" applyBorder="0" applyAlignment="0" applyProtection="0"/>
    <xf numFmtId="211" fontId="41" fillId="0" borderId="0" applyFont="0" applyFill="0" applyBorder="0" applyAlignment="0" applyProtection="0"/>
    <xf numFmtId="212" fontId="41" fillId="0" borderId="0" applyFont="0" applyFill="0" applyBorder="0" applyAlignment="0" applyProtection="0"/>
    <xf numFmtId="212" fontId="41" fillId="0" borderId="0" applyFont="0" applyFill="0" applyBorder="0" applyAlignment="0" applyProtection="0"/>
    <xf numFmtId="245" fontId="44" fillId="0" borderId="0" applyFont="0" applyFill="0" applyBorder="0" applyAlignment="0" applyProtection="0"/>
    <xf numFmtId="246" fontId="155" fillId="0" borderId="0" applyFont="0" applyFill="0" applyBorder="0" applyProtection="0">
      <alignment horizontal="right"/>
    </xf>
    <xf numFmtId="247" fontId="155" fillId="0" borderId="0" applyFont="0" applyFill="0" applyBorder="0" applyProtection="0">
      <alignment horizontal="right"/>
    </xf>
    <xf numFmtId="167" fontId="139" fillId="0" borderId="0" applyFont="0" applyFill="0" applyBorder="0" applyAlignment="0" applyProtection="0">
      <alignment horizontal="right"/>
    </xf>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4"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250" fontId="68" fillId="0" borderId="0" applyFont="0" applyFill="0" applyBorder="0" applyAlignment="0" applyProtection="0"/>
    <xf numFmtId="250" fontId="68"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4"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67" fontId="139" fillId="0" borderId="0" applyFont="0" applyFill="0" applyBorder="0" applyAlignment="0" applyProtection="0">
      <alignment horizontal="right"/>
    </xf>
    <xf numFmtId="194" fontId="38" fillId="0" borderId="0" applyFont="0" applyFill="0" applyBorder="0" applyAlignment="0" applyProtection="0"/>
    <xf numFmtId="182" fontId="38" fillId="0" borderId="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37" fontId="156" fillId="0" borderId="49" applyFont="0" applyFill="0" applyBorder="0"/>
    <xf numFmtId="37" fontId="91" fillId="0" borderId="49" applyFont="0" applyFill="0" applyBorder="0">
      <protection locked="0"/>
    </xf>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91" fillId="0" borderId="49" applyFill="0" applyBorder="0">
      <protection locked="0"/>
    </xf>
    <xf numFmtId="251" fontId="73" fillId="0" borderId="0" applyNumberFormat="0" applyFont="0" applyFill="0" applyBorder="0" applyAlignment="0" applyProtection="0">
      <alignment vertical="top"/>
    </xf>
    <xf numFmtId="252" fontId="143" fillId="0" borderId="0" applyFont="0" applyFill="0" applyBorder="0" applyAlignment="0" applyProtection="0"/>
    <xf numFmtId="252" fontId="143" fillId="0" borderId="0" applyFont="0" applyFill="0" applyBorder="0" applyAlignment="0" applyProtection="0"/>
    <xf numFmtId="252" fontId="143"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1" fontId="41" fillId="0" borderId="0" applyFont="0" applyFill="0" applyBorder="0" applyAlignment="0" applyProtection="0"/>
    <xf numFmtId="251" fontId="41" fillId="0"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00" fontId="117" fillId="9" borderId="50" applyNumberFormat="0" applyBorder="0" applyProtection="0">
      <alignment horizontal="right"/>
    </xf>
    <xf numFmtId="0" fontId="73" fillId="0" borderId="0" applyFont="0" applyFill="0" applyBorder="0" applyAlignment="0">
      <protection locked="0"/>
    </xf>
    <xf numFmtId="0" fontId="158" fillId="10" borderId="51" applyNumberFormat="0" applyFont="0" applyBorder="0" applyAlignment="0" applyProtection="0"/>
    <xf numFmtId="0" fontId="38" fillId="0" borderId="0"/>
    <xf numFmtId="0" fontId="63" fillId="0" borderId="0" applyFont="0" applyFill="0" applyBorder="0" applyAlignment="0" applyProtection="0"/>
    <xf numFmtId="167" fontId="54" fillId="43" borderId="0"/>
    <xf numFmtId="167" fontId="108" fillId="59" borderId="0"/>
    <xf numFmtId="15" fontId="33" fillId="0" borderId="0"/>
    <xf numFmtId="15" fontId="159" fillId="0" borderId="0"/>
    <xf numFmtId="15" fontId="33" fillId="0" borderId="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67" fontId="139" fillId="0" borderId="0" applyFont="0" applyFill="0" applyBorder="0" applyAlignment="0" applyProtection="0"/>
    <xf numFmtId="15" fontId="160" fillId="0" borderId="52" applyFont="0" applyFill="0" applyBorder="0" applyAlignment="0">
      <alignment horizontal="centerContinuous"/>
    </xf>
    <xf numFmtId="255" fontId="160" fillId="0" borderId="52" applyFont="0" applyFill="0" applyBorder="0" applyAlignment="0">
      <alignment horizontal="centerContinuous"/>
    </xf>
    <xf numFmtId="14" fontId="126" fillId="0" borderId="0" applyFill="0" applyBorder="0" applyAlignment="0"/>
    <xf numFmtId="167" fontId="38" fillId="11" borderId="0" applyFont="0" applyFill="0" applyBorder="0" applyAlignment="0" applyProtection="0"/>
    <xf numFmtId="256" fontId="104" fillId="0" borderId="0" applyFill="0" applyBorder="0" applyProtection="0"/>
    <xf numFmtId="14" fontId="104" fillId="0" borderId="0" applyFill="0" applyBorder="0" applyProtection="0"/>
    <xf numFmtId="257"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7" fontId="38" fillId="7" borderId="7">
      <alignment horizontal="center"/>
    </xf>
    <xf numFmtId="15" fontId="121" fillId="0" borderId="0">
      <alignment vertical="center"/>
    </xf>
    <xf numFmtId="258" fontId="38" fillId="0" borderId="0" applyFont="0" applyFill="0" applyBorder="0" applyAlignment="0" applyProtection="0">
      <alignment wrapText="1"/>
    </xf>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0" applyFill="0" applyBorder="0" applyProtection="0"/>
    <xf numFmtId="167" fontId="72" fillId="0" borderId="0">
      <alignment horizontal="right"/>
    </xf>
    <xf numFmtId="167" fontId="72" fillId="0" borderId="0">
      <alignment horizontal="right"/>
      <protection locked="0"/>
    </xf>
    <xf numFmtId="167" fontId="72" fillId="0" borderId="0"/>
    <xf numFmtId="167" fontId="72" fillId="0" borderId="0">
      <alignment horizontal="right"/>
      <protection locked="0"/>
    </xf>
    <xf numFmtId="259" fontId="72" fillId="0" borderId="0"/>
    <xf numFmtId="38" fontId="49" fillId="0" borderId="0" applyFont="0" applyFill="0" applyBorder="0" applyAlignment="0" applyProtection="0"/>
    <xf numFmtId="0" fontId="55" fillId="0" borderId="0" applyNumberFormat="0" applyFill="0" applyBorder="0" applyAlignment="0" applyProtection="0"/>
    <xf numFmtId="38" fontId="73" fillId="0" borderId="53">
      <alignment vertical="center"/>
    </xf>
    <xf numFmtId="260" fontId="105" fillId="60" borderId="0" applyNumberFormat="0" applyBorder="0" applyAlignment="0" applyProtection="0"/>
    <xf numFmtId="261" fontId="38" fillId="0" borderId="0" applyFont="0" applyFill="0" applyBorder="0" applyAlignment="0" applyProtection="0"/>
    <xf numFmtId="237" fontId="38" fillId="0" borderId="0" applyFont="0" applyFill="0" applyBorder="0" applyAlignment="0" applyProtection="0"/>
    <xf numFmtId="0" fontId="46" fillId="0" borderId="0">
      <protection locked="0"/>
    </xf>
    <xf numFmtId="262" fontId="161" fillId="0" borderId="0">
      <alignment horizontal="left"/>
    </xf>
    <xf numFmtId="226" fontId="162" fillId="0" borderId="0"/>
    <xf numFmtId="263" fontId="44" fillId="0" borderId="0" applyFont="0" applyFill="0" applyBorder="0" applyAlignment="0" applyProtection="0"/>
    <xf numFmtId="200" fontId="163" fillId="0" borderId="0">
      <alignment horizontal="center"/>
    </xf>
    <xf numFmtId="200" fontId="163" fillId="0" borderId="0">
      <alignment horizontal="center"/>
    </xf>
    <xf numFmtId="200" fontId="163" fillId="0" borderId="0">
      <alignment horizontal="center"/>
    </xf>
    <xf numFmtId="167" fontId="139" fillId="0" borderId="54" applyNumberFormat="0" applyFont="0" applyFill="0" applyAlignment="0" applyProtection="0"/>
    <xf numFmtId="167" fontId="164" fillId="0" borderId="0" applyFill="0" applyBorder="0" applyAlignment="0" applyProtection="0"/>
    <xf numFmtId="167" fontId="72" fillId="0" borderId="0"/>
    <xf numFmtId="38" fontId="73" fillId="0" borderId="0" applyFont="0" applyFill="0" applyBorder="0" applyAlignment="0" applyProtection="0"/>
    <xf numFmtId="167" fontId="165" fillId="0" borderId="0" applyFont="0" applyFill="0" applyBorder="0" applyAlignment="0" applyProtection="0"/>
    <xf numFmtId="167" fontId="166" fillId="0" borderId="0" applyNumberFormat="0" applyFill="0" applyBorder="0" applyAlignment="0" applyProtection="0"/>
    <xf numFmtId="3" fontId="38" fillId="0" borderId="12"/>
    <xf numFmtId="3" fontId="38" fillId="0" borderId="12"/>
    <xf numFmtId="3" fontId="38" fillId="0" borderId="12"/>
    <xf numFmtId="38" fontId="33" fillId="0" borderId="0">
      <alignment vertical="top"/>
    </xf>
    <xf numFmtId="167" fontId="167" fillId="61" borderId="0" applyNumberFormat="0" applyBorder="0" applyAlignment="0" applyProtection="0"/>
    <xf numFmtId="167" fontId="167" fillId="62" borderId="0" applyNumberFormat="0" applyBorder="0" applyAlignment="0" applyProtection="0"/>
    <xf numFmtId="167" fontId="167" fillId="63" borderId="0" applyNumberFormat="0" applyBorder="0" applyAlignment="0" applyProtection="0"/>
    <xf numFmtId="0" fontId="66" fillId="0" borderId="0">
      <protection locked="0"/>
    </xf>
    <xf numFmtId="0" fontId="66" fillId="0" borderId="0">
      <protection locked="0"/>
    </xf>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6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167" fontId="169" fillId="0" borderId="0" applyNumberFormat="0" applyAlignment="0">
      <alignment horizontal="left"/>
    </xf>
    <xf numFmtId="177" fontId="170" fillId="0" borderId="0" applyFont="0" applyFill="0" applyBorder="0" applyAlignment="0" applyProtection="0"/>
    <xf numFmtId="177" fontId="19" fillId="0" borderId="0" applyFont="0" applyFill="0" applyBorder="0" applyAlignment="0" applyProtection="0">
      <alignment vertical="top"/>
    </xf>
    <xf numFmtId="167" fontId="63" fillId="0" borderId="0" applyFont="0" applyFill="0" applyBorder="0" applyAlignment="0" applyProtection="0"/>
    <xf numFmtId="167" fontId="63" fillId="0" borderId="0" applyFont="0" applyFill="0" applyBorder="0" applyAlignment="0" applyProtection="0"/>
    <xf numFmtId="167" fontId="63" fillId="0" borderId="0" applyFont="0" applyFill="0" applyBorder="0" applyAlignment="0" applyProtection="0"/>
    <xf numFmtId="167" fontId="38" fillId="0" borderId="0" applyFont="0" applyFill="0" applyBorder="0" applyAlignment="0" applyProtection="0"/>
    <xf numFmtId="177" fontId="47" fillId="0" borderId="0" applyFont="0" applyFill="0" applyBorder="0" applyAlignment="0" applyProtection="0"/>
    <xf numFmtId="167" fontId="47" fillId="0" borderId="0" applyFont="0" applyFill="0" applyBorder="0" applyAlignment="0" applyProtection="0"/>
    <xf numFmtId="264" fontId="171" fillId="0" borderId="0" applyBorder="0" applyProtection="0"/>
    <xf numFmtId="264" fontId="172" fillId="0" borderId="0" applyBorder="0" applyProtection="0"/>
    <xf numFmtId="0" fontId="17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3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49" fontId="111" fillId="0" borderId="0" applyNumberFormat="0" applyFill="0" applyBorder="0" applyProtection="0">
      <alignment horizontal="center" vertical="top"/>
    </xf>
    <xf numFmtId="265" fontId="175" fillId="0" borderId="0" applyBorder="0">
      <alignment horizontal="right" vertical="top"/>
    </xf>
    <xf numFmtId="266" fontId="111" fillId="0" borderId="0" applyBorder="0">
      <alignment horizontal="right" vertical="top"/>
    </xf>
    <xf numFmtId="266" fontId="175" fillId="0" borderId="0" applyBorder="0">
      <alignment horizontal="right" vertical="top"/>
    </xf>
    <xf numFmtId="267" fontId="111" fillId="0" borderId="0" applyFill="0" applyBorder="0">
      <alignment horizontal="right" vertical="top"/>
    </xf>
    <xf numFmtId="268" fontId="111" fillId="0" borderId="0" applyFill="0" applyBorder="0">
      <alignment horizontal="right" vertical="top"/>
    </xf>
    <xf numFmtId="269" fontId="111" fillId="0" borderId="0" applyFill="0" applyBorder="0">
      <alignment horizontal="right" vertical="top"/>
    </xf>
    <xf numFmtId="270" fontId="111" fillId="0" borderId="0" applyFill="0" applyBorder="0">
      <alignment horizontal="right" vertical="top"/>
    </xf>
    <xf numFmtId="167" fontId="176" fillId="0" borderId="0">
      <alignment horizontal="left"/>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167" fontId="178" fillId="0" borderId="0">
      <alignment vertical="center"/>
    </xf>
    <xf numFmtId="272" fontId="178" fillId="0" borderId="0">
      <alignment horizontal="left" vertical="center"/>
    </xf>
    <xf numFmtId="273" fontId="179" fillId="0" borderId="0">
      <alignment vertical="center"/>
    </xf>
    <xf numFmtId="167" fontId="81" fillId="0" borderId="0">
      <alignment vertical="center"/>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11" fillId="0" borderId="0">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72" fontId="100" fillId="0" borderId="0">
      <alignment horizontal="left" vertical="center"/>
    </xf>
    <xf numFmtId="271" fontId="100" fillId="0" borderId="0"/>
    <xf numFmtId="271" fontId="181" fillId="0" borderId="0"/>
    <xf numFmtId="271" fontId="182" fillId="0" borderId="0"/>
    <xf numFmtId="271" fontId="41" fillId="0" borderId="0"/>
    <xf numFmtId="271" fontId="183" fillId="0" borderId="0">
      <alignment horizontal="left" vertical="top"/>
    </xf>
    <xf numFmtId="167" fontId="111" fillId="0" borderId="0" applyFill="0" applyBorder="0">
      <alignment horizontal="left" vertical="top" wrapText="1"/>
    </xf>
    <xf numFmtId="167" fontId="184" fillId="0" borderId="0">
      <alignment horizontal="left" vertical="top" wrapText="1"/>
    </xf>
    <xf numFmtId="167" fontId="185" fillId="0" borderId="0">
      <alignment horizontal="left" vertical="top" wrapText="1"/>
    </xf>
    <xf numFmtId="167" fontId="175" fillId="0" borderId="0">
      <alignment horizontal="left" vertical="top" wrapText="1"/>
    </xf>
    <xf numFmtId="274" fontId="38" fillId="0" borderId="0" applyFont="0" applyFill="0" applyBorder="0" applyAlignment="0" applyProtection="0"/>
    <xf numFmtId="275" fontId="38" fillId="0" borderId="0" applyFont="0" applyFill="0" applyBorder="0" applyAlignment="0" applyProtection="0"/>
    <xf numFmtId="189" fontId="186" fillId="0" borderId="0" applyFill="0" applyBorder="0" applyAlignment="0" applyProtection="0"/>
    <xf numFmtId="167" fontId="46" fillId="0" borderId="0">
      <protection locked="0"/>
    </xf>
    <xf numFmtId="189" fontId="58" fillId="0" borderId="0" applyFill="0" applyBorder="0" applyAlignment="0" applyProtection="0"/>
    <xf numFmtId="189" fontId="58" fillId="0" borderId="0" applyFill="0" applyBorder="0" applyAlignment="0" applyProtection="0"/>
    <xf numFmtId="167" fontId="46" fillId="0" borderId="0">
      <protection locked="0"/>
    </xf>
    <xf numFmtId="189" fontId="187" fillId="0" borderId="0" applyFill="0" applyBorder="0" applyAlignment="0" applyProtection="0"/>
    <xf numFmtId="167" fontId="188" fillId="0" borderId="0">
      <protection locked="0"/>
    </xf>
    <xf numFmtId="189" fontId="189" fillId="0" borderId="0" applyFill="0" applyBorder="0" applyAlignment="0" applyProtection="0"/>
    <xf numFmtId="167" fontId="46" fillId="0" borderId="0">
      <protection locked="0"/>
    </xf>
    <xf numFmtId="189" fontId="190" fillId="0" borderId="0" applyFill="0" applyBorder="0" applyAlignment="0" applyProtection="0"/>
    <xf numFmtId="167" fontId="46" fillId="0" borderId="0">
      <protection locked="0"/>
    </xf>
    <xf numFmtId="189" fontId="191" fillId="0" borderId="0" applyFill="0" applyBorder="0" applyAlignment="0" applyProtection="0"/>
    <xf numFmtId="167" fontId="46" fillId="0" borderId="0">
      <protection locked="0"/>
    </xf>
    <xf numFmtId="189" fontId="192" fillId="0" borderId="0" applyFill="0" applyBorder="0" applyAlignment="0" applyProtection="0"/>
    <xf numFmtId="167" fontId="46" fillId="0" borderId="0">
      <protection locked="0"/>
    </xf>
    <xf numFmtId="276" fontId="41" fillId="0" borderId="0" applyFont="0" applyFill="0" applyBorder="0" applyAlignment="0" applyProtection="0"/>
    <xf numFmtId="167" fontId="33" fillId="0" borderId="0"/>
    <xf numFmtId="190" fontId="193" fillId="0" borderId="0"/>
    <xf numFmtId="190" fontId="194" fillId="0" borderId="0"/>
    <xf numFmtId="190" fontId="193" fillId="0" borderId="0"/>
    <xf numFmtId="190" fontId="193" fillId="0" borderId="0"/>
    <xf numFmtId="190" fontId="193" fillId="0" borderId="0"/>
    <xf numFmtId="167" fontId="33" fillId="0" borderId="0"/>
    <xf numFmtId="190" fontId="193" fillId="0" borderId="0"/>
    <xf numFmtId="0" fontId="46" fillId="0" borderId="0">
      <protection locked="0"/>
    </xf>
    <xf numFmtId="0" fontId="46" fillId="0" borderId="0">
      <protection locked="0"/>
    </xf>
    <xf numFmtId="2" fontId="143" fillId="0" borderId="0" applyFont="0" applyFill="0" applyBorder="0" applyAlignment="0" applyProtection="0"/>
    <xf numFmtId="2" fontId="143" fillId="0" borderId="0" applyFont="0" applyFill="0" applyBorder="0" applyAlignment="0" applyProtection="0"/>
    <xf numFmtId="2" fontId="143"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41" fillId="0" borderId="0" applyFont="0" applyFill="0" applyBorder="0" applyAlignment="0" applyProtection="0"/>
    <xf numFmtId="2" fontId="41" fillId="0"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0" fontId="38" fillId="0" borderId="0"/>
    <xf numFmtId="15" fontId="38" fillId="0" borderId="0">
      <alignment vertical="center"/>
    </xf>
    <xf numFmtId="167" fontId="195" fillId="0" borderId="0" applyFill="0" applyBorder="0" applyProtection="0">
      <alignment horizontal="left"/>
    </xf>
    <xf numFmtId="0" fontId="38" fillId="0" borderId="0" applyNumberFormat="0" applyFont="0">
      <alignment wrapText="1"/>
    </xf>
    <xf numFmtId="167" fontId="33" fillId="0" borderId="0"/>
    <xf numFmtId="167" fontId="196" fillId="0" borderId="0"/>
    <xf numFmtId="167" fontId="33" fillId="0" borderId="0"/>
    <xf numFmtId="0" fontId="196" fillId="0" borderId="0"/>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49" fontId="198" fillId="0" borderId="0">
      <alignment horizontal="left"/>
    </xf>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234" fontId="120" fillId="0" borderId="0" applyFill="0" applyBorder="0"/>
    <xf numFmtId="167" fontId="41" fillId="0" borderId="0" applyNumberFormat="0" applyFont="0" applyBorder="0" applyAlignment="0"/>
    <xf numFmtId="227" fontId="120" fillId="0" borderId="34" applyFill="0" applyBorder="0"/>
    <xf numFmtId="240" fontId="120" fillId="0" borderId="0" applyFill="0" applyBorder="0"/>
    <xf numFmtId="0" fontId="200"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33"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234" fontId="202" fillId="0" borderId="0" applyNumberFormat="0" applyFill="0" applyBorder="0" applyAlignment="0" applyProtection="0">
      <alignment horizontal="center"/>
    </xf>
    <xf numFmtId="38" fontId="121" fillId="7" borderId="0" applyNumberFormat="0" applyBorder="0" applyAlignment="0" applyProtection="0"/>
    <xf numFmtId="0" fontId="203" fillId="0" borderId="0" applyNumberFormat="0">
      <alignment horizontal="right"/>
    </xf>
    <xf numFmtId="0" fontId="204" fillId="0" borderId="0" applyNumberFormat="0">
      <alignment horizontal="right"/>
    </xf>
    <xf numFmtId="0" fontId="204" fillId="0" borderId="0" applyNumberFormat="0">
      <alignment horizontal="left"/>
    </xf>
    <xf numFmtId="0" fontId="203" fillId="0" borderId="0" applyNumberFormat="0">
      <alignment horizontal="left"/>
    </xf>
    <xf numFmtId="0" fontId="205" fillId="0" borderId="0" applyNumberFormat="0">
      <alignment horizontal="left" vertical="top"/>
    </xf>
    <xf numFmtId="166" fontId="41" fillId="8" borderId="12" applyNumberFormat="0" applyFont="0" applyBorder="0" applyAlignment="0" applyProtection="0"/>
    <xf numFmtId="166" fontId="41" fillId="8" borderId="12" applyNumberFormat="0" applyFont="0" applyBorder="0" applyAlignment="0" applyProtection="0"/>
    <xf numFmtId="166" fontId="41" fillId="8" borderId="12" applyNumberFormat="0" applyFont="0" applyBorder="0" applyAlignment="0" applyProtection="0"/>
    <xf numFmtId="171" fontId="206" fillId="0" borderId="0">
      <alignment vertical="center"/>
    </xf>
    <xf numFmtId="167" fontId="139" fillId="0" borderId="0" applyFont="0" applyFill="0" applyBorder="0" applyAlignment="0" applyProtection="0">
      <alignment horizontal="right"/>
    </xf>
    <xf numFmtId="171" fontId="207" fillId="8" borderId="0" applyNumberFormat="0" applyFont="0" applyAlignment="0"/>
    <xf numFmtId="167" fontId="208" fillId="0" borderId="0" applyProtection="0">
      <alignment horizontal="right"/>
    </xf>
    <xf numFmtId="167" fontId="209" fillId="0" borderId="56" applyNumberFormat="0" applyAlignment="0" applyProtection="0">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4" fontId="105" fillId="52" borderId="7">
      <alignment horizontal="center" vertical="center" wrapText="1"/>
    </xf>
    <xf numFmtId="0" fontId="210" fillId="0" borderId="57" applyNumberFormat="0" applyFill="0" applyAlignment="0" applyProtection="0"/>
    <xf numFmtId="0" fontId="211" fillId="0" borderId="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84" fillId="0" borderId="0"/>
    <xf numFmtId="167" fontId="213" fillId="0" borderId="1"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3" fillId="0" borderId="1" applyNumberFormat="0" applyFill="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33"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7" fillId="0" borderId="2"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17" fillId="0" borderId="2" applyNumberFormat="0" applyFill="0" applyAlignment="0" applyProtection="0"/>
    <xf numFmtId="167" fontId="218" fillId="0" borderId="0" applyNumberFormat="0" applyFill="0" applyBorder="0" applyAlignment="0" applyProtection="0"/>
    <xf numFmtId="167" fontId="2" fillId="0" borderId="2" applyNumberFormat="0" applyFill="0" applyAlignment="0" applyProtection="0"/>
    <xf numFmtId="167" fontId="219" fillId="0" borderId="58" applyNumberFormat="0" applyFill="0" applyAlignment="0" applyProtection="0"/>
    <xf numFmtId="167" fontId="33"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8" fillId="0" borderId="0" applyNumberFormat="0" applyFill="0" applyBorder="0" applyAlignment="0" applyProtection="0"/>
    <xf numFmtId="167" fontId="219"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2" fillId="0" borderId="3"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2" fillId="0" borderId="3" applyNumberFormat="0" applyFill="0" applyAlignment="0" applyProtection="0"/>
    <xf numFmtId="167" fontId="221" fillId="0" borderId="59" applyNumberFormat="0" applyFill="0" applyAlignment="0" applyProtection="0"/>
    <xf numFmtId="167" fontId="33"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2"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0" fontId="222" fillId="0" borderId="0" applyNumberFormat="0" applyFill="0" applyBorder="0" applyAlignment="0" applyProtection="0"/>
    <xf numFmtId="167" fontId="221" fillId="0" borderId="0" applyNumberFormat="0" applyFill="0" applyBorder="0" applyAlignment="0" applyProtection="0"/>
    <xf numFmtId="167" fontId="33"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100" fillId="0" borderId="0"/>
    <xf numFmtId="37" fontId="223" fillId="0" borderId="0"/>
    <xf numFmtId="167" fontId="132" fillId="0" borderId="0" applyFill="0" applyAlignment="0" applyProtection="0">
      <protection locked="0"/>
    </xf>
    <xf numFmtId="167" fontId="132" fillId="0" borderId="35" applyFill="0" applyAlignment="0" applyProtection="0">
      <protection locked="0"/>
    </xf>
    <xf numFmtId="0" fontId="224" fillId="0" borderId="0">
      <alignment horizontal="center"/>
    </xf>
    <xf numFmtId="0" fontId="225" fillId="0" borderId="0"/>
    <xf numFmtId="0" fontId="225" fillId="0" borderId="0"/>
    <xf numFmtId="0" fontId="225" fillId="0" borderId="0"/>
    <xf numFmtId="38" fontId="33" fillId="0" borderId="0">
      <alignment vertical="top"/>
    </xf>
    <xf numFmtId="0" fontId="187" fillId="0" borderId="0"/>
    <xf numFmtId="0" fontId="226" fillId="0" borderId="0"/>
    <xf numFmtId="0" fontId="132" fillId="0" borderId="0"/>
    <xf numFmtId="0" fontId="163" fillId="0" borderId="0"/>
    <xf numFmtId="167" fontId="227" fillId="0" borderId="60" applyNumberFormat="0" applyFill="0" applyBorder="0" applyAlignment="0" applyProtection="0">
      <alignment horizontal="left"/>
    </xf>
    <xf numFmtId="0" fontId="38" fillId="0" borderId="0"/>
    <xf numFmtId="0" fontId="38" fillId="0" borderId="0"/>
    <xf numFmtId="0" fontId="105" fillId="66" borderId="12">
      <alignment horizontal="center" vertical="center" wrapText="1"/>
      <protection locked="0"/>
    </xf>
    <xf numFmtId="175" fontId="228" fillId="11" borderId="0" applyNumberFormat="0" applyBorder="0" applyAlignment="0" applyProtection="0">
      <protection locked="0"/>
    </xf>
    <xf numFmtId="0" fontId="38" fillId="0" borderId="0">
      <alignment horizontal="center"/>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31" fillId="0" borderId="0" applyFont="0" applyFill="0" applyBorder="0" applyAlignment="0" applyProtection="0"/>
    <xf numFmtId="167" fontId="33" fillId="0" borderId="0"/>
    <xf numFmtId="200" fontId="54" fillId="0" borderId="0"/>
    <xf numFmtId="167" fontId="232" fillId="0" borderId="0"/>
    <xf numFmtId="277" fontId="233" fillId="0" borderId="0" applyFont="0" applyFill="0" applyBorder="0" applyAlignment="0" applyProtection="0"/>
    <xf numFmtId="2" fontId="234" fillId="0" borderId="0"/>
    <xf numFmtId="0" fontId="235" fillId="0" borderId="0" applyNumberFormat="0" applyFill="0" applyBorder="0" applyAlignment="0" applyProtection="0">
      <alignment vertical="top"/>
      <protection locked="0"/>
    </xf>
    <xf numFmtId="0" fontId="236" fillId="23" borderId="39" applyNumberFormat="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9" fontId="239" fillId="10" borderId="0" applyProtection="0">
      <alignment horizontal="right" vertical="center"/>
      <protection locked="0"/>
    </xf>
    <xf numFmtId="10" fontId="240" fillId="0" borderId="0">
      <protection locked="0"/>
    </xf>
    <xf numFmtId="280" fontId="241" fillId="0" borderId="0" applyFill="0" applyBorder="0" applyProtection="0"/>
    <xf numFmtId="281" fontId="241" fillId="0" borderId="0" applyFill="0" applyBorder="0" applyProtection="0"/>
    <xf numFmtId="282" fontId="241" fillId="0" borderId="0" applyFill="0" applyBorder="0" applyProtection="0"/>
    <xf numFmtId="37" fontId="141" fillId="68" borderId="0">
      <protection locked="0"/>
    </xf>
    <xf numFmtId="0" fontId="168" fillId="0" borderId="0" applyNumberFormat="0" applyFill="0" applyBorder="0" applyAlignment="0">
      <protection locked="0"/>
    </xf>
    <xf numFmtId="15" fontId="240" fillId="0" borderId="0">
      <protection locked="0"/>
    </xf>
    <xf numFmtId="2" fontId="240" fillId="0" borderId="40">
      <protection locked="0"/>
    </xf>
    <xf numFmtId="283" fontId="242" fillId="67" borderId="0" applyNumberFormat="0" applyFont="0" applyBorder="0" applyAlignment="0">
      <alignment horizontal="right"/>
      <protection locked="0"/>
    </xf>
    <xf numFmtId="174" fontId="42" fillId="0" borderId="0">
      <alignment vertical="top"/>
    </xf>
    <xf numFmtId="174" fontId="42" fillId="7" borderId="0">
      <alignment vertical="top"/>
    </xf>
    <xf numFmtId="284" fontId="42" fillId="8" borderId="0">
      <alignment vertical="top"/>
    </xf>
    <xf numFmtId="0" fontId="240" fillId="0" borderId="0">
      <protection locked="0"/>
    </xf>
    <xf numFmtId="3" fontId="71" fillId="0" borderId="0"/>
    <xf numFmtId="167" fontId="243" fillId="69" borderId="0" applyNumberFormat="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167" fontId="245" fillId="0" borderId="0" applyNumberFormat="0" applyFill="0" applyBorder="0" applyAlignment="0" applyProtection="0">
      <alignment vertical="top"/>
      <protection locked="0"/>
    </xf>
    <xf numFmtId="167" fontId="246" fillId="0" borderId="0">
      <alignment vertical="center"/>
    </xf>
    <xf numFmtId="167" fontId="246" fillId="0" borderId="0">
      <alignment vertical="center"/>
    </xf>
    <xf numFmtId="167" fontId="246" fillId="0" borderId="0">
      <alignment vertical="center"/>
    </xf>
    <xf numFmtId="166" fontId="247" fillId="0" borderId="0" applyFill="0" applyBorder="0" applyProtection="0">
      <alignment vertical="top"/>
    </xf>
    <xf numFmtId="286" fontId="73" fillId="0" borderId="0" applyFill="0" applyBorder="0">
      <alignment horizontal="right"/>
      <protection locked="0"/>
    </xf>
    <xf numFmtId="0" fontId="248" fillId="70" borderId="62">
      <alignment horizontal="left" vertical="center" wrapText="1"/>
    </xf>
    <xf numFmtId="0" fontId="248" fillId="70" borderId="62">
      <alignment horizontal="left" vertical="center" wrapText="1"/>
    </xf>
    <xf numFmtId="3" fontId="249" fillId="71" borderId="62">
      <protection locked="0"/>
    </xf>
    <xf numFmtId="3" fontId="249" fillId="71" borderId="62">
      <protection locked="0"/>
    </xf>
    <xf numFmtId="165" fontId="250" fillId="72" borderId="62">
      <alignment horizontal="left"/>
      <protection locked="0"/>
    </xf>
    <xf numFmtId="165" fontId="250" fillId="72" borderId="62">
      <alignment horizontal="left"/>
      <protection locked="0"/>
    </xf>
    <xf numFmtId="287" fontId="250" fillId="72" borderId="62">
      <protection locked="0"/>
    </xf>
    <xf numFmtId="287" fontId="250" fillId="72" borderId="62">
      <protection locked="0"/>
    </xf>
    <xf numFmtId="0" fontId="250" fillId="72" borderId="62">
      <alignment horizontal="center"/>
      <protection locked="0"/>
    </xf>
    <xf numFmtId="0" fontId="250" fillId="72" borderId="62">
      <alignment horizontal="center"/>
      <protection locked="0"/>
    </xf>
    <xf numFmtId="197" fontId="38" fillId="73" borderId="12">
      <alignment vertical="center"/>
    </xf>
    <xf numFmtId="288" fontId="41" fillId="0" borderId="0"/>
    <xf numFmtId="288" fontId="41" fillId="0" borderId="0"/>
    <xf numFmtId="289" fontId="41" fillId="0" borderId="0"/>
    <xf numFmtId="289" fontId="41" fillId="0" borderId="0"/>
    <xf numFmtId="290" fontId="38" fillId="0" borderId="0" applyFont="0" applyFill="0" applyBorder="0" applyAlignment="0" applyProtection="0"/>
    <xf numFmtId="291" fontId="38" fillId="0" borderId="0" applyFont="0" applyFill="0" applyBorder="0" applyAlignment="0" applyProtection="0"/>
    <xf numFmtId="38" fontId="251" fillId="0" borderId="0"/>
    <xf numFmtId="38" fontId="252" fillId="0" borderId="0"/>
    <xf numFmtId="38" fontId="253" fillId="0" borderId="0"/>
    <xf numFmtId="38" fontId="254" fillId="0" borderId="0"/>
    <xf numFmtId="167" fontId="255" fillId="0" borderId="0"/>
    <xf numFmtId="167" fontId="255" fillId="0" borderId="0"/>
    <xf numFmtId="167" fontId="41" fillId="0" borderId="0">
      <alignment horizontal="left"/>
    </xf>
    <xf numFmtId="167" fontId="41" fillId="0" borderId="0">
      <alignment horizontal="left"/>
    </xf>
    <xf numFmtId="195" fontId="256" fillId="74" borderId="63" applyBorder="0" applyAlignment="0">
      <alignment horizontal="left" indent="1"/>
    </xf>
    <xf numFmtId="167" fontId="230" fillId="0" borderId="0" applyNumberFormat="0" applyFill="0" applyBorder="0" applyAlignment="0" applyProtection="0">
      <alignment vertical="top"/>
      <protection locked="0"/>
    </xf>
    <xf numFmtId="196" fontId="58" fillId="0" borderId="0" applyFill="0" applyBorder="0" applyAlignment="0" applyProtection="0"/>
    <xf numFmtId="197" fontId="257" fillId="0" borderId="40" applyNumberFormat="0" applyFill="0" applyBorder="0" applyAlignment="0" applyProtection="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5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0" fontId="259"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33"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9" fontId="104" fillId="0" borderId="0"/>
    <xf numFmtId="0" fontId="47" fillId="0" borderId="0"/>
    <xf numFmtId="167" fontId="100" fillId="0" borderId="0"/>
    <xf numFmtId="166" fontId="261" fillId="0" borderId="0"/>
    <xf numFmtId="0" fontId="38" fillId="0" borderId="0">
      <alignment horizontal="center"/>
    </xf>
    <xf numFmtId="200" fontId="262" fillId="0" borderId="65" applyFill="0" applyBorder="0">
      <alignment horizontal="left"/>
    </xf>
    <xf numFmtId="0" fontId="38" fillId="0" borderId="0" applyFont="0" applyFill="0" applyBorder="0" applyAlignment="0" applyProtection="0"/>
    <xf numFmtId="0" fontId="38" fillId="0" borderId="0" applyFont="0" applyFill="0" applyBorder="0" applyAlignment="0" applyProtection="0"/>
    <xf numFmtId="292" fontId="38" fillId="0" borderId="0" applyFont="0" applyFill="0" applyBorder="0" applyAlignment="0" applyProtection="0"/>
    <xf numFmtId="293" fontId="38" fillId="0" borderId="0" applyFont="0" applyFill="0" applyBorder="0" applyAlignment="0" applyProtection="0"/>
    <xf numFmtId="167" fontId="33" fillId="0" borderId="0" applyFont="0" applyFill="0" applyBorder="0" applyAlignment="0" applyProtection="0"/>
    <xf numFmtId="294" fontId="41" fillId="0" borderId="0" applyFont="0" applyFill="0" applyBorder="0" applyAlignment="0" applyProtection="0"/>
    <xf numFmtId="167" fontId="33" fillId="0" borderId="0" applyFont="0" applyFill="0" applyBorder="0" applyAlignment="0" applyProtection="0"/>
    <xf numFmtId="2" fontId="71" fillId="0" borderId="66" applyFont="0" applyFill="0" applyBorder="0" applyAlignment="0"/>
    <xf numFmtId="37" fontId="41" fillId="0" borderId="0" applyFont="0" applyFill="0" applyBorder="0" applyAlignment="0" applyProtection="0"/>
    <xf numFmtId="167" fontId="41" fillId="0" borderId="0" applyFont="0" applyFill="0" applyBorder="0" applyAlignment="0" applyProtection="0"/>
    <xf numFmtId="295" fontId="41" fillId="0" borderId="0" applyFont="0" applyFill="0" applyBorder="0" applyAlignment="0" applyProtection="0"/>
    <xf numFmtId="296" fontId="41" fillId="0" borderId="0" applyFont="0" applyFill="0" applyBorder="0" applyAlignment="0" applyProtection="0"/>
    <xf numFmtId="295" fontId="41"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7" fontId="38" fillId="0" borderId="0" applyFont="0" applyFill="0" applyBorder="0" applyAlignment="0" applyProtection="0"/>
    <xf numFmtId="298"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9" fontId="44" fillId="0" borderId="0" applyFont="0" applyFill="0" applyBorder="0" applyAlignment="0" applyProtection="0"/>
    <xf numFmtId="300" fontId="44" fillId="0" borderId="0" applyFont="0" applyFill="0" applyBorder="0" applyAlignment="0" applyProtection="0"/>
    <xf numFmtId="301" fontId="44" fillId="0" borderId="0" applyFont="0" applyFill="0" applyBorder="0" applyAlignment="0" applyProtection="0"/>
    <xf numFmtId="263" fontId="115" fillId="0" borderId="0" applyFont="0" applyFill="0" applyBorder="0" applyAlignment="0" applyProtection="0"/>
    <xf numFmtId="167" fontId="263" fillId="0" borderId="0">
      <alignment horizontal="left" vertical="center"/>
    </xf>
    <xf numFmtId="0" fontId="264"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0" borderId="0"/>
    <xf numFmtId="167" fontId="68" fillId="0" borderId="0"/>
    <xf numFmtId="167" fontId="33" fillId="0" borderId="0"/>
    <xf numFmtId="0" fontId="68" fillId="0" borderId="0"/>
    <xf numFmtId="37" fontId="266" fillId="0" borderId="0"/>
    <xf numFmtId="167" fontId="54" fillId="0" borderId="0"/>
    <xf numFmtId="1" fontId="267" fillId="0" borderId="0" applyProtection="0"/>
    <xf numFmtId="167" fontId="73" fillId="0" borderId="32"/>
    <xf numFmtId="167" fontId="73" fillId="0" borderId="32"/>
    <xf numFmtId="167" fontId="73" fillId="0" borderId="32"/>
    <xf numFmtId="167" fontId="33" fillId="0" borderId="0"/>
    <xf numFmtId="167" fontId="38" fillId="0" borderId="0"/>
    <xf numFmtId="167" fontId="268" fillId="0" borderId="0"/>
    <xf numFmtId="167" fontId="38" fillId="0" borderId="0"/>
    <xf numFmtId="302" fontId="41" fillId="0" borderId="0"/>
    <xf numFmtId="167" fontId="33" fillId="0" borderId="0"/>
    <xf numFmtId="0" fontId="268" fillId="0" borderId="0"/>
    <xf numFmtId="167" fontId="268" fillId="0" borderId="0"/>
    <xf numFmtId="167" fontId="154" fillId="0" borderId="0"/>
    <xf numFmtId="167" fontId="154"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41" fillId="0" borderId="0"/>
    <xf numFmtId="167" fontId="269"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126"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0" fontId="41" fillId="0" borderId="0"/>
    <xf numFmtId="167"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4"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85" fillId="0" borderId="0"/>
    <xf numFmtId="167" fontId="6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167" fontId="41"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8"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85" fillId="0" borderId="0"/>
    <xf numFmtId="0" fontId="85" fillId="0" borderId="0"/>
    <xf numFmtId="0" fontId="85" fillId="0" borderId="0"/>
    <xf numFmtId="0" fontId="41" fillId="0" borderId="0"/>
    <xf numFmtId="0" fontId="85" fillId="0" borderId="0"/>
    <xf numFmtId="167" fontId="33" fillId="0" borderId="0"/>
    <xf numFmtId="167" fontId="41" fillId="0" borderId="0"/>
    <xf numFmtId="0" fontId="1" fillId="0" borderId="0"/>
    <xf numFmtId="0" fontId="85" fillId="0" borderId="0"/>
    <xf numFmtId="167" fontId="33" fillId="0" borderId="0"/>
    <xf numFmtId="167" fontId="41" fillId="0" borderId="0"/>
    <xf numFmtId="0" fontId="33"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227" fontId="270" fillId="0" borderId="0"/>
    <xf numFmtId="227" fontId="270" fillId="0" borderId="0"/>
    <xf numFmtId="227" fontId="270"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0"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0" fontId="8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41" fillId="0" borderId="0"/>
    <xf numFmtId="167" fontId="33" fillId="0" borderId="0"/>
    <xf numFmtId="167" fontId="41" fillId="0" borderId="0"/>
    <xf numFmtId="227" fontId="38" fillId="0" borderId="0"/>
    <xf numFmtId="227" fontId="270" fillId="0" borderId="0"/>
    <xf numFmtId="227" fontId="270" fillId="0" borderId="0"/>
    <xf numFmtId="227" fontId="270" fillId="0" borderId="0"/>
    <xf numFmtId="227" fontId="270"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3" fillId="0" borderId="0"/>
    <xf numFmtId="167" fontId="33" fillId="0" borderId="0"/>
    <xf numFmtId="0" fontId="41" fillId="0" borderId="0" applyNumberFormat="0" applyFont="0" applyFill="0" applyBorder="0" applyAlignment="0" applyProtection="0"/>
    <xf numFmtId="0" fontId="101" fillId="0" borderId="0" applyProtection="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38" fillId="0" borderId="0"/>
    <xf numFmtId="227" fontId="38" fillId="0" borderId="0"/>
    <xf numFmtId="16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227" fontId="38" fillId="0" borderId="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1"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226" fillId="0" borderId="0" applyNumberFormat="0" applyFill="0" applyBorder="0" applyAlignment="0" applyProtection="0"/>
    <xf numFmtId="0" fontId="271" fillId="0" borderId="0" applyNumberFormat="0" applyFill="0" applyBorder="0" applyAlignment="0" applyProtection="0">
      <alignment vertical="top"/>
      <protection locked="0"/>
    </xf>
    <xf numFmtId="167" fontId="272" fillId="0" borderId="0"/>
    <xf numFmtId="167" fontId="41" fillId="0" borderId="0"/>
    <xf numFmtId="0" fontId="41" fillId="0" borderId="0"/>
    <xf numFmtId="167" fontId="85" fillId="0" borderId="0"/>
    <xf numFmtId="167" fontId="1" fillId="0" borderId="0"/>
    <xf numFmtId="167" fontId="85" fillId="0" borderId="0"/>
    <xf numFmtId="167" fontId="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41" fillId="0" borderId="0">
      <alignment vertical="center"/>
    </xf>
    <xf numFmtId="0" fontId="1" fillId="0" borderId="0"/>
    <xf numFmtId="167" fontId="1" fillId="0" borderId="0"/>
    <xf numFmtId="0" fontId="101" fillId="0" borderId="0" applyProtection="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0" fontId="226" fillId="0" borderId="0" applyNumberFormat="0" applyFill="0" applyBorder="0" applyAlignment="0" applyProtection="0"/>
    <xf numFmtId="227" fontId="41" fillId="0" borderId="0"/>
    <xf numFmtId="227" fontId="41" fillId="0" borderId="0"/>
    <xf numFmtId="167" fontId="41" fillId="0" borderId="0"/>
    <xf numFmtId="167" fontId="1" fillId="0" borderId="0"/>
    <xf numFmtId="167" fontId="41" fillId="0" borderId="0"/>
    <xf numFmtId="227" fontId="41" fillId="0" borderId="0"/>
    <xf numFmtId="0" fontId="101" fillId="0" borderId="0" applyProtection="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167" fontId="85" fillId="0" borderId="0"/>
    <xf numFmtId="167" fontId="84" fillId="0" borderId="0"/>
    <xf numFmtId="167" fontId="41" fillId="0" borderId="0"/>
    <xf numFmtId="167" fontId="84" fillId="0" borderId="0"/>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227" fontId="41" fillId="0" borderId="0"/>
    <xf numFmtId="167" fontId="85" fillId="0" borderId="0"/>
    <xf numFmtId="22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1" fillId="0" borderId="0"/>
    <xf numFmtId="167" fontId="83" fillId="0" borderId="0"/>
    <xf numFmtId="167" fontId="41" fillId="0" borderId="0"/>
    <xf numFmtId="167" fontId="85" fillId="0" borderId="0"/>
    <xf numFmtId="167" fontId="85" fillId="0" borderId="0"/>
    <xf numFmtId="167" fontId="85" fillId="0" borderId="0"/>
    <xf numFmtId="0" fontId="85" fillId="0" borderId="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33" fillId="0" borderId="0"/>
    <xf numFmtId="167" fontId="1"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2" fillId="0" borderId="0"/>
    <xf numFmtId="0" fontId="269" fillId="0" borderId="0"/>
    <xf numFmtId="167" fontId="1" fillId="0" borderId="0"/>
    <xf numFmtId="167" fontId="41" fillId="0" borderId="0"/>
    <xf numFmtId="167" fontId="38" fillId="0" borderId="0"/>
    <xf numFmtId="0" fontId="272"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3" fillId="0" borderId="0"/>
    <xf numFmtId="167" fontId="273" fillId="0" borderId="0"/>
    <xf numFmtId="167" fontId="273" fillId="0" borderId="0"/>
    <xf numFmtId="167" fontId="273" fillId="0" borderId="0"/>
    <xf numFmtId="0" fontId="121" fillId="0" borderId="0"/>
    <xf numFmtId="167" fontId="41" fillId="0" borderId="0"/>
    <xf numFmtId="167" fontId="121" fillId="0" borderId="0"/>
    <xf numFmtId="167" fontId="85" fillId="0" borderId="0"/>
    <xf numFmtId="167" fontId="85" fillId="0" borderId="0"/>
    <xf numFmtId="167" fontId="85" fillId="0" borderId="0"/>
    <xf numFmtId="167" fontId="85" fillId="0" borderId="0"/>
    <xf numFmtId="167" fontId="85" fillId="0" borderId="0"/>
    <xf numFmtId="167" fontId="273"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64" fillId="0" borderId="67"/>
    <xf numFmtId="167" fontId="274" fillId="0" borderId="0"/>
    <xf numFmtId="0" fontId="90" fillId="0" borderId="0"/>
    <xf numFmtId="167" fontId="90" fillId="0" borderId="0"/>
    <xf numFmtId="178" fontId="90" fillId="0" borderId="0"/>
    <xf numFmtId="167" fontId="275" fillId="0" borderId="0"/>
    <xf numFmtId="167" fontId="47" fillId="0" borderId="0"/>
    <xf numFmtId="167" fontId="276" fillId="0" borderId="0"/>
    <xf numFmtId="0" fontId="47" fillId="0" borderId="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33"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303" fontId="278" fillId="0" borderId="67"/>
    <xf numFmtId="303" fontId="279" fillId="0" borderId="67"/>
    <xf numFmtId="304" fontId="38" fillId="11" borderId="0"/>
    <xf numFmtId="305" fontId="280" fillId="0" borderId="0"/>
    <xf numFmtId="227" fontId="232" fillId="0" borderId="0" applyFont="0" applyFill="0" applyBorder="0" applyAlignment="0" applyProtection="0"/>
    <xf numFmtId="234" fontId="232" fillId="0" borderId="0" applyFont="0" applyFill="0" applyBorder="0" applyAlignment="0" applyProtection="0"/>
    <xf numFmtId="241" fontId="120" fillId="0" borderId="0" applyFill="0" applyBorder="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40" fontId="126" fillId="27" borderId="0">
      <alignment horizontal="right"/>
    </xf>
    <xf numFmtId="167" fontId="283" fillId="70" borderId="0">
      <alignment horizontal="center"/>
    </xf>
    <xf numFmtId="167" fontId="284" fillId="75" borderId="0"/>
    <xf numFmtId="167" fontId="285" fillId="27" borderId="0" applyBorder="0">
      <alignment horizontal="centerContinuous"/>
    </xf>
    <xf numFmtId="167" fontId="286" fillId="75" borderId="0" applyBorder="0">
      <alignment horizontal="centerContinuous"/>
    </xf>
    <xf numFmtId="167" fontId="209" fillId="0" borderId="0" applyNumberFormat="0" applyFill="0" applyBorder="0" applyAlignment="0" applyProtection="0"/>
    <xf numFmtId="178" fontId="103" fillId="0" borderId="0">
      <alignment vertical="center"/>
    </xf>
    <xf numFmtId="167" fontId="287" fillId="0" borderId="0"/>
    <xf numFmtId="167" fontId="287" fillId="0" borderId="0"/>
    <xf numFmtId="167" fontId="287" fillId="0" borderId="0"/>
    <xf numFmtId="1" fontId="288" fillId="0" borderId="0" applyProtection="0">
      <alignment horizontal="right" vertical="center"/>
    </xf>
    <xf numFmtId="167" fontId="289" fillId="11" borderId="0"/>
    <xf numFmtId="200" fontId="290" fillId="0" borderId="35">
      <alignment vertical="center"/>
    </xf>
    <xf numFmtId="306" fontId="38" fillId="0" borderId="0" applyFont="0" applyFill="0" applyBorder="0" applyAlignment="0" applyProtection="0"/>
    <xf numFmtId="307" fontId="38"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219" fontId="127"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221" fontId="41" fillId="0" borderId="0" applyFont="0" applyFill="0" applyBorder="0" applyAlignment="0" applyProtection="0"/>
    <xf numFmtId="221" fontId="41" fillId="0" borderId="0" applyFont="0" applyFill="0" applyBorder="0" applyAlignment="0" applyProtection="0"/>
    <xf numFmtId="292" fontId="127" fillId="0" borderId="0" applyFont="0" applyFill="0" applyBorder="0" applyAlignment="0" applyProtection="0"/>
    <xf numFmtId="311" fontId="41" fillId="0" borderId="0" applyFont="0" applyFill="0" applyBorder="0" applyAlignment="0" applyProtection="0"/>
    <xf numFmtId="311" fontId="41" fillId="0" borderId="0" applyFont="0" applyFill="0" applyBorder="0" applyAlignment="0" applyProtection="0"/>
    <xf numFmtId="312" fontId="41" fillId="0" borderId="0" applyFont="0" applyFill="0" applyBorder="0" applyAlignment="0" applyProtection="0"/>
    <xf numFmtId="312" fontId="41" fillId="0" borderId="0" applyFont="0" applyFill="0" applyBorder="0" applyAlignment="0" applyProtection="0"/>
    <xf numFmtId="166" fontId="63" fillId="0" borderId="0" applyFont="0" applyFill="0" applyBorder="0" applyAlignment="0" applyProtection="0"/>
    <xf numFmtId="10" fontId="38"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33" fillId="0" borderId="0" applyFont="0" applyFill="0" applyBorder="0" applyAlignment="0" applyProtection="0"/>
    <xf numFmtId="9" fontId="68" fillId="0" borderId="0" applyFont="0" applyFill="0" applyBorder="0" applyAlignment="0" applyProtection="0"/>
    <xf numFmtId="9" fontId="68"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41" fillId="0" borderId="0" applyFill="0" applyBorder="0" applyAlignment="0" applyProtection="0"/>
    <xf numFmtId="9" fontId="68" fillId="0" borderId="0" applyFont="0" applyFill="0" applyBorder="0" applyAlignment="0" applyProtection="0"/>
    <xf numFmtId="167" fontId="72" fillId="0" borderId="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41" fillId="0" borderId="0" applyFill="0" applyBorder="0" applyAlignment="0" applyProtection="0"/>
    <xf numFmtId="9" fontId="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319" fontId="121" fillId="44" borderId="70"/>
    <xf numFmtId="320" fontId="121" fillId="0" borderId="70" applyFont="0" applyFill="0" applyBorder="0" applyAlignment="0" applyProtection="0">
      <protection locked="0"/>
    </xf>
    <xf numFmtId="167" fontId="64" fillId="0" borderId="0"/>
    <xf numFmtId="167" fontId="64" fillId="0" borderId="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9" fontId="120" fillId="0" borderId="34" applyFill="0" applyBorder="0"/>
    <xf numFmtId="182" fontId="120" fillId="0" borderId="0" applyFill="0" applyBorder="0"/>
    <xf numFmtId="234" fontId="120" fillId="0" borderId="0" applyFill="0" applyBorder="0"/>
    <xf numFmtId="321" fontId="47" fillId="0" borderId="0"/>
    <xf numFmtId="322" fontId="47" fillId="0" borderId="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91"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3" fontId="33" fillId="0" borderId="0"/>
    <xf numFmtId="3" fontId="193" fillId="0" borderId="0"/>
    <xf numFmtId="3" fontId="194" fillId="0" borderId="0"/>
    <xf numFmtId="3" fontId="193" fillId="0" borderId="0"/>
    <xf numFmtId="3" fontId="193" fillId="0" borderId="0"/>
    <xf numFmtId="3" fontId="193" fillId="0" borderId="0"/>
    <xf numFmtId="3" fontId="33" fillId="0" borderId="0"/>
    <xf numFmtId="3" fontId="193" fillId="0" borderId="0"/>
    <xf numFmtId="167" fontId="287" fillId="0" borderId="0"/>
    <xf numFmtId="167" fontId="287" fillId="0" borderId="0"/>
    <xf numFmtId="167" fontId="287" fillId="0" borderId="0"/>
    <xf numFmtId="167" fontId="292" fillId="0" borderId="0" applyNumberFormat="0" applyFill="0" applyBorder="0" applyAlignment="0" applyProtection="0">
      <alignment horizontal="left"/>
      <protection locked="0"/>
    </xf>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278" fillId="0" borderId="0"/>
    <xf numFmtId="167" fontId="293" fillId="0" borderId="0"/>
    <xf numFmtId="167" fontId="294" fillId="0" borderId="0"/>
    <xf numFmtId="167" fontId="279" fillId="0" borderId="0"/>
    <xf numFmtId="323" fontId="71" fillId="0" borderId="0" applyNumberFormat="0" applyFill="0" applyBorder="0" applyAlignment="0" applyProtection="0">
      <alignment horizontal="left"/>
    </xf>
    <xf numFmtId="324" fontId="72" fillId="0" borderId="0"/>
    <xf numFmtId="3" fontId="55" fillId="0" borderId="0" applyFont="0" applyFill="0" applyBorder="0" applyAlignment="0"/>
    <xf numFmtId="167" fontId="33" fillId="0" borderId="0">
      <alignment horizontal="right"/>
    </xf>
    <xf numFmtId="166" fontId="295" fillId="0" borderId="0">
      <alignment horizontal="right"/>
    </xf>
    <xf numFmtId="167" fontId="33" fillId="0" borderId="0">
      <alignment horizontal="right"/>
    </xf>
    <xf numFmtId="166" fontId="296" fillId="0" borderId="0">
      <alignment horizontal="right"/>
    </xf>
    <xf numFmtId="178" fontId="297" fillId="0" borderId="0"/>
    <xf numFmtId="178" fontId="297" fillId="0" borderId="71">
      <alignment horizontal="centerContinuous"/>
    </xf>
    <xf numFmtId="167" fontId="298" fillId="0" borderId="72">
      <alignment vertical="center"/>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167" fontId="299" fillId="0" borderId="0">
      <alignment horizontal="left" vertical="top" wrapText="1"/>
    </xf>
    <xf numFmtId="167" fontId="33" fillId="0" borderId="0"/>
    <xf numFmtId="167" fontId="300" fillId="0" borderId="0"/>
    <xf numFmtId="167" fontId="33" fillId="0" borderId="0"/>
    <xf numFmtId="0" fontId="301" fillId="0" borderId="0"/>
    <xf numFmtId="167" fontId="72" fillId="0" borderId="23"/>
    <xf numFmtId="167" fontId="33" fillId="0" borderId="0">
      <alignment horizontal="right"/>
    </xf>
    <xf numFmtId="326" fontId="58" fillId="0" borderId="0">
      <alignment horizontal="right"/>
    </xf>
    <xf numFmtId="167" fontId="33" fillId="0" borderId="0">
      <alignment horizontal="right"/>
    </xf>
    <xf numFmtId="327" fontId="302" fillId="0" borderId="0">
      <alignment horizontal="right"/>
    </xf>
    <xf numFmtId="167" fontId="33" fillId="0" borderId="0">
      <alignment horizontal="right"/>
    </xf>
    <xf numFmtId="328" fontId="295" fillId="0" borderId="0">
      <alignment horizontal="right"/>
    </xf>
    <xf numFmtId="167" fontId="33" fillId="0" borderId="0">
      <alignment horizontal="right"/>
    </xf>
    <xf numFmtId="329" fontId="296" fillId="0" borderId="0">
      <alignment horizontal="right"/>
    </xf>
    <xf numFmtId="167" fontId="64" fillId="78" borderId="0" applyFont="0"/>
    <xf numFmtId="167" fontId="303" fillId="0" borderId="0" applyNumberFormat="0" applyFill="0" applyBorder="0" applyAlignment="0" applyProtection="0"/>
    <xf numFmtId="167" fontId="33" fillId="0" borderId="67"/>
    <xf numFmtId="167" fontId="196" fillId="0" borderId="67"/>
    <xf numFmtId="167" fontId="33" fillId="0" borderId="67"/>
    <xf numFmtId="0" fontId="196" fillId="0" borderId="67"/>
    <xf numFmtId="167" fontId="33" fillId="0" borderId="0">
      <alignment horizontal="right"/>
    </xf>
    <xf numFmtId="166" fontId="304" fillId="0" borderId="0">
      <alignment horizontal="right"/>
    </xf>
    <xf numFmtId="166" fontId="305" fillId="0" borderId="0">
      <alignment horizontal="right"/>
    </xf>
    <xf numFmtId="166" fontId="304" fillId="0" borderId="0">
      <alignment horizontal="right"/>
    </xf>
    <xf numFmtId="166" fontId="304" fillId="0" borderId="0">
      <alignment horizontal="right"/>
    </xf>
    <xf numFmtId="166" fontId="304" fillId="0" borderId="0">
      <alignment horizontal="right"/>
    </xf>
    <xf numFmtId="167" fontId="33" fillId="0" borderId="0">
      <alignment horizontal="right"/>
    </xf>
    <xf numFmtId="166" fontId="304" fillId="0" borderId="0">
      <alignment horizontal="right"/>
    </xf>
    <xf numFmtId="167" fontId="116" fillId="0" borderId="0" applyFill="0" applyBorder="0" applyAlignment="0" applyProtection="0"/>
    <xf numFmtId="167" fontId="90" fillId="0" borderId="0" applyNumberFormat="0" applyFill="0" applyBorder="0" applyAlignment="0" applyProtection="0">
      <alignment horizontal="center"/>
    </xf>
    <xf numFmtId="167" fontId="33" fillId="0" borderId="0"/>
    <xf numFmtId="167" fontId="302" fillId="0" borderId="0"/>
    <xf numFmtId="167" fontId="302" fillId="0" borderId="0"/>
    <xf numFmtId="167" fontId="58"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3" fillId="0" borderId="0"/>
    <xf numFmtId="0" fontId="302" fillId="0" borderId="0"/>
    <xf numFmtId="167" fontId="302" fillId="0" borderId="0"/>
    <xf numFmtId="167" fontId="33" fillId="0" borderId="0">
      <alignment horizontal="right"/>
    </xf>
    <xf numFmtId="166" fontId="306" fillId="0" borderId="0">
      <alignment horizontal="right"/>
    </xf>
    <xf numFmtId="166" fontId="307" fillId="0" borderId="0">
      <alignment horizontal="right"/>
    </xf>
    <xf numFmtId="166" fontId="306" fillId="0" borderId="0">
      <alignment horizontal="right"/>
    </xf>
    <xf numFmtId="166" fontId="306" fillId="0" borderId="0">
      <alignment horizontal="right"/>
    </xf>
    <xf numFmtId="166" fontId="306" fillId="0" borderId="0">
      <alignment horizontal="right"/>
    </xf>
    <xf numFmtId="167" fontId="33" fillId="0" borderId="0">
      <alignment horizontal="right"/>
    </xf>
    <xf numFmtId="166" fontId="306" fillId="0" borderId="0">
      <alignment horizontal="right"/>
    </xf>
    <xf numFmtId="178" fontId="308" fillId="0" borderId="71"/>
    <xf numFmtId="330" fontId="309" fillId="0" borderId="12">
      <alignment horizontal="left" vertical="center"/>
      <protection locked="0"/>
    </xf>
    <xf numFmtId="167" fontId="85" fillId="0" borderId="0"/>
    <xf numFmtId="167" fontId="38" fillId="0" borderId="0"/>
    <xf numFmtId="167" fontId="38" fillId="0" borderId="0"/>
    <xf numFmtId="167" fontId="38"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38"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167" fontId="310" fillId="0" borderId="0"/>
    <xf numFmtId="167" fontId="33" fillId="0" borderId="0"/>
    <xf numFmtId="0" fontId="311" fillId="0" borderId="0"/>
    <xf numFmtId="167" fontId="33" fillId="0" borderId="0">
      <alignment horizontal="right"/>
    </xf>
    <xf numFmtId="327" fontId="302" fillId="0" borderId="0">
      <alignment horizontal="right"/>
    </xf>
    <xf numFmtId="327" fontId="302" fillId="0" borderId="0">
      <alignment horizontal="right"/>
    </xf>
    <xf numFmtId="326" fontId="58"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167" fontId="33" fillId="0" borderId="0">
      <alignment horizontal="right"/>
    </xf>
    <xf numFmtId="327" fontId="302" fillId="0" borderId="0">
      <alignment horizontal="right"/>
    </xf>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312" fillId="0" borderId="0"/>
    <xf numFmtId="167" fontId="54" fillId="0" borderId="0"/>
    <xf numFmtId="167" fontId="54" fillId="0" borderId="0"/>
    <xf numFmtId="167" fontId="54" fillId="0" borderId="0"/>
    <xf numFmtId="0" fontId="312" fillId="0" borderId="0"/>
    <xf numFmtId="167" fontId="313" fillId="0" borderId="0"/>
    <xf numFmtId="167" fontId="314" fillId="0" borderId="0"/>
    <xf numFmtId="40" fontId="315" fillId="0" borderId="0" applyBorder="0">
      <alignment horizontal="right"/>
    </xf>
    <xf numFmtId="167" fontId="33" fillId="0" borderId="0">
      <alignment horizontal="right"/>
    </xf>
    <xf numFmtId="331" fontId="58" fillId="0" borderId="0">
      <alignment horizontal="right"/>
    </xf>
    <xf numFmtId="167" fontId="33" fillId="0" borderId="0">
      <alignment horizontal="right"/>
    </xf>
    <xf numFmtId="332" fontId="302" fillId="0" borderId="0">
      <alignment horizontal="right"/>
    </xf>
    <xf numFmtId="167" fontId="316" fillId="0" borderId="0" applyBorder="0" applyProtection="0">
      <alignment vertical="center"/>
    </xf>
    <xf numFmtId="167" fontId="316" fillId="0" borderId="74" applyBorder="0" applyProtection="0">
      <alignment horizontal="right" vertical="center"/>
    </xf>
    <xf numFmtId="167" fontId="317" fillId="79" borderId="0" applyBorder="0" applyProtection="0">
      <alignment horizontal="centerContinuous" vertical="center"/>
    </xf>
    <xf numFmtId="167" fontId="317" fillId="80" borderId="74" applyBorder="0" applyProtection="0">
      <alignment horizontal="centerContinuous" vertical="center"/>
    </xf>
    <xf numFmtId="167" fontId="306" fillId="0" borderId="0"/>
    <xf numFmtId="167" fontId="105" fillId="0" borderId="74" applyAlignment="0"/>
    <xf numFmtId="167" fontId="275" fillId="0" borderId="0"/>
    <xf numFmtId="167" fontId="318" fillId="0" borderId="0" applyFill="0" applyBorder="0" applyProtection="0">
      <alignment horizontal="left"/>
    </xf>
    <xf numFmtId="167" fontId="195" fillId="0" borderId="34" applyFill="0" applyBorder="0" applyProtection="0">
      <alignment horizontal="left" vertical="top"/>
    </xf>
    <xf numFmtId="167" fontId="319" fillId="0" borderId="0">
      <alignment horizontal="centerContinuous"/>
    </xf>
    <xf numFmtId="0" fontId="12" fillId="6" borderId="22"/>
    <xf numFmtId="49" fontId="320" fillId="0" borderId="35">
      <alignment vertical="center"/>
    </xf>
    <xf numFmtId="49" fontId="41" fillId="0" borderId="0" applyFont="0" applyFill="0" applyBorder="0" applyAlignment="0" applyProtection="0"/>
    <xf numFmtId="167" fontId="321" fillId="0" borderId="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167" fontId="322" fillId="0" borderId="0"/>
    <xf numFmtId="49" fontId="126" fillId="0" borderId="0" applyFill="0" applyBorder="0" applyAlignment="0"/>
    <xf numFmtId="333" fontId="127" fillId="0" borderId="0" applyFill="0" applyBorder="0" applyAlignment="0"/>
    <xf numFmtId="277" fontId="126" fillId="0" borderId="0" applyFill="0" applyBorder="0" applyAlignment="0"/>
    <xf numFmtId="334" fontId="41" fillId="0" borderId="0" applyFill="0" applyBorder="0" applyAlignment="0"/>
    <xf numFmtId="334" fontId="41" fillId="0" borderId="0" applyFill="0" applyBorder="0" applyAlignment="0"/>
    <xf numFmtId="335" fontId="127" fillId="0" borderId="0" applyFill="0" applyBorder="0" applyAlignment="0"/>
    <xf numFmtId="336" fontId="126" fillId="0" borderId="0" applyFill="0" applyBorder="0" applyAlignment="0"/>
    <xf numFmtId="337" fontId="41" fillId="0" borderId="0" applyFill="0" applyBorder="0" applyAlignment="0"/>
    <xf numFmtId="337" fontId="41" fillId="0" borderId="0" applyFill="0" applyBorder="0" applyAlignment="0"/>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33" fillId="0" borderId="0" applyFont="0" applyFill="0" applyBorder="0" applyAlignment="0" applyProtection="0"/>
    <xf numFmtId="338" fontId="41" fillId="0" borderId="0" applyFont="0" applyFill="0" applyBorder="0" applyAlignment="0" applyProtection="0"/>
    <xf numFmtId="167" fontId="33" fillId="0" borderId="0" applyFont="0" applyFill="0" applyBorder="0" applyAlignment="0" applyProtection="0"/>
    <xf numFmtId="167" fontId="323" fillId="0" borderId="0" applyFill="0" applyBorder="0" applyProtection="0">
      <alignment horizontal="left" vertical="top"/>
    </xf>
    <xf numFmtId="200" fontId="131" fillId="0" borderId="0" applyNumberFormat="0" applyFill="0" applyBorder="0"/>
    <xf numFmtId="167" fontId="68" fillId="0" borderId="0" applyNumberFormat="0" applyFill="0" applyBorder="0" applyAlignment="0" applyProtection="0"/>
    <xf numFmtId="167" fontId="115" fillId="0" borderId="0" applyNumberFormat="0" applyFill="0" applyBorder="0" applyAlignment="0" applyProtection="0"/>
    <xf numFmtId="3" fontId="324" fillId="0" borderId="0" applyNumberFormat="0" applyFont="0" applyFill="0" applyBorder="0" applyAlignment="0"/>
    <xf numFmtId="0"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6"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0" fontId="326" fillId="0" borderId="0" applyNumberFormat="0" applyFill="0" applyBorder="0" applyAlignment="0" applyProtection="0"/>
    <xf numFmtId="167" fontId="327" fillId="0" borderId="0" applyNumberFormat="0" applyFill="0" applyBorder="0" applyAlignment="0" applyProtection="0"/>
    <xf numFmtId="167" fontId="33"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7"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260" fontId="291" fillId="0" borderId="0" applyNumberFormat="0" applyFill="0" applyBorder="0" applyAlignment="0" applyProtection="0"/>
    <xf numFmtId="167" fontId="33" fillId="0" borderId="0"/>
    <xf numFmtId="339" fontId="193" fillId="0" borderId="0"/>
    <xf numFmtId="339" fontId="194" fillId="0" borderId="0"/>
    <xf numFmtId="167" fontId="33" fillId="0" borderId="0"/>
    <xf numFmtId="0" fontId="328" fillId="0" borderId="75" applyNumberForma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3"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126" fillId="0" borderId="76" applyNumberFormat="0" applyFont="0" applyFill="0" applyAlignment="0" applyProtection="0"/>
    <xf numFmtId="167" fontId="239" fillId="0" borderId="0">
      <alignment horizontal="fill"/>
    </xf>
    <xf numFmtId="167" fontId="329" fillId="0" borderId="0">
      <alignment vertical="top"/>
    </xf>
    <xf numFmtId="167" fontId="330" fillId="0" borderId="0"/>
    <xf numFmtId="167" fontId="330" fillId="0" borderId="0"/>
    <xf numFmtId="167" fontId="330" fillId="0" borderId="0"/>
    <xf numFmtId="340" fontId="38" fillId="0" borderId="0" applyFont="0" applyFill="0" applyBorder="0" applyAlignment="0" applyProtection="0"/>
    <xf numFmtId="341" fontId="38" fillId="0" borderId="0" applyFont="0" applyFill="0" applyBorder="0" applyAlignment="0" applyProtection="0"/>
    <xf numFmtId="167" fontId="330" fillId="0" borderId="0"/>
    <xf numFmtId="167" fontId="330" fillId="0" borderId="0"/>
    <xf numFmtId="167" fontId="330" fillId="0" borderId="0"/>
    <xf numFmtId="193" fontId="38" fillId="0" borderId="0" applyFont="0" applyFill="0" applyBorder="0" applyAlignment="0" applyProtection="0"/>
    <xf numFmtId="194" fontId="38" fillId="0" borderId="0" applyFont="0" applyFill="0" applyBorder="0" applyAlignment="0" applyProtection="0"/>
    <xf numFmtId="244" fontId="73" fillId="0" borderId="0" applyFont="0" applyFill="0" applyBorder="0" applyAlignment="0" applyProtection="0"/>
    <xf numFmtId="342" fontId="73" fillId="0" borderId="0" applyFont="0" applyFill="0" applyBorder="0" applyAlignment="0" applyProtection="0"/>
    <xf numFmtId="0" fontId="331"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41" fillId="31" borderId="0" applyNumberFormat="0" applyBorder="0" applyAlignment="0" applyProtection="0"/>
    <xf numFmtId="343" fontId="38"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7" fontId="38"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167" fontId="333" fillId="0" borderId="35" applyBorder="0" applyProtection="0">
      <alignment horizontal="right"/>
    </xf>
    <xf numFmtId="351" fontId="160" fillId="0" borderId="52" applyFont="0" applyFill="0" applyBorder="0" applyAlignment="0">
      <alignment horizontal="centerContinuous"/>
    </xf>
    <xf numFmtId="352" fontId="334" fillId="0" borderId="52" applyFont="0" applyFill="0" applyBorder="0" applyAlignment="0">
      <alignment horizontal="centerContinuous"/>
    </xf>
    <xf numFmtId="1" fontId="335" fillId="0" borderId="0" applyFill="0" applyProtection="0">
      <alignment horizontal="right"/>
    </xf>
    <xf numFmtId="353" fontId="116" fillId="0" borderId="0" applyFont="0" applyFill="0" applyBorder="0" applyAlignment="0" applyProtection="0"/>
    <xf numFmtId="354" fontId="41" fillId="0" borderId="0" applyFont="0" applyFill="0" applyBorder="0" applyAlignment="0" applyProtection="0"/>
    <xf numFmtId="167" fontId="33" fillId="39" borderId="0" applyNumberFormat="0" applyBorder="0" applyAlignment="0" applyProtection="0"/>
    <xf numFmtId="0" fontId="87" fillId="39" borderId="0" applyNumberFormat="0" applyBorder="0" applyAlignment="0" applyProtection="0"/>
    <xf numFmtId="0"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6" borderId="0" applyNumberFormat="0" applyBorder="0" applyAlignment="0" applyProtection="0"/>
    <xf numFmtId="0" fontId="87" fillId="46" borderId="0" applyNumberFormat="0" applyBorder="0" applyAlignment="0" applyProtection="0"/>
    <xf numFmtId="0"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49" borderId="0" applyNumberFormat="0" applyBorder="0" applyAlignment="0" applyProtection="0"/>
    <xf numFmtId="0" fontId="87" fillId="49" borderId="0" applyNumberFormat="0" applyBorder="0" applyAlignment="0" applyProtection="0"/>
    <xf numFmtId="0"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200" fontId="55" fillId="0" borderId="37">
      <protection locked="0"/>
    </xf>
    <xf numFmtId="200" fontId="55" fillId="0" borderId="37">
      <protection locked="0"/>
    </xf>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3" fontId="337" fillId="0" borderId="0">
      <alignment horizontal="center" vertical="center" textRotation="90" wrapText="1"/>
    </xf>
    <xf numFmtId="3" fontId="337" fillId="0" borderId="0">
      <alignment horizontal="center" vertical="center" textRotation="90" wrapText="1"/>
    </xf>
    <xf numFmtId="3" fontId="337" fillId="0" borderId="0">
      <alignment horizontal="center" vertical="center" textRotation="90" wrapText="1"/>
    </xf>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0"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39" applyNumberFormat="0" applyAlignment="0" applyProtection="0"/>
    <xf numFmtId="0"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339" fillId="0" borderId="0" applyNumberFormat="0" applyFill="0" applyBorder="0" applyAlignment="0" applyProtection="0"/>
    <xf numFmtId="0" fontId="340" fillId="0" borderId="0" applyNumberFormat="0" applyFill="0" applyBorder="0" applyAlignment="0" applyProtection="0"/>
    <xf numFmtId="167" fontId="341" fillId="0" borderId="0" applyNumberFormat="0" applyFill="0" applyBorder="0" applyAlignment="0" applyProtection="0">
      <alignment vertical="top"/>
      <protection locked="0"/>
    </xf>
    <xf numFmtId="0" fontId="101" fillId="0" borderId="0"/>
    <xf numFmtId="167" fontId="96" fillId="0" borderId="0" applyNumberFormat="0" applyFill="0" applyBorder="0" applyAlignment="0" applyProtection="0">
      <alignment vertical="top"/>
      <protection locked="0"/>
    </xf>
    <xf numFmtId="0" fontId="340" fillId="0" borderId="0" applyNumberFormat="0" applyFill="0" applyBorder="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229" fillId="0" borderId="0" applyNumberFormat="0" applyFill="0" applyBorder="0" applyAlignment="0" applyProtection="0"/>
    <xf numFmtId="0" fontId="271" fillId="0" borderId="0" applyNumberFormat="0" applyFill="0" applyBorder="0" applyAlignment="0" applyProtection="0">
      <alignment vertical="top"/>
      <protection locked="0"/>
    </xf>
    <xf numFmtId="167" fontId="341" fillId="0" borderId="0" applyNumberFormat="0" applyFill="0" applyBorder="0" applyAlignment="0" applyProtection="0">
      <alignment vertical="top"/>
      <protection locked="0"/>
    </xf>
    <xf numFmtId="0" fontId="339" fillId="0" borderId="0" applyNumberFormat="0" applyFill="0" applyBorder="0" applyAlignment="0" applyProtection="0"/>
    <xf numFmtId="167" fontId="341"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160" fillId="7" borderId="41"/>
    <xf numFmtId="167" fontId="49" fillId="0" borderId="40" applyNumberFormat="0" applyFill="0" applyBorder="0" applyProtection="0">
      <alignment horizontal="right" vertical="center"/>
    </xf>
    <xf numFmtId="0" fontId="226" fillId="0" borderId="0" applyNumberFormat="0" applyFill="0" applyBorder="0" applyAlignment="0" applyProtection="0"/>
    <xf numFmtId="0" fontId="226" fillId="0" borderId="0" applyNumberFormat="0" applyFill="0" applyBorder="0" applyAlignment="0" applyProtection="0"/>
    <xf numFmtId="14" fontId="55" fillId="0" borderId="0">
      <alignment horizontal="right"/>
    </xf>
    <xf numFmtId="194" fontId="85"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3"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39" fontId="38" fillId="0" borderId="0" applyFont="0" applyFill="0" applyBorder="0" applyAlignment="0" applyProtection="0"/>
    <xf numFmtId="356" fontId="38" fillId="0" borderId="0" applyFont="0" applyFill="0" applyBorder="0" applyAlignment="0" applyProtection="0"/>
    <xf numFmtId="222" fontId="85" fillId="0" borderId="0" applyFont="0" applyFill="0" applyBorder="0" applyAlignment="0" applyProtection="0"/>
    <xf numFmtId="356" fontId="38" fillId="0" borderId="0" applyFont="0" applyFill="0" applyBorder="0" applyAlignment="0" applyProtection="0"/>
    <xf numFmtId="194" fontId="84"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182" fontId="33" fillId="0" borderId="0" applyFont="0" applyFill="0" applyBorder="0" applyAlignment="0" applyProtection="0"/>
    <xf numFmtId="165" fontId="38" fillId="0" borderId="0" applyFont="0" applyFill="0" applyBorder="0" applyAlignment="0" applyProtection="0"/>
    <xf numFmtId="229" fontId="38" fillId="0" borderId="0" applyFont="0" applyFill="0" applyBorder="0" applyAlignment="0" applyProtection="0"/>
    <xf numFmtId="240" fontId="83" fillId="0" borderId="0" applyFont="0" applyFill="0" applyBorder="0" applyAlignment="0" applyProtection="0"/>
    <xf numFmtId="229" fontId="38" fillId="0" borderId="0" applyFont="0" applyFill="0" applyBorder="0" applyAlignment="0" applyProtection="0"/>
    <xf numFmtId="229" fontId="38" fillId="0" borderId="0" applyFont="0" applyFill="0" applyBorder="0" applyAlignment="0" applyProtection="0"/>
    <xf numFmtId="357" fontId="38" fillId="0" borderId="0" applyFont="0" applyFill="0" applyBorder="0" applyAlignment="0" applyProtection="0"/>
    <xf numFmtId="194" fontId="33" fillId="0" borderId="0" applyFont="0" applyFill="0" applyBorder="0" applyAlignment="0" applyProtection="0"/>
    <xf numFmtId="0" fontId="342" fillId="0" borderId="0" applyBorder="0">
      <alignment horizontal="center" vertical="center" wrapText="1"/>
    </xf>
    <xf numFmtId="0" fontId="210"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43" fillId="0" borderId="7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3" fillId="0" borderId="57" applyNumberFormat="0" applyFill="0" applyAlignment="0" applyProtection="0"/>
    <xf numFmtId="0" fontId="210" fillId="0" borderId="57" applyNumberFormat="0" applyFill="0" applyAlignment="0" applyProtection="0"/>
    <xf numFmtId="0" fontId="215"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44" fillId="0" borderId="7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3" fillId="0" borderId="58" applyNumberFormat="0" applyFill="0" applyAlignment="0" applyProtection="0"/>
    <xf numFmtId="0" fontId="215" fillId="0" borderId="58" applyNumberFormat="0" applyFill="0" applyAlignment="0" applyProtection="0"/>
    <xf numFmtId="0" fontId="220"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45" fillId="0" borderId="7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3" fillId="0" borderId="59" applyNumberFormat="0" applyFill="0" applyAlignment="0" applyProtection="0"/>
    <xf numFmtId="0" fontId="220" fillId="0" borderId="59" applyNumberFormat="0" applyFill="0" applyAlignment="0" applyProtection="0"/>
    <xf numFmtId="0"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45"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3" fillId="0" borderId="0" applyNumberFormat="0" applyFill="0" applyBorder="0" applyAlignment="0" applyProtection="0"/>
    <xf numFmtId="0" fontId="220" fillId="0" borderId="0" applyNumberFormat="0" applyFill="0" applyBorder="0" applyAlignment="0" applyProtection="0"/>
    <xf numFmtId="0" fontId="346" fillId="0" borderId="0" applyNumberFormat="0" applyFill="0" applyBorder="0" applyAlignment="0" applyProtection="0"/>
    <xf numFmtId="0" fontId="75" fillId="0" borderId="0" applyNumberFormat="0" applyFill="0" applyBorder="0" applyAlignment="0" applyProtection="0"/>
    <xf numFmtId="0" fontId="347" fillId="0" borderId="80" applyBorder="0">
      <alignment horizontal="center" vertical="center" wrapText="1"/>
    </xf>
    <xf numFmtId="200" fontId="152" fillId="52" borderId="37"/>
    <xf numFmtId="200" fontId="152" fillId="52" borderId="37"/>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0"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226" fillId="0" borderId="33" applyNumberFormat="0" applyFill="0" applyAlignment="0" applyProtection="0"/>
    <xf numFmtId="0" fontId="226" fillId="0" borderId="33" applyNumberFormat="0" applyFill="0" applyAlignment="0" applyProtection="0"/>
    <xf numFmtId="167" fontId="38" fillId="0" borderId="0"/>
    <xf numFmtId="167" fontId="33" fillId="57" borderId="42" applyNumberFormat="0" applyAlignment="0" applyProtection="0"/>
    <xf numFmtId="0" fontId="134" fillId="57" borderId="42" applyNumberFormat="0" applyAlignment="0" applyProtection="0"/>
    <xf numFmtId="0" fontId="134" fillId="57" borderId="4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57" borderId="42" applyNumberFormat="0" applyAlignment="0" applyProtection="0"/>
    <xf numFmtId="167" fontId="134" fillId="38" borderId="82" applyNumberFormat="0" applyAlignment="0" applyProtection="0"/>
    <xf numFmtId="0" fontId="3" fillId="3" borderId="5" applyNumberFormat="0" applyAlignment="0" applyProtection="0"/>
    <xf numFmtId="167" fontId="134" fillId="38" borderId="82" applyNumberFormat="0" applyAlignment="0" applyProtection="0"/>
    <xf numFmtId="167" fontId="134" fillId="57" borderId="42" applyNumberFormat="0" applyAlignment="0" applyProtection="0"/>
    <xf numFmtId="167" fontId="134" fillId="57" borderId="42" applyNumberFormat="0" applyAlignment="0" applyProtection="0"/>
    <xf numFmtId="167" fontId="134"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75" fillId="0" borderId="0">
      <alignment horizontal="center" vertical="top" wrapText="1"/>
    </xf>
    <xf numFmtId="0" fontId="225" fillId="0" borderId="0">
      <alignment horizontal="centerContinuous" vertical="center" wrapText="1"/>
    </xf>
    <xf numFmtId="164" fontId="348" fillId="8" borderId="12">
      <alignment wrapText="1"/>
    </xf>
    <xf numFmtId="164" fontId="348" fillId="8" borderId="12">
      <alignment wrapText="1"/>
    </xf>
    <xf numFmtId="164" fontId="348" fillId="8" borderId="12">
      <alignment wrapText="1"/>
    </xf>
    <xf numFmtId="164" fontId="348" fillId="8" borderId="12">
      <alignment wrapText="1"/>
    </xf>
    <xf numFmtId="0" fontId="325"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49"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3" fillId="0" borderId="0" applyNumberFormat="0" applyFill="0" applyBorder="0" applyAlignment="0" applyProtection="0"/>
    <xf numFmtId="0" fontId="325" fillId="0" borderId="0" applyNumberFormat="0" applyFill="0" applyBorder="0" applyAlignment="0" applyProtection="0"/>
    <xf numFmtId="358" fontId="350" fillId="0" borderId="0"/>
    <xf numFmtId="167" fontId="199" fillId="11" borderId="0" applyFill="0"/>
    <xf numFmtId="0"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51" fillId="34"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3" fillId="9" borderId="0" applyNumberFormat="0" applyBorder="0" applyAlignment="0" applyProtection="0"/>
    <xf numFmtId="0" fontId="264" fillId="9" borderId="0" applyNumberFormat="0" applyBorder="0" applyAlignment="0" applyProtection="0"/>
    <xf numFmtId="49" fontId="277" fillId="0" borderId="0" applyBorder="0">
      <alignment vertical="top"/>
    </xf>
    <xf numFmtId="0" fontId="1" fillId="0" borderId="0"/>
    <xf numFmtId="0" fontId="1" fillId="0" borderId="0"/>
    <xf numFmtId="0" fontId="101" fillId="0" borderId="0" applyProtection="0"/>
    <xf numFmtId="167" fontId="1" fillId="0" borderId="0"/>
    <xf numFmtId="0" fontId="38" fillId="0" borderId="0"/>
    <xf numFmtId="167" fontId="85" fillId="0" borderId="0"/>
    <xf numFmtId="167" fontId="85" fillId="0" borderId="0"/>
    <xf numFmtId="167" fontId="83" fillId="0" borderId="0"/>
    <xf numFmtId="167" fontId="83" fillId="0" borderId="0"/>
    <xf numFmtId="167" fontId="83" fillId="0" borderId="0"/>
    <xf numFmtId="0" fontId="1" fillId="0" borderId="0"/>
    <xf numFmtId="167" fontId="83" fillId="0" borderId="0"/>
    <xf numFmtId="0" fontId="1" fillId="0" borderId="0"/>
    <xf numFmtId="167" fontId="83" fillId="0" borderId="0"/>
    <xf numFmtId="167" fontId="83" fillId="0" borderId="0"/>
    <xf numFmtId="167" fontId="83" fillId="0" borderId="0"/>
    <xf numFmtId="167" fontId="83" fillId="0" borderId="0"/>
    <xf numFmtId="167" fontId="83" fillId="0" borderId="0"/>
    <xf numFmtId="0" fontId="352" fillId="0" borderId="0"/>
    <xf numFmtId="167" fontId="33" fillId="0" borderId="0"/>
    <xf numFmtId="0" fontId="33" fillId="0" borderId="0"/>
    <xf numFmtId="167" fontId="33" fillId="0" borderId="0"/>
    <xf numFmtId="167" fontId="33" fillId="0" borderId="0"/>
    <xf numFmtId="167" fontId="33" fillId="0" borderId="0"/>
    <xf numFmtId="167" fontId="1" fillId="0" borderId="0"/>
    <xf numFmtId="178" fontId="1" fillId="0" borderId="0"/>
    <xf numFmtId="0" fontId="33" fillId="0" borderId="0"/>
    <xf numFmtId="167" fontId="41" fillId="0" borderId="0"/>
    <xf numFmtId="0" fontId="85" fillId="0" borderId="0"/>
    <xf numFmtId="178" fontId="1" fillId="0" borderId="0"/>
    <xf numFmtId="0" fontId="33" fillId="0" borderId="0"/>
    <xf numFmtId="167" fontId="38" fillId="0" borderId="0"/>
    <xf numFmtId="167" fontId="38" fillId="0" borderId="0"/>
    <xf numFmtId="167" fontId="38" fillId="0" borderId="0"/>
    <xf numFmtId="167" fontId="38" fillId="0" borderId="0"/>
    <xf numFmtId="167" fontId="38" fillId="0" borderId="0"/>
    <xf numFmtId="0" fontId="33" fillId="0" borderId="0"/>
    <xf numFmtId="167" fontId="33" fillId="0" borderId="0"/>
    <xf numFmtId="0" fontId="1" fillId="0" borderId="0"/>
    <xf numFmtId="0" fontId="33" fillId="0" borderId="0"/>
    <xf numFmtId="167" fontId="33" fillId="0" borderId="0"/>
    <xf numFmtId="167" fontId="33"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3" fillId="0" borderId="0"/>
    <xf numFmtId="0" fontId="33" fillId="0" borderId="0"/>
    <xf numFmtId="167" fontId="33" fillId="0" borderId="0"/>
    <xf numFmtId="0" fontId="1" fillId="0" borderId="0"/>
    <xf numFmtId="167" fontId="33" fillId="0" borderId="0"/>
    <xf numFmtId="0" fontId="85" fillId="0" borderId="0"/>
    <xf numFmtId="167" fontId="83" fillId="0" borderId="0"/>
    <xf numFmtId="0" fontId="33" fillId="0" borderId="0"/>
    <xf numFmtId="167" fontId="33" fillId="0" borderId="0"/>
    <xf numFmtId="0" fontId="353" fillId="0" borderId="0" applyBorder="0"/>
    <xf numFmtId="167" fontId="83" fillId="0" borderId="0"/>
    <xf numFmtId="0" fontId="33" fillId="0" borderId="0"/>
    <xf numFmtId="0" fontId="38" fillId="0" borderId="0"/>
    <xf numFmtId="167" fontId="83" fillId="0" borderId="0"/>
    <xf numFmtId="0" fontId="33" fillId="0" borderId="0"/>
    <xf numFmtId="167" fontId="33" fillId="0" borderId="0"/>
    <xf numFmtId="167" fontId="83" fillId="0" borderId="0"/>
    <xf numFmtId="0" fontId="33" fillId="0" borderId="0"/>
    <xf numFmtId="167" fontId="1" fillId="0" borderId="0"/>
    <xf numFmtId="167" fontId="33" fillId="0" borderId="0"/>
    <xf numFmtId="0" fontId="1"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359" fontId="65" fillId="0" borderId="0"/>
    <xf numFmtId="359" fontId="65" fillId="0" borderId="0"/>
    <xf numFmtId="167" fontId="83" fillId="0" borderId="0"/>
    <xf numFmtId="167" fontId="83" fillId="0" borderId="0"/>
    <xf numFmtId="167" fontId="83" fillId="0" borderId="0"/>
    <xf numFmtId="167" fontId="83" fillId="0" borderId="0"/>
    <xf numFmtId="49" fontId="277" fillId="0" borderId="0" applyBorder="0">
      <alignment vertical="top"/>
    </xf>
    <xf numFmtId="0" fontId="85" fillId="0" borderId="0"/>
    <xf numFmtId="0" fontId="38" fillId="0" borderId="0"/>
    <xf numFmtId="167" fontId="38" fillId="0" borderId="0"/>
    <xf numFmtId="0" fontId="33" fillId="0" borderId="0"/>
    <xf numFmtId="167" fontId="33" fillId="0" borderId="0"/>
    <xf numFmtId="167" fontId="38" fillId="0" borderId="0"/>
    <xf numFmtId="167" fontId="83" fillId="0" borderId="0"/>
    <xf numFmtId="167" fontId="38" fillId="0" borderId="0"/>
    <xf numFmtId="167" fontId="38" fillId="0" borderId="0"/>
    <xf numFmtId="167" fontId="1" fillId="0" borderId="0"/>
    <xf numFmtId="167" fontId="83" fillId="0" borderId="0"/>
    <xf numFmtId="0" fontId="83"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53" fillId="0" borderId="0" applyBorder="0"/>
    <xf numFmtId="0" fontId="353" fillId="0" borderId="0" applyBorder="0"/>
    <xf numFmtId="167" fontId="83" fillId="0" borderId="0"/>
    <xf numFmtId="167" fontId="83" fillId="0" borderId="0"/>
    <xf numFmtId="167" fontId="83" fillId="0" borderId="0"/>
    <xf numFmtId="167" fontId="83" fillId="0" borderId="0"/>
    <xf numFmtId="0" fontId="38" fillId="0" borderId="0"/>
    <xf numFmtId="167" fontId="38" fillId="0" borderId="0"/>
    <xf numFmtId="359" fontId="65"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1" fillId="0" borderId="0"/>
    <xf numFmtId="167" fontId="83" fillId="0" borderId="0"/>
    <xf numFmtId="167" fontId="83" fillId="0" borderId="0"/>
    <xf numFmtId="0" fontId="6"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8" fillId="0" borderId="0"/>
    <xf numFmtId="167" fontId="83" fillId="0" borderId="0"/>
    <xf numFmtId="167" fontId="83" fillId="0" borderId="0"/>
    <xf numFmtId="0" fontId="38" fillId="0" borderId="0"/>
    <xf numFmtId="167" fontId="38" fillId="0" borderId="0"/>
    <xf numFmtId="0" fontId="33" fillId="0" borderId="0"/>
    <xf numFmtId="167" fontId="83" fillId="0" borderId="0"/>
    <xf numFmtId="167" fontId="83" fillId="0" borderId="0"/>
    <xf numFmtId="167" fontId="33" fillId="0" borderId="0"/>
    <xf numFmtId="167" fontId="33" fillId="0" borderId="0"/>
    <xf numFmtId="167" fontId="38" fillId="0" borderId="0"/>
    <xf numFmtId="167" fontId="33" fillId="0" borderId="0"/>
    <xf numFmtId="167" fontId="83" fillId="0" borderId="0"/>
    <xf numFmtId="167" fontId="140" fillId="0" borderId="0"/>
    <xf numFmtId="167" fontId="1" fillId="0" borderId="0"/>
    <xf numFmtId="167" fontId="1" fillId="0" borderId="0"/>
    <xf numFmtId="167" fontId="63" fillId="0" borderId="0"/>
    <xf numFmtId="167" fontId="1" fillId="0" borderId="0"/>
    <xf numFmtId="167" fontId="1" fillId="0" borderId="0"/>
    <xf numFmtId="167" fontId="1" fillId="0" borderId="0"/>
    <xf numFmtId="167" fontId="1" fillId="0" borderId="0"/>
    <xf numFmtId="167" fontId="272" fillId="0" borderId="0"/>
    <xf numFmtId="167" fontId="1" fillId="0" borderId="0"/>
    <xf numFmtId="167" fontId="1" fillId="0" borderId="0"/>
    <xf numFmtId="167" fontId="55" fillId="0" borderId="0"/>
    <xf numFmtId="167" fontId="1" fillId="0" borderId="0"/>
    <xf numFmtId="0" fontId="355" fillId="0" borderId="0"/>
    <xf numFmtId="167" fontId="83" fillId="0" borderId="0"/>
    <xf numFmtId="0" fontId="33" fillId="0" borderId="0"/>
    <xf numFmtId="167" fontId="33" fillId="0" borderId="0"/>
    <xf numFmtId="0" fontId="38" fillId="0" borderId="0"/>
    <xf numFmtId="0" fontId="355" fillId="0" borderId="0"/>
    <xf numFmtId="167" fontId="38" fillId="0" borderId="0"/>
    <xf numFmtId="167" fontId="38" fillId="0" borderId="0"/>
    <xf numFmtId="167" fontId="38" fillId="0" borderId="0"/>
    <xf numFmtId="167" fontId="272" fillId="0" borderId="0"/>
    <xf numFmtId="167" fontId="38" fillId="0" borderId="0"/>
    <xf numFmtId="167" fontId="1" fillId="0" borderId="0"/>
    <xf numFmtId="167" fontId="85" fillId="0" borderId="0"/>
    <xf numFmtId="0" fontId="33" fillId="0" borderId="0"/>
    <xf numFmtId="167" fontId="1" fillId="0" borderId="0"/>
    <xf numFmtId="0" fontId="1" fillId="0" borderId="0"/>
    <xf numFmtId="0" fontId="1" fillId="0" borderId="0"/>
    <xf numFmtId="0" fontId="1" fillId="0" borderId="0"/>
    <xf numFmtId="0" fontId="356" fillId="0" borderId="0"/>
    <xf numFmtId="167" fontId="83" fillId="0" borderId="0"/>
    <xf numFmtId="0" fontId="38" fillId="0" borderId="0"/>
    <xf numFmtId="167" fontId="38" fillId="0" borderId="0"/>
    <xf numFmtId="0" fontId="101" fillId="0" borderId="0" applyProtection="0"/>
    <xf numFmtId="0" fontId="1" fillId="0" borderId="0"/>
    <xf numFmtId="0" fontId="1" fillId="0" borderId="0"/>
    <xf numFmtId="0" fontId="1" fillId="0" borderId="0"/>
    <xf numFmtId="0" fontId="1" fillId="0" borderId="0"/>
    <xf numFmtId="0" fontId="38" fillId="0" borderId="0"/>
    <xf numFmtId="0" fontId="1" fillId="0" borderId="0"/>
    <xf numFmtId="0" fontId="33" fillId="0" borderId="0"/>
    <xf numFmtId="0" fontId="1" fillId="0" borderId="0"/>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3" fillId="19" borderId="0" applyNumberFormat="0" applyBorder="0" applyAlignment="0" applyProtection="0"/>
    <xf numFmtId="0" fontId="106" fillId="19" borderId="0" applyNumberFormat="0" applyBorder="0" applyAlignment="0" applyProtection="0"/>
    <xf numFmtId="0"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89" fontId="359" fillId="10" borderId="83" applyNumberFormat="0" applyBorder="0" applyAlignment="0">
      <alignment vertical="center"/>
      <protection locked="0"/>
    </xf>
    <xf numFmtId="0"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60"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3" fillId="0" borderId="0" applyNumberFormat="0" applyFill="0" applyBorder="0" applyAlignment="0" applyProtection="0"/>
    <xf numFmtId="0" fontId="173" fillId="0" borderId="0" applyNumberFormat="0" applyFill="0" applyBorder="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3"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9" fontId="83"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272"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272"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9" fillId="0" borderId="6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1" fillId="0" borderId="8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 fillId="0" borderId="64" applyNumberFormat="0" applyFill="0" applyAlignment="0" applyProtection="0"/>
    <xf numFmtId="0" fontId="259" fillId="0" borderId="64" applyNumberFormat="0" applyFill="0" applyAlignment="0" applyProtection="0"/>
    <xf numFmtId="167" fontId="33" fillId="0" borderId="0"/>
    <xf numFmtId="167" fontId="362" fillId="0" borderId="0"/>
    <xf numFmtId="167" fontId="33" fillId="0" borderId="0"/>
    <xf numFmtId="0" fontId="362" fillId="0" borderId="0"/>
    <xf numFmtId="0" fontId="47" fillId="0" borderId="0"/>
    <xf numFmtId="174" fontId="58" fillId="0" borderId="0">
      <alignment vertical="top"/>
    </xf>
    <xf numFmtId="38" fontId="58" fillId="0" borderId="0">
      <alignment vertical="top"/>
    </xf>
    <xf numFmtId="167" fontId="38" fillId="0" borderId="0"/>
    <xf numFmtId="0" fontId="47" fillId="0" borderId="0"/>
    <xf numFmtId="167" fontId="47" fillId="0" borderId="0"/>
    <xf numFmtId="0" fontId="39" fillId="0" borderId="0"/>
    <xf numFmtId="167" fontId="38" fillId="0" borderId="0"/>
    <xf numFmtId="167" fontId="38" fillId="0" borderId="0"/>
    <xf numFmtId="167" fontId="53" fillId="0" borderId="0"/>
    <xf numFmtId="167" fontId="33" fillId="0" borderId="0"/>
    <xf numFmtId="0" fontId="5" fillId="84" borderId="12" applyBorder="0" applyAlignment="0">
      <alignment vertical="center"/>
    </xf>
    <xf numFmtId="167" fontId="33" fillId="0" borderId="0"/>
    <xf numFmtId="167" fontId="53" fillId="0" borderId="0"/>
    <xf numFmtId="167" fontId="73" fillId="0" borderId="0" applyNumberFormat="0" applyFont="0" applyFill="0" applyBorder="0" applyAlignment="0" applyProtection="0">
      <alignment vertical="top"/>
    </xf>
    <xf numFmtId="167" fontId="73" fillId="0" borderId="0" applyNumberFormat="0" applyFont="0" applyFill="0" applyBorder="0" applyAlignment="0" applyProtection="0">
      <alignment vertical="top"/>
    </xf>
    <xf numFmtId="167" fontId="33" fillId="0" borderId="0"/>
    <xf numFmtId="167" fontId="33" fillId="0" borderId="0"/>
    <xf numFmtId="167" fontId="33" fillId="0" borderId="0">
      <alignment vertical="justify"/>
    </xf>
    <xf numFmtId="49" fontId="363" fillId="0" borderId="0"/>
    <xf numFmtId="49" fontId="364" fillId="0" borderId="0">
      <alignment vertical="top"/>
    </xf>
    <xf numFmtId="189" fontId="226" fillId="0" borderId="0" applyFill="0" applyBorder="0" applyAlignment="0" applyProtection="0"/>
    <xf numFmtId="189" fontId="226" fillId="0" borderId="0" applyFill="0" applyBorder="0" applyAlignment="0" applyProtection="0"/>
    <xf numFmtId="167" fontId="33" fillId="0" borderId="0" applyNumberFormat="0" applyFill="0" applyBorder="0" applyAlignment="0" applyProtection="0"/>
    <xf numFmtId="0" fontId="331" fillId="0" borderId="0" applyNumberFormat="0" applyFill="0" applyBorder="0" applyAlignment="0" applyProtection="0"/>
    <xf numFmtId="0"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0" fontId="4"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49" fontId="226" fillId="0" borderId="0">
      <alignment horizontal="center"/>
    </xf>
    <xf numFmtId="49" fontId="226" fillId="0" borderId="0">
      <alignment horizontal="center"/>
    </xf>
    <xf numFmtId="49" fontId="55" fillId="0" borderId="0"/>
    <xf numFmtId="360" fontId="365" fillId="0" borderId="0"/>
    <xf numFmtId="360" fontId="365" fillId="0" borderId="0"/>
    <xf numFmtId="360" fontId="365" fillId="0" borderId="0"/>
    <xf numFmtId="38" fontId="33" fillId="0" borderId="0" applyFont="0" applyFill="0" applyBorder="0" applyAlignment="0" applyProtection="0"/>
    <xf numFmtId="3" fontId="366" fillId="0" borderId="40" applyFont="0" applyBorder="0">
      <alignment horizontal="right"/>
      <protection locked="0"/>
    </xf>
    <xf numFmtId="182" fontId="38" fillId="0" borderId="0" applyFont="0" applyFill="0" applyBorder="0" applyAlignment="0" applyProtection="0"/>
    <xf numFmtId="2" fontId="226" fillId="0" borderId="0" applyFill="0" applyBorder="0" applyAlignment="0" applyProtection="0"/>
    <xf numFmtId="2" fontId="226" fillId="0" borderId="0" applyFill="0" applyBorder="0" applyAlignment="0" applyProtection="0"/>
    <xf numFmtId="294" fontId="38" fillId="0" borderId="0" applyFont="0" applyFill="0" applyBorder="0" applyAlignment="0" applyProtection="0"/>
    <xf numFmtId="227" fontId="33" fillId="0" borderId="0" applyFont="0" applyFill="0" applyBorder="0" applyAlignment="0" applyProtection="0"/>
    <xf numFmtId="22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7"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165" fontId="367" fillId="0" borderId="0" applyFont="0" applyFill="0" applyBorder="0" applyAlignment="0" applyProtection="0"/>
    <xf numFmtId="189" fontId="36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8" fillId="0" borderId="0" applyFont="0" applyFill="0" applyBorder="0" applyAlignment="0" applyProtection="0"/>
    <xf numFmtId="234" fontId="1" fillId="0" borderId="0" applyFont="0" applyFill="0" applyBorder="0" applyAlignment="0" applyProtection="0"/>
    <xf numFmtId="234" fontId="38" fillId="0" borderId="0" applyFont="0" applyFill="0" applyBorder="0" applyAlignment="0" applyProtection="0"/>
    <xf numFmtId="234" fontId="84" fillId="0" borderId="0" applyFont="0" applyFill="0" applyBorder="0" applyAlignment="0" applyProtection="0"/>
    <xf numFmtId="237"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7" fontId="38" fillId="0" borderId="0" applyFont="0" applyFill="0" applyBorder="0" applyAlignment="0" applyProtection="0"/>
    <xf numFmtId="234" fontId="3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362" fontId="55" fillId="0" borderId="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35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363" fontId="33" fillId="0" borderId="0" applyFont="0" applyFill="0" applyBorder="0" applyAlignment="0" applyProtection="0"/>
    <xf numFmtId="229" fontId="33" fillId="0" borderId="0" applyFont="0" applyFill="0" applyBorder="0" applyAlignment="0" applyProtection="0"/>
    <xf numFmtId="229" fontId="33" fillId="0" borderId="0" applyFont="0" applyFill="0" applyBorder="0" applyAlignment="0" applyProtection="0"/>
    <xf numFmtId="234" fontId="83" fillId="0" borderId="0" applyFont="0" applyFill="0" applyBorder="0" applyAlignment="0" applyProtection="0"/>
    <xf numFmtId="36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4"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8" fillId="0" borderId="0" applyFont="0" applyFill="0" applyBorder="0" applyAlignment="0" applyProtection="0"/>
    <xf numFmtId="234" fontId="272" fillId="0" borderId="0" applyFont="0" applyFill="0" applyBorder="0" applyAlignment="0" applyProtection="0"/>
    <xf numFmtId="180"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365" fontId="38" fillId="0" borderId="0" applyFont="0" applyFill="0" applyBorder="0" applyAlignment="0" applyProtection="0"/>
    <xf numFmtId="181"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234" fontId="8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7" fontId="1"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4" fontId="277" fillId="8" borderId="0" applyBorder="0">
      <alignment horizontal="right"/>
    </xf>
    <xf numFmtId="4" fontId="277" fillId="85" borderId="8"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0"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68" fillId="26"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3" fillId="20" borderId="0" applyNumberFormat="0" applyBorder="0" applyAlignment="0" applyProtection="0"/>
    <xf numFmtId="0" fontId="200" fillId="20" borderId="0" applyNumberFormat="0" applyBorder="0" applyAlignment="0" applyProtection="0"/>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37" fontId="33" fillId="0" borderId="0" applyFont="0" applyBorder="0" applyAlignment="0" applyProtection="0"/>
    <xf numFmtId="366" fontId="62" fillId="0" borderId="0">
      <protection locked="0"/>
    </xf>
    <xf numFmtId="182" fontId="62" fillId="0" borderId="0">
      <protection locked="0"/>
    </xf>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167" fontId="38" fillId="39" borderId="0" applyNumberFormat="0" applyBorder="0" applyAlignment="0" applyProtection="0">
      <alignment vertical="center"/>
    </xf>
    <xf numFmtId="0" fontId="38" fillId="39" borderId="0" applyNumberFormat="0" applyBorder="0" applyAlignment="0" applyProtection="0">
      <alignment vertical="center"/>
    </xf>
    <xf numFmtId="167" fontId="38" fillId="42" borderId="0" applyNumberFormat="0" applyBorder="0" applyAlignment="0" applyProtection="0">
      <alignment vertical="center"/>
    </xf>
    <xf numFmtId="0" fontId="38" fillId="42" borderId="0" applyNumberFormat="0" applyBorder="0" applyAlignment="0" applyProtection="0">
      <alignment vertical="center"/>
    </xf>
    <xf numFmtId="167" fontId="38" fillId="46" borderId="0" applyNumberFormat="0" applyBorder="0" applyAlignment="0" applyProtection="0">
      <alignment vertical="center"/>
    </xf>
    <xf numFmtId="0" fontId="38" fillId="46"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49" borderId="0" applyNumberFormat="0" applyBorder="0" applyAlignment="0" applyProtection="0">
      <alignment vertical="center"/>
    </xf>
    <xf numFmtId="0" fontId="38" fillId="49" borderId="0" applyNumberFormat="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7" borderId="42" applyNumberFormat="0" applyAlignment="0" applyProtection="0">
      <alignment vertical="center"/>
    </xf>
    <xf numFmtId="0" fontId="38" fillId="57" borderId="42" applyNumberFormat="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9" borderId="0" applyNumberFormat="0" applyBorder="0" applyAlignment="0" applyProtection="0">
      <alignment vertical="center"/>
    </xf>
    <xf numFmtId="0" fontId="38" fillId="9" borderId="0" applyNumberFormat="0" applyBorder="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0"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0" borderId="64" applyNumberFormat="0" applyFill="0" applyAlignment="0" applyProtection="0">
      <alignment vertical="center"/>
    </xf>
    <xf numFmtId="0" fontId="38" fillId="0" borderId="64" applyNumberFormat="0" applyFill="0" applyAlignment="0" applyProtection="0">
      <alignment vertical="center"/>
    </xf>
    <xf numFmtId="167" fontId="38" fillId="23" borderId="39" applyNumberFormat="0" applyAlignment="0" applyProtection="0">
      <alignment vertical="center"/>
    </xf>
    <xf numFmtId="0"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0"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367" fontId="115" fillId="0" borderId="0" applyFont="0" applyFill="0" applyBorder="0" applyAlignment="0" applyProtection="0"/>
    <xf numFmtId="210" fontId="115" fillId="0" borderId="0" applyFont="0" applyFill="0" applyBorder="0" applyAlignment="0" applyProtection="0"/>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40" fontId="33" fillId="0" borderId="0" applyFont="0" applyFill="0" applyBorder="0" applyAlignment="0" applyProtection="0"/>
    <xf numFmtId="38" fontId="33" fillId="0" borderId="0" applyFont="0" applyFill="0" applyBorder="0" applyAlignment="0" applyProtection="0"/>
    <xf numFmtId="167" fontId="33" fillId="0" borderId="0"/>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0" borderId="57" applyNumberFormat="0" applyFill="0" applyAlignment="0" applyProtection="0">
      <alignment vertical="center"/>
    </xf>
    <xf numFmtId="0" fontId="38" fillId="0" borderId="57" applyNumberFormat="0" applyFill="0" applyAlignment="0" applyProtection="0">
      <alignment vertical="center"/>
    </xf>
    <xf numFmtId="167" fontId="38" fillId="0" borderId="58" applyNumberFormat="0" applyFill="0" applyAlignment="0" applyProtection="0">
      <alignment vertical="center"/>
    </xf>
    <xf numFmtId="0" fontId="38" fillId="0" borderId="58" applyNumberFormat="0" applyFill="0" applyAlignment="0" applyProtection="0">
      <alignment vertical="center"/>
    </xf>
    <xf numFmtId="167" fontId="38" fillId="0" borderId="59" applyNumberFormat="0" applyFill="0" applyAlignment="0" applyProtection="0">
      <alignment vertical="center"/>
    </xf>
    <xf numFmtId="0" fontId="38" fillId="0" borderId="59" applyNumberFormat="0" applyFill="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4" borderId="39" applyNumberFormat="0" applyAlignment="0" applyProtection="0">
      <alignment vertical="center"/>
    </xf>
    <xf numFmtId="0"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0"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cellStyleXfs>
  <cellXfs count="171">
    <xf numFmtId="0" fontId="0" fillId="0" borderId="0" xfId="0"/>
    <xf numFmtId="10" fontId="7" fillId="6" borderId="0" xfId="2" applyNumberFormat="1" applyFont="1" applyFill="1" applyAlignment="1">
      <alignment wrapText="1"/>
    </xf>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0" fontId="7" fillId="6" borderId="15" xfId="2" applyFont="1" applyFill="1" applyBorder="1" applyAlignment="1">
      <alignment horizontal="lef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49" fontId="12" fillId="6" borderId="11" xfId="0" applyNumberFormat="1" applyFont="1" applyFill="1" applyBorder="1" applyAlignment="1">
      <alignment horizontal="right" vertical="center"/>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7" fillId="6" borderId="0" xfId="2" applyFont="1" applyFill="1" applyBorder="1"/>
    <xf numFmtId="0" fontId="7" fillId="6" borderId="20" xfId="2" applyFont="1" applyFill="1" applyBorder="1" applyAlignment="1">
      <alignment horizontal="left" vertical="center" wrapText="1" indent="2"/>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24" xfId="2" applyNumberFormat="1" applyFont="1" applyFill="1" applyBorder="1" applyAlignment="1">
      <alignment horizontal="right" vertical="center"/>
    </xf>
    <xf numFmtId="0" fontId="7" fillId="6" borderId="25" xfId="2" applyFont="1" applyFill="1" applyBorder="1" applyAlignment="1">
      <alignment horizontal="left" vertical="center" wrapText="1" indent="4"/>
    </xf>
    <xf numFmtId="10" fontId="7" fillId="6" borderId="25"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0" fontId="34" fillId="6" borderId="9" xfId="3" applyFont="1" applyFill="1" applyBorder="1" applyAlignment="1">
      <alignment horizontal="left" vertical="center" wrapText="1"/>
    </xf>
    <xf numFmtId="10" fontId="7" fillId="6" borderId="9" xfId="1" applyNumberFormat="1" applyFont="1" applyFill="1" applyBorder="1" applyAlignment="1">
      <alignment horizontal="center" vertical="center" wrapText="1"/>
    </xf>
    <xf numFmtId="0" fontId="7" fillId="6" borderId="15" xfId="2" applyFont="1" applyFill="1" applyBorder="1" applyAlignment="1">
      <alignment horizontal="left" vertical="center" wrapText="1"/>
    </xf>
    <xf numFmtId="0" fontId="7" fillId="6" borderId="0" xfId="2" applyFont="1" applyFill="1" applyBorder="1" applyAlignment="1">
      <alignment horizontal="right" vertical="center"/>
    </xf>
    <xf numFmtId="0" fontId="7" fillId="6" borderId="27" xfId="2" applyFont="1" applyFill="1" applyBorder="1" applyAlignment="1">
      <alignment horizontal="right" wrapText="1" indent="1"/>
    </xf>
    <xf numFmtId="0" fontId="7" fillId="6" borderId="28"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0" fontId="7" fillId="6" borderId="11" xfId="2" applyFont="1" applyFill="1" applyBorder="1"/>
    <xf numFmtId="10" fontId="19" fillId="6" borderId="13" xfId="2" applyNumberFormat="1" applyFont="1" applyFill="1" applyBorder="1" applyAlignment="1" applyProtection="1">
      <alignment vertical="center"/>
    </xf>
    <xf numFmtId="0" fontId="7" fillId="6" borderId="14" xfId="2" applyFont="1" applyFill="1" applyBorder="1"/>
    <xf numFmtId="10" fontId="19" fillId="6" borderId="16" xfId="2" applyNumberFormat="1" applyFont="1" applyFill="1" applyBorder="1" applyAlignment="1" applyProtection="1">
      <alignment vertical="center"/>
    </xf>
    <xf numFmtId="0" fontId="7" fillId="6" borderId="24" xfId="2" applyFont="1" applyFill="1" applyBorder="1"/>
    <xf numFmtId="10" fontId="19" fillId="6" borderId="26"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9" fillId="6" borderId="0" xfId="2" applyFont="1" applyFill="1" applyAlignment="1">
      <alignment horizontal="left" vertical="center"/>
    </xf>
    <xf numFmtId="4" fontId="9" fillId="6" borderId="10" xfId="2" applyNumberFormat="1"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165"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49" fontId="12" fillId="6" borderId="12" xfId="0" applyNumberFormat="1" applyFont="1" applyFill="1" applyBorder="1" applyAlignment="1">
      <alignment horizontal="right" vertical="center"/>
    </xf>
    <xf numFmtId="368" fontId="7" fillId="6" borderId="12" xfId="1" applyNumberFormat="1" applyFont="1" applyFill="1" applyBorder="1" applyAlignment="1">
      <alignment horizontal="center" vertical="center" wrapText="1"/>
    </xf>
    <xf numFmtId="368"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wrapText="1"/>
    </xf>
    <xf numFmtId="10" fontId="7" fillId="6" borderId="9" xfId="2" applyNumberFormat="1" applyFont="1" applyFill="1" applyBorder="1" applyAlignment="1">
      <alignment horizontal="center" vertical="center" wrapText="1"/>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19"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10" fontId="7" fillId="6" borderId="13" xfId="2" applyNumberFormat="1" applyFont="1" applyFill="1" applyBorder="1" applyAlignment="1" applyProtection="1">
      <alignment vertical="center"/>
      <protection locked="0"/>
    </xf>
    <xf numFmtId="10" fontId="7" fillId="6" borderId="16" xfId="2" applyNumberFormat="1" applyFont="1" applyFill="1" applyBorder="1" applyAlignment="1" applyProtection="1">
      <alignment vertical="center"/>
      <protection locked="0"/>
    </xf>
    <xf numFmtId="0" fontId="7" fillId="6" borderId="44" xfId="2" applyFont="1" applyFill="1" applyBorder="1"/>
    <xf numFmtId="0" fontId="7" fillId="6" borderId="44" xfId="2" applyFont="1" applyFill="1" applyBorder="1" applyAlignment="1">
      <alignment vertical="center"/>
    </xf>
    <xf numFmtId="0" fontId="7" fillId="6" borderId="0" xfId="2" applyFont="1" applyFill="1" applyAlignment="1">
      <alignment vertical="center"/>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8" fillId="6" borderId="0" xfId="2" applyFont="1" applyFill="1" applyBorder="1" applyAlignment="1">
      <alignment horizontal="center" vertical="center" wrapText="1"/>
    </xf>
    <xf numFmtId="0" fontId="9" fillId="6" borderId="7" xfId="2" applyFont="1" applyFill="1" applyBorder="1" applyAlignment="1">
      <alignment horizontal="left" wrapText="1"/>
    </xf>
    <xf numFmtId="0" fontId="9" fillId="6" borderId="19" xfId="2" applyFont="1" applyFill="1" applyBorder="1" applyAlignment="1">
      <alignment horizontal="left" vertical="center" wrapText="1"/>
    </xf>
    <xf numFmtId="0" fontId="9" fillId="6" borderId="7" xfId="2" applyFont="1" applyFill="1" applyBorder="1" applyAlignment="1">
      <alignment horizontal="center" wrapText="1"/>
    </xf>
    <xf numFmtId="0" fontId="7" fillId="6" borderId="0" xfId="2" applyFont="1" applyFill="1" applyAlignment="1">
      <alignment horizontal="left"/>
    </xf>
    <xf numFmtId="0" fontId="7" fillId="6" borderId="0" xfId="2" applyFont="1" applyFill="1" applyBorder="1" applyAlignment="1">
      <alignment horizontal="left"/>
    </xf>
    <xf numFmtId="4" fontId="9" fillId="6" borderId="10" xfId="2" applyNumberFormat="1" applyFont="1" applyFill="1" applyBorder="1" applyAlignment="1">
      <alignment horizontal="left" vertical="center" wrapText="1"/>
    </xf>
    <xf numFmtId="3" fontId="9" fillId="6" borderId="13" xfId="2" applyNumberFormat="1" applyFont="1" applyFill="1" applyBorder="1" applyAlignment="1">
      <alignment horizontal="center" vertical="center" wrapText="1"/>
    </xf>
    <xf numFmtId="0" fontId="9" fillId="6" borderId="85" xfId="2" applyFont="1" applyFill="1" applyBorder="1" applyAlignment="1">
      <alignment horizontal="left" vertical="center" wrapText="1"/>
    </xf>
    <xf numFmtId="0" fontId="7" fillId="6" borderId="13" xfId="2" applyFont="1" applyFill="1" applyBorder="1" applyAlignment="1">
      <alignment horizontal="left" vertical="center" wrapText="1"/>
    </xf>
    <xf numFmtId="0" fontId="7" fillId="6" borderId="13" xfId="2" applyFont="1" applyFill="1" applyBorder="1" applyAlignment="1">
      <alignment horizontal="left" vertical="center"/>
    </xf>
    <xf numFmtId="0" fontId="19" fillId="6" borderId="13" xfId="2" applyFont="1" applyFill="1" applyBorder="1" applyAlignment="1">
      <alignment horizontal="left" vertical="center" wrapText="1"/>
    </xf>
    <xf numFmtId="0" fontId="7" fillId="6" borderId="16" xfId="2" applyFont="1" applyFill="1" applyBorder="1" applyAlignment="1">
      <alignment horizontal="left" vertical="center" wrapText="1"/>
    </xf>
    <xf numFmtId="0" fontId="7" fillId="0" borderId="22" xfId="2" applyFont="1" applyFill="1" applyBorder="1" applyAlignment="1">
      <alignment horizontal="left" vertical="center"/>
    </xf>
    <xf numFmtId="0" fontId="9" fillId="6" borderId="86" xfId="2" applyFont="1" applyFill="1" applyBorder="1" applyAlignment="1">
      <alignment horizontal="left" vertical="center" wrapText="1"/>
    </xf>
    <xf numFmtId="0" fontId="7" fillId="6" borderId="13" xfId="2" applyNumberFormat="1" applyFont="1" applyFill="1" applyBorder="1" applyAlignment="1">
      <alignment horizontal="left" vertical="center" wrapText="1"/>
    </xf>
    <xf numFmtId="4" fontId="7" fillId="6" borderId="13" xfId="2" applyNumberFormat="1" applyFont="1" applyFill="1" applyBorder="1" applyAlignment="1">
      <alignment horizontal="left" vertical="center" wrapText="1"/>
    </xf>
    <xf numFmtId="10" fontId="7" fillId="6" borderId="13" xfId="2" applyNumberFormat="1" applyFont="1" applyFill="1" applyBorder="1" applyAlignment="1">
      <alignment horizontal="left" vertical="center" wrapText="1"/>
    </xf>
    <xf numFmtId="0" fontId="7" fillId="6" borderId="16" xfId="2" applyFont="1" applyFill="1" applyBorder="1" applyAlignment="1">
      <alignment horizontal="left" vertical="center"/>
    </xf>
    <xf numFmtId="0" fontId="7" fillId="6" borderId="22" xfId="2" applyFont="1" applyFill="1" applyBorder="1" applyAlignment="1">
      <alignment horizontal="left" vertical="center"/>
    </xf>
    <xf numFmtId="0" fontId="19" fillId="6" borderId="16" xfId="2" applyFont="1" applyFill="1" applyBorder="1" applyAlignment="1">
      <alignment horizontal="left" vertical="center" wrapText="1"/>
    </xf>
    <xf numFmtId="0" fontId="9" fillId="6" borderId="10" xfId="2" applyFont="1" applyFill="1" applyBorder="1" applyAlignment="1">
      <alignment horizontal="left" vertical="center" wrapText="1"/>
    </xf>
    <xf numFmtId="0" fontId="7" fillId="6" borderId="26" xfId="2" applyFont="1" applyFill="1" applyBorder="1" applyAlignment="1">
      <alignment horizontal="left" vertical="center" wrapText="1"/>
    </xf>
    <xf numFmtId="0" fontId="7" fillId="6" borderId="10" xfId="2" applyFont="1" applyFill="1" applyBorder="1" applyAlignment="1">
      <alignment horizontal="left" vertical="center" wrapText="1"/>
    </xf>
    <xf numFmtId="0" fontId="7" fillId="6" borderId="10" xfId="2" applyFont="1" applyFill="1" applyBorder="1" applyAlignment="1">
      <alignment horizontal="left" vertical="top" wrapText="1"/>
    </xf>
    <xf numFmtId="0" fontId="7" fillId="6" borderId="16" xfId="2" applyFont="1" applyFill="1" applyBorder="1" applyAlignment="1">
      <alignment horizontal="left" vertical="center"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1"/>
    <cellStyle name="Мои наименования показателей 2" xfId="40232"/>
    <cellStyle name="Мои наименования показателей 2 2" xfId="40233"/>
    <cellStyle name="Мои наименования показателей 3" xfId="40234"/>
    <cellStyle name="Мои наименования показателей 3 2" xfId="40235"/>
    <cellStyle name="Мои наименования показателей 4" xfId="40236"/>
    <cellStyle name="Мои наименования показателей 4 2" xfId="40237"/>
    <cellStyle name="Мои наименования показателей 5" xfId="40238"/>
    <cellStyle name="Мои наименования показателей 5 2" xfId="40239"/>
    <cellStyle name="Мои наименования показателей_BALANCE.TBO.1.71" xfId="40240"/>
    <cellStyle name="Мой заголовок" xfId="40241"/>
    <cellStyle name="Мой заголовок листа"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externalLink" Target="externalLinks/externalLink9.xml"/><Relationship Id="rId39" Type="http://schemas.openxmlformats.org/officeDocument/2006/relationships/theme" Target="theme/theme1.xml"/><Relationship Id="rId21" Type="http://schemas.openxmlformats.org/officeDocument/2006/relationships/externalLink" Target="externalLinks/externalLink4.xml"/><Relationship Id="rId34" Type="http://schemas.openxmlformats.org/officeDocument/2006/relationships/externalLink" Target="externalLinks/externalLink17.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3.xml"/><Relationship Id="rId29" Type="http://schemas.openxmlformats.org/officeDocument/2006/relationships/externalLink" Target="externalLinks/externalLink12.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7.xml"/><Relationship Id="rId32" Type="http://schemas.openxmlformats.org/officeDocument/2006/relationships/externalLink" Target="externalLinks/externalLink15.xml"/><Relationship Id="rId37" Type="http://schemas.openxmlformats.org/officeDocument/2006/relationships/externalLink" Target="externalLinks/externalLink20.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6.xml"/><Relationship Id="rId28" Type="http://schemas.openxmlformats.org/officeDocument/2006/relationships/externalLink" Target="externalLinks/externalLink11.xml"/><Relationship Id="rId36" Type="http://schemas.openxmlformats.org/officeDocument/2006/relationships/externalLink" Target="externalLinks/externalLink19.xml"/><Relationship Id="rId10" Type="http://schemas.openxmlformats.org/officeDocument/2006/relationships/worksheet" Target="worksheets/sheet10.xml"/><Relationship Id="rId19" Type="http://schemas.openxmlformats.org/officeDocument/2006/relationships/externalLink" Target="externalLinks/externalLink2.xml"/><Relationship Id="rId31" Type="http://schemas.openxmlformats.org/officeDocument/2006/relationships/externalLink" Target="externalLinks/externalLink1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5.xml"/><Relationship Id="rId27" Type="http://schemas.openxmlformats.org/officeDocument/2006/relationships/externalLink" Target="externalLinks/externalLink10.xml"/><Relationship Id="rId30" Type="http://schemas.openxmlformats.org/officeDocument/2006/relationships/externalLink" Target="externalLinks/externalLink13.xml"/><Relationship Id="rId35" Type="http://schemas.openxmlformats.org/officeDocument/2006/relationships/externalLink" Target="externalLinks/externalLink18.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8.xml"/><Relationship Id="rId33" Type="http://schemas.openxmlformats.org/officeDocument/2006/relationships/externalLink" Target="externalLinks/externalLink16.xml"/><Relationship Id="rId38" Type="http://schemas.openxmlformats.org/officeDocument/2006/relationships/externalLink" Target="externalLinks/externalLink21.xml"/></Relationships>
</file>

<file path=xl/ctrlProps/ctrlProp1.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0</xdr:row>
          <xdr:rowOff>85725</xdr:rowOff>
        </xdr:from>
        <xdr:to>
          <xdr:col>5</xdr:col>
          <xdr:colOff>1000125</xdr:colOff>
          <xdr:row>0</xdr:row>
          <xdr:rowOff>238125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40;&#1073;&#1088;&#1072;&#1084;&#1086;&#1074;&#1089;&#1082;&#1080;&#1081;%20&#1089;&#1089;.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41;&#1072;&#1083;&#1084;&#1072;&#1085;&#1089;&#1082;&#1080;&#1081;%20&#1089;&#1089;.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41;&#1091;&#1083;&#1072;&#1090;&#1086;&#1074;&#1089;&#1082;&#1080;&#1081;%20&#1089;&#1089;.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42;&#1077;&#1088;&#1093;-&#1048;&#1095;&#1080;&#1085;&#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42;&#1077;&#1089;&#1085;&#1103;&#1085;&#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43;&#1078;&#1072;&#1090;&#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43;&#1086;&#1088;&#1073;&#1091;&#1085;&#1086;&#1074;&#1089;&#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47;&#1086;&#1085;&#1086;&#1074;&#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50;&#1072;&#1084;&#1089;&#1082;&#1080;&#1081;%20&#1089;&#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50;&#1091;&#1081;&#1073;&#1099;&#1096;&#1077;&#1074;&#1089;&#1082;&#1080;&#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52;&#1080;&#1093;&#1072;&#1081;&#1083;&#1086;&#1074;&#1089;&#1082;&#1080;&#1081;%20&#1089;&#108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53;&#1086;&#1074;&#1086;&#1080;&#1095;&#1080;&#1085;&#1089;&#1082;&#1080;&#1081;%20&#1089;&#1089;.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75;&#1072;&#1079;_&#1062;&#1055;%20(&#1073;&#1077;&#1079;%20&#1053;&#1044;&#1057;)_2&#1087;&#1075;2023&#1075;_&#1084;&#1077;&#1085;&#1077;&#1077;%2050%20&#1090;&#1099;&#1089;%20&#1054;&#1082;&#1090;&#1103;&#1073;&#1088;&#1100;&#1089;&#1082;&#1080;&#1081;%20&#1089;&#1089;.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54;&#1090;&#1088;&#1072;&#1076;&#1085;&#1077;&#1085;&#1089;&#1082;&#1080;&#1081;%20&#1089;&#1089;.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57;&#1077;&#1088;&#1075;&#1080;&#1085;&#1089;&#1082;&#1080;&#1081;%20&#1089;&#1089;.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63;&#1091;&#1084;&#1072;&#1082;&#1086;&#1074;&#1089;&#1082;&#1080;&#1081;%20&#1089;&#1089;.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PREDEL.PRICE.NCZ.WARM/2023/&#1085;&#1072;%20&#1089;&#1072;&#1081;&#1090;/&#1050;&#1091;&#1081;&#1073;&#1099;&#1096;&#1077;&#1074;&#1089;&#1082;&#1080;&#1081;%20&#1052;&#1056;/&#1064;&#1072;&#1073;&#1083;&#1086;&#1085;%20&#1062;&#1040;&#1050;_&#1091;&#1075;&#1086;&#1083;&#1100;_&#1062;&#1055;%20(&#1073;&#1077;&#1079;%20&#1053;&#1044;&#1057;)_2&#1087;&#1075;2023&#1075;_&#1084;&#1077;&#1085;&#1077;&#1077;%2050%20&#1090;&#1099;&#1089;%20&#1054;&#1089;&#1080;&#1085;&#1086;&#1074;&#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Абрамово</v>
          </cell>
        </row>
        <row r="15">
          <cell r="D15" t="str">
            <v/>
          </cell>
        </row>
        <row r="16">
          <cell r="D16" t="str">
            <v>Код ОКТМО</v>
          </cell>
          <cell r="E16" t="str">
            <v>50630402101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989.20242349096554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2659.8</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494.81459299374637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2254.5513536462668</v>
          </cell>
        </row>
        <row r="33">
          <cell r="F33">
            <v>1458.5754988401943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82.13514124593047</v>
          </cell>
        </row>
        <row r="17">
          <cell r="F17">
            <v>0.02</v>
          </cell>
        </row>
      </sheetData>
      <sheetData sheetId="31">
        <row r="12">
          <cell r="F12" t="str">
            <v>-</v>
          </cell>
        </row>
      </sheetData>
      <sheetData sheetId="32"/>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Балман</v>
          </cell>
        </row>
        <row r="15">
          <cell r="D15" t="str">
            <v/>
          </cell>
        </row>
        <row r="16">
          <cell r="D16" t="str">
            <v>Код ОКТМО</v>
          </cell>
          <cell r="E16" t="str">
            <v>50630404101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993.3244101793224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2670.8833333333332</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495.19115178677998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71.986920000000012</v>
          </cell>
        </row>
        <row r="27">
          <cell r="F27">
            <v>2164.8316773434499</v>
          </cell>
        </row>
        <row r="28">
          <cell r="F28">
            <v>1662.6971408167815</v>
          </cell>
        </row>
        <row r="29">
          <cell r="F29">
            <v>502.13453652666817</v>
          </cell>
        </row>
        <row r="30">
          <cell r="F30">
            <v>2260.6454578372432</v>
          </cell>
        </row>
        <row r="33">
          <cell r="F33">
            <v>1464.582345557139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19.600000000000001</v>
          </cell>
        </row>
        <row r="19">
          <cell r="E19">
            <v>15.93</v>
          </cell>
        </row>
      </sheetData>
      <sheetData sheetId="29" refreshError="1"/>
      <sheetData sheetId="30">
        <row r="12">
          <cell r="F12">
            <v>82.225112155558293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Булатово</v>
          </cell>
        </row>
        <row r="15">
          <cell r="D15" t="str">
            <v/>
          </cell>
        </row>
        <row r="16">
          <cell r="D16" t="str">
            <v>Код ОКТМО</v>
          </cell>
          <cell r="E16" t="str">
            <v>50630407101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999.72960558445561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2688.1058333333335</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496.74220701810538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87.803490000000011</v>
          </cell>
        </row>
        <row r="27">
          <cell r="F27">
            <v>2164.8316773434499</v>
          </cell>
        </row>
        <row r="28">
          <cell r="F28">
            <v>1662.6971408167815</v>
          </cell>
        </row>
        <row r="29">
          <cell r="F29">
            <v>502.13453652666817</v>
          </cell>
        </row>
        <row r="30">
          <cell r="F30">
            <v>2271.0726979083597</v>
          </cell>
        </row>
        <row r="33">
          <cell r="F33">
            <v>1473.9164433841383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24.11</v>
          </cell>
        </row>
        <row r="19">
          <cell r="E19">
            <v>15.93</v>
          </cell>
        </row>
      </sheetData>
      <sheetData sheetId="29" refreshError="1"/>
      <sheetData sheetId="30">
        <row r="12">
          <cell r="F12">
            <v>82.384237168287456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Верх-Ича</v>
          </cell>
        </row>
        <row r="15">
          <cell r="D15" t="str">
            <v/>
          </cell>
        </row>
        <row r="16">
          <cell r="D16" t="str">
            <v>Код ОКТМО</v>
          </cell>
          <cell r="E16" t="str">
            <v>50630407101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999.72960558445561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2688.1058333333335</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497.85467854049892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103.76034</v>
          </cell>
        </row>
        <row r="27">
          <cell r="F27">
            <v>2164.8316773434499</v>
          </cell>
        </row>
        <row r="28">
          <cell r="F28">
            <v>1662.6971408167815</v>
          </cell>
        </row>
        <row r="29">
          <cell r="F29">
            <v>502.13453652666817</v>
          </cell>
        </row>
        <row r="30">
          <cell r="F30">
            <v>2272.1755354273696</v>
          </cell>
        </row>
        <row r="33">
          <cell r="F33">
            <v>1473.9164433841383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28.66</v>
          </cell>
        </row>
        <row r="19">
          <cell r="E19">
            <v>15.93</v>
          </cell>
        </row>
      </sheetData>
      <sheetData sheetId="29" refreshError="1"/>
      <sheetData sheetId="30">
        <row r="12">
          <cell r="F12">
            <v>82.406486598735341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Веснянка</v>
          </cell>
        </row>
        <row r="15">
          <cell r="D15" t="str">
            <v/>
          </cell>
        </row>
        <row r="16">
          <cell r="D16" t="str">
            <v>Код ОКТМО</v>
          </cell>
          <cell r="E16" t="str">
            <v>50630411101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999.72960558445561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2688.1058333333335</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497.58817437359585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99.93771000000001</v>
          </cell>
        </row>
        <row r="27">
          <cell r="F27">
            <v>2164.8316773434499</v>
          </cell>
        </row>
        <row r="28">
          <cell r="F28">
            <v>1662.6971408167815</v>
          </cell>
        </row>
        <row r="29">
          <cell r="F29">
            <v>502.13453652666817</v>
          </cell>
        </row>
        <row r="30">
          <cell r="F30">
            <v>2271.9113391865517</v>
          </cell>
        </row>
        <row r="33">
          <cell r="F33">
            <v>1473.9164433841383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27.57</v>
          </cell>
        </row>
        <row r="19">
          <cell r="E19">
            <v>15.93</v>
          </cell>
        </row>
      </sheetData>
      <sheetData sheetId="29" refreshError="1"/>
      <sheetData sheetId="30">
        <row r="12">
          <cell r="F12">
            <v>82.401156515397275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Гжатск</v>
          </cell>
        </row>
        <row r="15">
          <cell r="D15" t="str">
            <v/>
          </cell>
        </row>
        <row r="16">
          <cell r="D16" t="str">
            <v>Код ОКТМО</v>
          </cell>
          <cell r="E16" t="str">
            <v>50630413101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1000.9144443145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2691.291666666667</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496.70045111900606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86.014920000000018</v>
          </cell>
        </row>
        <row r="27">
          <cell r="F27">
            <v>2164.8316773434499</v>
          </cell>
        </row>
        <row r="28">
          <cell r="F28">
            <v>1662.6971408167815</v>
          </cell>
        </row>
        <row r="29">
          <cell r="F29">
            <v>502.13453652666817</v>
          </cell>
        </row>
        <row r="30">
          <cell r="F30">
            <v>2272.6757128526456</v>
          </cell>
        </row>
        <row r="33">
          <cell r="F33">
            <v>1475.6430730833022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23.6</v>
          </cell>
        </row>
        <row r="19">
          <cell r="E19">
            <v>15.93</v>
          </cell>
        </row>
      </sheetData>
      <sheetData sheetId="29" refreshError="1"/>
      <sheetData sheetId="30">
        <row r="12">
          <cell r="F12">
            <v>82.407098824906356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Горбуново</v>
          </cell>
        </row>
        <row r="15">
          <cell r="D15" t="str">
            <v/>
          </cell>
        </row>
        <row r="16">
          <cell r="D16" t="str">
            <v>Код ОКТМО</v>
          </cell>
          <cell r="E16" t="str">
            <v>50630416101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974.28269122198071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2619.6833333333334</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492.74086995265867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55.95993</v>
          </cell>
        </row>
        <row r="27">
          <cell r="F27">
            <v>2164.8316773434499</v>
          </cell>
        </row>
        <row r="28">
          <cell r="F28">
            <v>1662.6971408167815</v>
          </cell>
        </row>
        <row r="29">
          <cell r="F29">
            <v>502.13453652666817</v>
          </cell>
        </row>
        <row r="30">
          <cell r="F30">
            <v>2231.7888507041657</v>
          </cell>
        </row>
        <row r="33">
          <cell r="F33">
            <v>1436.8334235805173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15.03</v>
          </cell>
        </row>
        <row r="19">
          <cell r="E19">
            <v>15.93</v>
          </cell>
        </row>
      </sheetData>
      <sheetData sheetId="29" refreshError="1"/>
      <sheetData sheetId="30">
        <row r="12">
          <cell r="F12">
            <v>81.795272139729022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Зоново</v>
          </cell>
        </row>
        <row r="15">
          <cell r="D15" t="str">
            <v/>
          </cell>
        </row>
        <row r="16">
          <cell r="D16" t="str">
            <v>Код ОКТМО</v>
          </cell>
          <cell r="E16" t="str">
            <v>50630419101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973.78061464791028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2618.3333333333335</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493.23139794920917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63.499980000000001</v>
          </cell>
        </row>
        <row r="27">
          <cell r="F27">
            <v>2164.8316773434499</v>
          </cell>
        </row>
        <row r="28">
          <cell r="F28">
            <v>1662.6971408167815</v>
          </cell>
        </row>
        <row r="29">
          <cell r="F29">
            <v>502.13453652666817</v>
          </cell>
        </row>
        <row r="30">
          <cell r="F30">
            <v>2231.5783107009515</v>
          </cell>
        </row>
        <row r="33">
          <cell r="F33">
            <v>1436.1017625518371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17.18</v>
          </cell>
        </row>
        <row r="19">
          <cell r="E19">
            <v>15.93</v>
          </cell>
        </row>
      </sheetData>
      <sheetData sheetId="29" refreshError="1"/>
      <sheetData sheetId="30">
        <row r="12">
          <cell r="F12">
            <v>81.795041168178628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Кама</v>
          </cell>
        </row>
        <row r="15">
          <cell r="D15" t="str">
            <v/>
          </cell>
        </row>
        <row r="16">
          <cell r="D16" t="str">
            <v>Код ОКТМО</v>
          </cell>
          <cell r="E16" t="str">
            <v>50630422101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1000.9144443145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2691.291666666667</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497.63932818405914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99.481800000000007</v>
          </cell>
        </row>
        <row r="27">
          <cell r="F27">
            <v>2164.8316773434499</v>
          </cell>
        </row>
        <row r="28">
          <cell r="F28">
            <v>1662.6971408167815</v>
          </cell>
        </row>
        <row r="29">
          <cell r="F29">
            <v>502.13453652666817</v>
          </cell>
        </row>
        <row r="30">
          <cell r="F30">
            <v>2273.6064592423154</v>
          </cell>
        </row>
        <row r="33">
          <cell r="F33">
            <v>1475.6430730833022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27.44</v>
          </cell>
        </row>
        <row r="19">
          <cell r="E19">
            <v>15.93</v>
          </cell>
        </row>
      </sheetData>
      <sheetData sheetId="29" refreshError="1"/>
      <sheetData sheetId="30">
        <row r="12">
          <cell r="F12">
            <v>82.425876366207419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Комсомольский</v>
          </cell>
        </row>
        <row r="15">
          <cell r="D15" t="str">
            <v/>
          </cell>
        </row>
        <row r="16">
          <cell r="D16" t="str">
            <v>Код ОКТМО</v>
          </cell>
          <cell r="E16" t="str">
            <v>50630425101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1004.5994384291288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2701.2000000000003</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496.12954829803795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74.126190000000008</v>
          </cell>
        </row>
        <row r="27">
          <cell r="F27">
            <v>2164.8316773434499</v>
          </cell>
        </row>
        <row r="28">
          <cell r="F28">
            <v>1662.6971408167815</v>
          </cell>
        </row>
        <row r="29">
          <cell r="F29">
            <v>502.13453652666817</v>
          </cell>
        </row>
        <row r="30">
          <cell r="F30">
            <v>2277.2240689419418</v>
          </cell>
        </row>
        <row r="33">
          <cell r="F33">
            <v>1481.0131037197286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20.21</v>
          </cell>
        </row>
        <row r="19">
          <cell r="E19">
            <v>15.93</v>
          </cell>
        </row>
      </sheetData>
      <sheetData sheetId="29" refreshError="1"/>
      <sheetData sheetId="30">
        <row r="12">
          <cell r="F12">
            <v>82.46938065077957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Михайловка</v>
          </cell>
        </row>
        <row r="15">
          <cell r="D15" t="str">
            <v/>
          </cell>
        </row>
        <row r="16">
          <cell r="D16" t="str">
            <v>Код ОКТМО</v>
          </cell>
          <cell r="E16" t="str">
            <v>50630428101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989.20211356715424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2659.7991666666667</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495.01261567998915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73.565070000000006</v>
          </cell>
        </row>
        <row r="27">
          <cell r="F27">
            <v>2164.8316773434499</v>
          </cell>
        </row>
        <row r="28">
          <cell r="F28">
            <v>1662.6971408167815</v>
          </cell>
        </row>
        <row r="29">
          <cell r="F29">
            <v>502.13453652666817</v>
          </cell>
        </row>
        <row r="30">
          <cell r="F30">
            <v>2254.7472313202275</v>
          </cell>
        </row>
        <row r="33">
          <cell r="F33">
            <v>1458.5750471975839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20.05</v>
          </cell>
        </row>
        <row r="19">
          <cell r="E19">
            <v>15.93</v>
          </cell>
        </row>
      </sheetData>
      <sheetData sheetId="29" refreshError="1"/>
      <sheetData sheetId="30">
        <row r="12">
          <cell r="F12">
            <v>82.139095501179114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Новоичинское</v>
          </cell>
        </row>
        <row r="15">
          <cell r="D15" t="str">
            <v/>
          </cell>
        </row>
        <row r="16">
          <cell r="D16" t="str">
            <v>Код ОКТМО</v>
          </cell>
          <cell r="E16" t="str">
            <v>50630431101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995.23664009414676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2676.0250000000001</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497.11474228607511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97.658160000000009</v>
          </cell>
        </row>
        <row r="27">
          <cell r="F27">
            <v>2164.8316773434499</v>
          </cell>
        </row>
        <row r="28">
          <cell r="F28">
            <v>1662.6971408167815</v>
          </cell>
        </row>
        <row r="29">
          <cell r="F29">
            <v>502.13453652666817</v>
          </cell>
        </row>
        <row r="30">
          <cell r="F30">
            <v>2265.2063280480811</v>
          </cell>
        </row>
        <row r="33">
          <cell r="F33">
            <v>1467.3689804626692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26.92</v>
          </cell>
        </row>
        <row r="19">
          <cell r="E19">
            <v>15.93</v>
          </cell>
        </row>
      </sheetData>
      <sheetData sheetId="29" refreshError="1"/>
      <sheetData sheetId="30">
        <row r="12">
          <cell r="F12">
            <v>82.301828563840687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Нагорное</v>
          </cell>
        </row>
        <row r="15">
          <cell r="D15" t="str">
            <v/>
          </cell>
        </row>
        <row r="16">
          <cell r="D16" t="str">
            <v>Код ОКТМО</v>
          </cell>
          <cell r="E16" t="str">
            <v>50630434101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1417.5113880718404</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270.76109819265224</v>
          </cell>
        </row>
        <row r="29">
          <cell r="F29">
            <v>0.391761629</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refreshError="1"/>
      <sheetData sheetId="22">
        <row r="12">
          <cell r="F12">
            <v>338.99415932646599</v>
          </cell>
        </row>
        <row r="14">
          <cell r="F14">
            <v>4863.32688071333</v>
          </cell>
        </row>
        <row r="15">
          <cell r="F15">
            <v>0.2</v>
          </cell>
        </row>
        <row r="18">
          <cell r="F18">
            <v>15</v>
          </cell>
        </row>
        <row r="19">
          <cell r="F19">
            <v>2435.0508023655884</v>
          </cell>
        </row>
        <row r="20">
          <cell r="F20">
            <v>2.1999999999999999E-2</v>
          </cell>
        </row>
        <row r="21">
          <cell r="F21">
            <v>10</v>
          </cell>
        </row>
        <row r="22">
          <cell r="F22">
            <v>0.81228329457795678</v>
          </cell>
        </row>
        <row r="23">
          <cell r="F23">
            <v>3.0000000000000001E-3</v>
          </cell>
        </row>
        <row r="24">
          <cell r="F24">
            <v>270.76109819265224</v>
          </cell>
        </row>
      </sheetData>
      <sheetData sheetId="23">
        <row r="12">
          <cell r="F12" t="str">
            <v xml:space="preserve">Налоговый кодекс Российской Федерации </v>
          </cell>
        </row>
      </sheetData>
      <sheetData sheetId="24">
        <row r="12">
          <cell r="F12">
            <v>257.23587007769368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52.090409999999999</v>
          </cell>
        </row>
        <row r="27">
          <cell r="F27">
            <v>1516.5958922062039</v>
          </cell>
        </row>
        <row r="28">
          <cell r="F28">
            <v>1164.8201937067618</v>
          </cell>
        </row>
        <row r="29">
          <cell r="F29">
            <v>351.77569849944206</v>
          </cell>
        </row>
        <row r="30">
          <cell r="F30">
            <v>530.90305083777662</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26.36</v>
          </cell>
        </row>
        <row r="19">
          <cell r="E19">
            <v>15.93</v>
          </cell>
        </row>
      </sheetData>
      <sheetData sheetId="28" refreshError="1"/>
      <sheetData sheetId="29">
        <row r="12">
          <cell r="F12">
            <v>58.529942820102072</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Отрадное</v>
          </cell>
        </row>
        <row r="15">
          <cell r="D15" t="str">
            <v/>
          </cell>
        </row>
        <row r="16">
          <cell r="D16" t="str">
            <v>Код ОКТМО</v>
          </cell>
          <cell r="E16" t="str">
            <v>50630440101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974.89634036806706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2621.3333333333335</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495.27038261986121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91.62612</v>
          </cell>
        </row>
        <row r="27">
          <cell r="F27">
            <v>2164.8316773434499</v>
          </cell>
        </row>
        <row r="28">
          <cell r="F28">
            <v>1662.6971408167815</v>
          </cell>
        </row>
        <row r="29">
          <cell r="F29">
            <v>502.13453652666817</v>
          </cell>
        </row>
        <row r="30">
          <cell r="F30">
            <v>2235.1481267139443</v>
          </cell>
        </row>
        <row r="33">
          <cell r="F33">
            <v>1437.727675948905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25.2</v>
          </cell>
        </row>
        <row r="19">
          <cell r="E19">
            <v>15.93</v>
          </cell>
        </row>
      </sheetData>
      <sheetData sheetId="29" refreshError="1"/>
      <sheetData sheetId="30">
        <row r="12">
          <cell r="F12">
            <v>81.858135375994806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Сергино</v>
          </cell>
        </row>
        <row r="15">
          <cell r="D15" t="str">
            <v/>
          </cell>
        </row>
        <row r="16">
          <cell r="D16" t="str">
            <v>Код ОКТМО</v>
          </cell>
          <cell r="E16" t="str">
            <v>50630443101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1000.9144443145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2691.291666666667</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494.62465260799036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56.240490000000001</v>
          </cell>
        </row>
        <row r="27">
          <cell r="F27">
            <v>2164.8316773434499</v>
          </cell>
        </row>
        <row r="28">
          <cell r="F28">
            <v>1662.6971408167815</v>
          </cell>
        </row>
        <row r="29">
          <cell r="F29">
            <v>502.13453652666817</v>
          </cell>
        </row>
        <row r="30">
          <cell r="F30">
            <v>2270.6178907567355</v>
          </cell>
        </row>
        <row r="33">
          <cell r="F33">
            <v>1475.6430730833022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15.11</v>
          </cell>
        </row>
        <row r="19">
          <cell r="E19">
            <v>15.93</v>
          </cell>
        </row>
      </sheetData>
      <sheetData sheetId="29" refreshError="1"/>
      <sheetData sheetId="30">
        <row r="12">
          <cell r="F12">
            <v>82.365582854686039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Чумаково</v>
          </cell>
        </row>
        <row r="15">
          <cell r="D15" t="str">
            <v/>
          </cell>
        </row>
        <row r="16">
          <cell r="D16" t="str">
            <v>Код ОКТМО</v>
          </cell>
          <cell r="E16" t="str">
            <v>50630446101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1000.9144443145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2691.291666666667</v>
          </cell>
        </row>
      </sheetData>
      <sheetData sheetId="9" refreshError="1"/>
      <sheetData sheetId="10" refreshError="1"/>
      <sheetData sheetId="11"/>
      <sheetData sheetId="12" refreshError="1"/>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497.54397348213968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98.114070000000012</v>
          </cell>
        </row>
        <row r="27">
          <cell r="F27">
            <v>2164.8316773434499</v>
          </cell>
        </row>
        <row r="28">
          <cell r="F28">
            <v>1662.6971408167815</v>
          </cell>
        </row>
        <row r="29">
          <cell r="F29">
            <v>502.13453652666817</v>
          </cell>
        </row>
        <row r="30">
          <cell r="F30">
            <v>2273.5119303121146</v>
          </cell>
        </row>
        <row r="33">
          <cell r="F33">
            <v>1475.6430730833022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27.05</v>
          </cell>
        </row>
        <row r="19">
          <cell r="E19">
            <v>15.93</v>
          </cell>
        </row>
      </sheetData>
      <sheetData sheetId="29" refreshError="1"/>
      <sheetData sheetId="30">
        <row r="12">
          <cell r="F12">
            <v>82.423969272169032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Осиново</v>
          </cell>
        </row>
        <row r="15">
          <cell r="D15" t="str">
            <v/>
          </cell>
        </row>
        <row r="16">
          <cell r="D16" t="str">
            <v>Код ОКТМО</v>
          </cell>
          <cell r="E16" t="str">
            <v>50630431101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995.23664009414676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0">
          <cell r="I10" t="str">
            <v>информация с официального сайта единой информационной системы в сфере закупок</v>
          </cell>
        </row>
        <row r="11">
          <cell r="I11" t="str">
            <v>рыночные цены на топливо, сложившиеся на организованных торговых площадках, в т.ч. на биржах, функционирующих на территории РФ</v>
          </cell>
        </row>
        <row r="12">
          <cell r="I12" t="str">
            <v>рыночные цены на топливо, информация о которых предоставляется независимыми специализированными информационно-аналитическими организациями</v>
          </cell>
        </row>
        <row r="13">
          <cell r="E13" t="str">
            <v>уголь (вид угля не указан в топливном балансе)</v>
          </cell>
          <cell r="I13" t="str">
            <v>данные Федеральной службы государственной статистики</v>
          </cell>
        </row>
        <row r="16">
          <cell r="E16">
            <v>5100</v>
          </cell>
        </row>
        <row r="19">
          <cell r="E19">
            <v>0.59499999999999997</v>
          </cell>
          <cell r="F19" t="str">
            <v xml:space="preserve">Прогноз социально-экономического развития Российской Федерации на 2023 год и на плановый период 2024 и 2025 годов (размещен на официальном сайте Министерства экономического развития Российской Федерации (далее -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ell>
        </row>
        <row r="20">
          <cell r="E20">
            <v>-0.113</v>
          </cell>
          <cell r="F20" t="str">
            <v xml:space="preserve">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ell>
        </row>
        <row r="23">
          <cell r="E23" t="str">
            <v>данные Федеральной службы государственной статистики</v>
          </cell>
        </row>
        <row r="27">
          <cell r="E27">
            <v>2676.0250000000001</v>
          </cell>
        </row>
      </sheetData>
      <sheetData sheetId="9"/>
      <sheetData sheetId="10"/>
      <sheetData sheetId="11"/>
      <sheetData sheetId="12"/>
      <sheetData sheetId="13">
        <row r="12">
          <cell r="F12">
            <v>2116.2031761890698</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2274.3932248182782</v>
          </cell>
        </row>
        <row r="27">
          <cell r="F27">
            <v>0.391761629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cell r="F13" t="str">
            <v xml:space="preserve"> Приложение А (обязательное) "Общее сейсмическое районирование территории Российской Федерации ОСР-2015. Список населенных пунктов Российской Федерации, расположенных в сейсмических районах, с указанием расчетной сейсмической интенсивности в баллах шкалы MSK-64 для средних грунтовых условий и трех степеней сейсмической опасности - A (10%), B (5%), C (1%) в течение 50 лет" к своду правил "СП 14.13330.2018 Строительство в сейсмических районах. Актуализир. редакция СНиП II-7-81".</v>
          </cell>
        </row>
        <row r="14">
          <cell r="E14" t="str">
            <v>от 200 до 500</v>
          </cell>
          <cell r="F14" t="str">
            <v>Карта Российской Федерации в масштабе, позволяющем определить расстояние на транспортировку основных средств котельной, определяется как расстояние от границы системы теплоснабжения до границы ближайшего административного центра субъекта РФ с железнодорожным сообщением</v>
          </cell>
        </row>
        <row r="15">
          <cell r="E15" t="str">
            <v>нет</v>
          </cell>
        </row>
        <row r="19">
          <cell r="E19">
            <v>-38</v>
          </cell>
          <cell r="F19" t="str">
            <v>Схема теплоснабжения (расчетная температура наружного воздуха)</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row>
        <row r="15">
          <cell r="D15" t="str">
            <v>на 2020: Прогноз социально-экономического развития Российской Федерации на 2022 год и на плановый период 2023 и 2024 годов (размещен на официальном сайте Минэкономразвития России 30.09.2021): файл в формате Microsoft Excel «12. Дефляторы базовый», таблица «Прогноз индексов цен производителей и индексов-дефляторов по видам экономической деятельности, в % г/г (Базовый вариант)», отрасль «Промышленность (BСDE)», (показатель «ИЦП»)
на 2021-2023 годы:  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отрасль «Промышленность (BСDE)», (показатель «ИЦП»)</v>
          </cell>
        </row>
      </sheetData>
      <sheetData sheetId="21">
        <row r="11">
          <cell r="G11" t="str">
            <v>Информация с официального сайта Банка России</v>
          </cell>
        </row>
      </sheetData>
      <sheetData sheetId="22"/>
      <sheetData sheetId="23">
        <row r="12">
          <cell r="F12">
            <v>506.5368696227419</v>
          </cell>
        </row>
        <row r="14">
          <cell r="F14">
            <v>7051.1767451401192</v>
          </cell>
        </row>
        <row r="15">
          <cell r="F15">
            <v>0.2</v>
          </cell>
        </row>
        <row r="18">
          <cell r="F18">
            <v>15</v>
          </cell>
        </row>
        <row r="19">
          <cell r="F19">
            <v>3487.1555421534131</v>
          </cell>
        </row>
        <row r="20">
          <cell r="F20">
            <v>2.1999999999999999E-2</v>
          </cell>
        </row>
        <row r="21">
          <cell r="F21">
            <v>10</v>
          </cell>
        </row>
        <row r="22">
          <cell r="F22">
            <v>6.8231796744548348</v>
          </cell>
        </row>
        <row r="23">
          <cell r="F23">
            <v>3.0000000000000001E-3</v>
          </cell>
        </row>
        <row r="24">
          <cell r="F24">
            <v>2274.3932248182782</v>
          </cell>
        </row>
      </sheetData>
      <sheetData sheetId="24"/>
      <sheetData sheetId="25">
        <row r="12">
          <cell r="F12">
            <v>497.11474228607511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97.658160000000009</v>
          </cell>
        </row>
        <row r="27">
          <cell r="F27">
            <v>2164.8316773434499</v>
          </cell>
        </row>
        <row r="28">
          <cell r="F28">
            <v>1662.6971408167815</v>
          </cell>
        </row>
        <row r="29">
          <cell r="F29">
            <v>502.13453652666817</v>
          </cell>
        </row>
        <row r="30">
          <cell r="F30">
            <v>2265.2063280480811</v>
          </cell>
        </row>
        <row r="33">
          <cell r="F33">
            <v>1467.3689804626692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26.92</v>
          </cell>
        </row>
        <row r="19">
          <cell r="E19">
            <v>15.93</v>
          </cell>
        </row>
      </sheetData>
      <sheetData sheetId="29"/>
      <sheetData sheetId="30">
        <row r="12">
          <cell r="F12">
            <v>82.301828563840687</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4.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8" sqref="G8"/>
    </sheetView>
  </sheetViews>
  <sheetFormatPr defaultRowHeight="12.75"/>
  <cols>
    <col min="1" max="1" width="9.140625" style="2" customWidth="1"/>
    <col min="2" max="2" width="100.5703125" style="2" customWidth="1"/>
    <col min="3" max="3" width="20.85546875" style="7" customWidth="1"/>
    <col min="4" max="243" width="9.140625" style="2"/>
    <col min="244" max="244" width="3.570312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570312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570312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570312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570312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570312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570312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570312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570312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570312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570312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570312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570312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570312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570312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570312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570312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570312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570312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570312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570312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570312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570312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570312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570312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570312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570312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570312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570312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570312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570312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570312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570312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570312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570312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570312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570312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570312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570312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570312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570312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570312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570312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570312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570312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570312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570312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570312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570312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570312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570312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570312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570312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570312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570312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570312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570312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570312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570312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570312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570312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570312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570312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[5]И1!D13</f>
        <v>Субъект Российской Федерации</v>
      </c>
      <c r="C4" s="10" t="str">
        <f>[5]И1!E13</f>
        <v>Новосибирская область</v>
      </c>
    </row>
    <row r="5" spans="1:3">
      <c r="A5" s="8"/>
      <c r="B5" s="9" t="str">
        <f>[5]И1!D14</f>
        <v>Тип муниципального образования (выберите из списка)</v>
      </c>
      <c r="C5" s="10" t="str">
        <f>[5]И1!E14</f>
        <v>село Абрамово</v>
      </c>
    </row>
    <row r="6" spans="1:3">
      <c r="A6" s="8"/>
      <c r="B6" s="9" t="str">
        <f>IF([5]И1!E15="","",[5]И1!D15)</f>
        <v/>
      </c>
      <c r="C6" s="10" t="str">
        <f>IF([5]И1!E15="","",[5]И1!E15)</f>
        <v/>
      </c>
    </row>
    <row r="7" spans="1:3">
      <c r="A7" s="8"/>
      <c r="B7" s="9" t="str">
        <f>[5]И1!D16</f>
        <v>Код ОКТМО</v>
      </c>
      <c r="C7" s="11" t="str">
        <f>[5]И1!E16</f>
        <v>50630402101</v>
      </c>
    </row>
    <row r="8" spans="1:3">
      <c r="A8" s="8"/>
      <c r="B8" s="12" t="str">
        <f>[5]И1!D17</f>
        <v>Система теплоснабжения</v>
      </c>
      <c r="C8" s="13">
        <f>[5]И1!E17</f>
        <v>0</v>
      </c>
    </row>
    <row r="9" spans="1:3">
      <c r="A9" s="8"/>
      <c r="B9" s="9" t="str">
        <f>[5]И1!D8</f>
        <v>Период регулирования (i)-й</v>
      </c>
      <c r="C9" s="14">
        <f>[5]И1!E8</f>
        <v>2023</v>
      </c>
    </row>
    <row r="10" spans="1:3">
      <c r="A10" s="8"/>
      <c r="B10" s="9" t="str">
        <f>[5]И1!D9</f>
        <v>Период регулирования (i-1)-й</v>
      </c>
      <c r="C10" s="14">
        <f>[5]И1!E9</f>
        <v>2022</v>
      </c>
    </row>
    <row r="11" spans="1:3">
      <c r="A11" s="8"/>
      <c r="B11" s="9" t="str">
        <f>[5]И1!D10</f>
        <v>Период регулирования (i-2)-й</v>
      </c>
      <c r="C11" s="14">
        <f>[5]И1!E10</f>
        <v>2021</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4188.8922035424539</v>
      </c>
    </row>
    <row r="18" spans="1:3" ht="42.75">
      <c r="A18" s="22" t="s">
        <v>8</v>
      </c>
      <c r="B18" s="25" t="s">
        <v>9</v>
      </c>
      <c r="C18" s="26">
        <f>[5]С1!F12</f>
        <v>989.20242349096554</v>
      </c>
    </row>
    <row r="19" spans="1:3" ht="42.75">
      <c r="A19" s="22" t="s">
        <v>10</v>
      </c>
      <c r="B19" s="25" t="s">
        <v>11</v>
      </c>
      <c r="C19" s="26">
        <f>[5]С2!F12</f>
        <v>2116.2031761890698</v>
      </c>
    </row>
    <row r="20" spans="1:3" ht="30">
      <c r="A20" s="22" t="s">
        <v>12</v>
      </c>
      <c r="B20" s="25" t="s">
        <v>13</v>
      </c>
      <c r="C20" s="26">
        <f>[5]С3!F12</f>
        <v>506.5368696227419</v>
      </c>
    </row>
    <row r="21" spans="1:3" ht="42.75">
      <c r="A21" s="22" t="s">
        <v>14</v>
      </c>
      <c r="B21" s="25" t="s">
        <v>15</v>
      </c>
      <c r="C21" s="26">
        <f>[5]С4!F12</f>
        <v>494.81459299374637</v>
      </c>
    </row>
    <row r="22" spans="1:3" ht="30">
      <c r="A22" s="22" t="s">
        <v>16</v>
      </c>
      <c r="B22" s="25" t="s">
        <v>17</v>
      </c>
      <c r="C22" s="26">
        <f>[5]С5!F12</f>
        <v>82.13514124593047</v>
      </c>
    </row>
    <row r="23" spans="1:3" ht="43.5" thickBot="1">
      <c r="A23" s="27" t="s">
        <v>18</v>
      </c>
      <c r="B23" s="28" t="s">
        <v>19</v>
      </c>
      <c r="C23" s="29" t="str">
        <f>[5]С6!F12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[5]С1.1!E16</f>
        <v>5100</v>
      </c>
    </row>
    <row r="29" spans="1:3" ht="42.75">
      <c r="A29" s="22" t="s">
        <v>10</v>
      </c>
      <c r="B29" s="34" t="s">
        <v>22</v>
      </c>
      <c r="C29" s="35">
        <f>[5]С1.1!E27</f>
        <v>2659.8</v>
      </c>
    </row>
    <row r="30" spans="1:3" ht="17.25">
      <c r="A30" s="22" t="s">
        <v>12</v>
      </c>
      <c r="B30" s="34" t="s">
        <v>23</v>
      </c>
      <c r="C30" s="36">
        <f>[5]С1.1!E19</f>
        <v>0.59499999999999997</v>
      </c>
    </row>
    <row r="31" spans="1:3" ht="17.25">
      <c r="A31" s="22" t="s">
        <v>14</v>
      </c>
      <c r="B31" s="34" t="s">
        <v>24</v>
      </c>
      <c r="C31" s="36">
        <f>[5]С1.1!E20</f>
        <v>-0.113</v>
      </c>
    </row>
    <row r="32" spans="1:3" ht="30">
      <c r="A32" s="22" t="s">
        <v>16</v>
      </c>
      <c r="B32" s="37" t="s">
        <v>25</v>
      </c>
      <c r="C32" s="38">
        <f>[5]С1!F13</f>
        <v>176.4</v>
      </c>
    </row>
    <row r="33" spans="1:3">
      <c r="A33" s="22" t="s">
        <v>18</v>
      </c>
      <c r="B33" s="37" t="s">
        <v>26</v>
      </c>
      <c r="C33" s="39">
        <f>[5]С1!F16</f>
        <v>7000</v>
      </c>
    </row>
    <row r="34" spans="1:3" ht="14.25">
      <c r="A34" s="22" t="s">
        <v>27</v>
      </c>
      <c r="B34" s="40" t="s">
        <v>28</v>
      </c>
      <c r="C34" s="41">
        <f>[5]С1!F17</f>
        <v>0.72857142857142854</v>
      </c>
    </row>
    <row r="35" spans="1:3" ht="15.75">
      <c r="A35" s="42" t="s">
        <v>29</v>
      </c>
      <c r="B35" s="43" t="s">
        <v>30</v>
      </c>
      <c r="C35" s="41">
        <f>[5]С1!F20</f>
        <v>21.588411179999994</v>
      </c>
    </row>
    <row r="36" spans="1:3" ht="15.75">
      <c r="A36" s="42" t="s">
        <v>31</v>
      </c>
      <c r="B36" s="44" t="s">
        <v>32</v>
      </c>
      <c r="C36" s="41">
        <f>[5]С1!F21</f>
        <v>20.818139999999996</v>
      </c>
    </row>
    <row r="37" spans="1:3" ht="14.25">
      <c r="A37" s="42" t="s">
        <v>33</v>
      </c>
      <c r="B37" s="45" t="s">
        <v>34</v>
      </c>
      <c r="C37" s="41">
        <f>[5]С1!F22</f>
        <v>1.0369999999999999</v>
      </c>
    </row>
    <row r="38" spans="1:3" ht="53.25" thickBot="1">
      <c r="A38" s="27" t="s">
        <v>35</v>
      </c>
      <c r="B38" s="46" t="s">
        <v>36</v>
      </c>
      <c r="C38" s="47">
        <f>[5]С1!F23</f>
        <v>1.0469999999999999</v>
      </c>
    </row>
    <row r="39" spans="1:3" ht="13.5" thickBot="1">
      <c r="A39" s="48"/>
      <c r="B39" s="49"/>
      <c r="C39" s="50"/>
    </row>
    <row r="40" spans="1:3" ht="30" customHeight="1">
      <c r="A40" s="51" t="s">
        <v>37</v>
      </c>
      <c r="B40" s="142" t="s">
        <v>38</v>
      </c>
      <c r="C40" s="142"/>
    </row>
    <row r="41" spans="1:3" ht="25.5">
      <c r="A41" s="22" t="s">
        <v>39</v>
      </c>
      <c r="B41" s="37" t="s">
        <v>40</v>
      </c>
      <c r="C41" s="52" t="str">
        <f>[5]С2.1!E12</f>
        <v>V</v>
      </c>
    </row>
    <row r="42" spans="1:3" ht="25.5">
      <c r="A42" s="22" t="s">
        <v>41</v>
      </c>
      <c r="B42" s="34" t="s">
        <v>42</v>
      </c>
      <c r="C42" s="52" t="str">
        <f>[5]С2.1!E13</f>
        <v>6 и менее баллов</v>
      </c>
    </row>
    <row r="43" spans="1:3" ht="25.5">
      <c r="A43" s="22" t="s">
        <v>43</v>
      </c>
      <c r="B43" s="34" t="s">
        <v>44</v>
      </c>
      <c r="C43" s="52" t="str">
        <f>[5]С2.1!E14</f>
        <v>от 200 до 500</v>
      </c>
    </row>
    <row r="44" spans="1:3" ht="25.5">
      <c r="A44" s="22" t="s">
        <v>45</v>
      </c>
      <c r="B44" s="34" t="s">
        <v>46</v>
      </c>
      <c r="C44" s="53" t="str">
        <f>[5]С2.1!E15</f>
        <v>нет</v>
      </c>
    </row>
    <row r="45" spans="1:3" ht="30">
      <c r="A45" s="22" t="s">
        <v>47</v>
      </c>
      <c r="B45" s="34" t="s">
        <v>48</v>
      </c>
      <c r="C45" s="35">
        <f>[5]С2!F18</f>
        <v>32402.627334033532</v>
      </c>
    </row>
    <row r="46" spans="1:3" ht="30">
      <c r="A46" s="22" t="s">
        <v>49</v>
      </c>
      <c r="B46" s="54" t="s">
        <v>50</v>
      </c>
      <c r="C46" s="35">
        <f>IF([5]С2!F19&gt;0,[5]С2!F19,[5]С2!F20)</f>
        <v>23441.524932855718</v>
      </c>
    </row>
    <row r="47" spans="1:3" ht="25.5">
      <c r="A47" s="22" t="s">
        <v>51</v>
      </c>
      <c r="B47" s="55" t="s">
        <v>52</v>
      </c>
      <c r="C47" s="35">
        <f>[5]С2.1!E19</f>
        <v>-38</v>
      </c>
    </row>
    <row r="48" spans="1:3" ht="25.5">
      <c r="A48" s="22" t="s">
        <v>53</v>
      </c>
      <c r="B48" s="55" t="s">
        <v>54</v>
      </c>
      <c r="C48" s="35" t="str">
        <f>[5]С2.1!E22</f>
        <v>нет</v>
      </c>
    </row>
    <row r="49" spans="1:3" ht="38.25">
      <c r="A49" s="22" t="s">
        <v>55</v>
      </c>
      <c r="B49" s="56" t="s">
        <v>56</v>
      </c>
      <c r="C49" s="35">
        <f>[5]С2.2!E10</f>
        <v>1287</v>
      </c>
    </row>
    <row r="50" spans="1:3" ht="25.5">
      <c r="A50" s="22" t="s">
        <v>57</v>
      </c>
      <c r="B50" s="57" t="s">
        <v>58</v>
      </c>
      <c r="C50" s="35">
        <f>[5]С2.2!E12</f>
        <v>5.97</v>
      </c>
    </row>
    <row r="51" spans="1:3" ht="52.5">
      <c r="A51" s="22" t="s">
        <v>59</v>
      </c>
      <c r="B51" s="58" t="s">
        <v>60</v>
      </c>
      <c r="C51" s="35">
        <f>[5]С2.2!E13</f>
        <v>1</v>
      </c>
    </row>
    <row r="52" spans="1:3" ht="27.75">
      <c r="A52" s="22" t="s">
        <v>61</v>
      </c>
      <c r="B52" s="57" t="s">
        <v>62</v>
      </c>
      <c r="C52" s="35">
        <f>[5]С2.2!E14</f>
        <v>12104</v>
      </c>
    </row>
    <row r="53" spans="1:3" ht="25.5">
      <c r="A53" s="22" t="s">
        <v>63</v>
      </c>
      <c r="B53" s="58" t="s">
        <v>64</v>
      </c>
      <c r="C53" s="36">
        <f>[5]С2.2!E15</f>
        <v>4.8000000000000001E-2</v>
      </c>
    </row>
    <row r="54" spans="1:3">
      <c r="A54" s="22" t="s">
        <v>65</v>
      </c>
      <c r="B54" s="58" t="s">
        <v>66</v>
      </c>
      <c r="C54" s="35">
        <f>[5]С2.2!E16</f>
        <v>1</v>
      </c>
    </row>
    <row r="55" spans="1:3" ht="15.75">
      <c r="A55" s="22" t="s">
        <v>67</v>
      </c>
      <c r="B55" s="59" t="s">
        <v>68</v>
      </c>
      <c r="C55" s="35">
        <f>[5]С2!F21</f>
        <v>1</v>
      </c>
    </row>
    <row r="56" spans="1:3" ht="30">
      <c r="A56" s="60" t="s">
        <v>69</v>
      </c>
      <c r="B56" s="34" t="s">
        <v>70</v>
      </c>
      <c r="C56" s="35">
        <f>[5]С2!F13</f>
        <v>169640.22915965237</v>
      </c>
    </row>
    <row r="57" spans="1:3" ht="30">
      <c r="A57" s="60" t="s">
        <v>71</v>
      </c>
      <c r="B57" s="59" t="s">
        <v>72</v>
      </c>
      <c r="C57" s="35">
        <f>[5]С2!F14</f>
        <v>113455</v>
      </c>
    </row>
    <row r="58" spans="1:3" ht="15.75">
      <c r="A58" s="60" t="s">
        <v>73</v>
      </c>
      <c r="B58" s="61" t="s">
        <v>74</v>
      </c>
      <c r="C58" s="41">
        <f>[5]С2!F15</f>
        <v>1.071</v>
      </c>
    </row>
    <row r="59" spans="1:3" ht="15.75">
      <c r="A59" s="60" t="s">
        <v>75</v>
      </c>
      <c r="B59" s="61" t="s">
        <v>76</v>
      </c>
      <c r="C59" s="41">
        <f>[5]С2!F16</f>
        <v>1</v>
      </c>
    </row>
    <row r="60" spans="1:3" ht="17.25">
      <c r="A60" s="60" t="s">
        <v>77</v>
      </c>
      <c r="B60" s="59" t="s">
        <v>78</v>
      </c>
      <c r="C60" s="35">
        <f>[5]С2!F17</f>
        <v>1.01</v>
      </c>
    </row>
    <row r="61" spans="1:3" s="64" customFormat="1" ht="14.25">
      <c r="A61" s="60" t="s">
        <v>79</v>
      </c>
      <c r="B61" s="62" t="s">
        <v>80</v>
      </c>
      <c r="C61" s="63">
        <f>[5]С2!F33</f>
        <v>10</v>
      </c>
    </row>
    <row r="62" spans="1:3" ht="30">
      <c r="A62" s="60" t="s">
        <v>81</v>
      </c>
      <c r="B62" s="65" t="s">
        <v>82</v>
      </c>
      <c r="C62" s="35">
        <f>[5]С2!F26</f>
        <v>2274.3932248182782</v>
      </c>
    </row>
    <row r="63" spans="1:3" ht="17.25">
      <c r="A63" s="60" t="s">
        <v>83</v>
      </c>
      <c r="B63" s="54" t="s">
        <v>84</v>
      </c>
      <c r="C63" s="35">
        <f>[5]С2!F27</f>
        <v>0.391761629</v>
      </c>
    </row>
    <row r="64" spans="1:3" ht="17.25">
      <c r="A64" s="60" t="s">
        <v>85</v>
      </c>
      <c r="B64" s="59" t="s">
        <v>86</v>
      </c>
      <c r="C64" s="63">
        <f>[5]С2!F28</f>
        <v>4200</v>
      </c>
    </row>
    <row r="65" spans="1:3" ht="42.75">
      <c r="A65" s="60" t="s">
        <v>87</v>
      </c>
      <c r="B65" s="34" t="s">
        <v>88</v>
      </c>
      <c r="C65" s="35">
        <f>[5]С2!F22</f>
        <v>35717.748653137714</v>
      </c>
    </row>
    <row r="66" spans="1:3" ht="30">
      <c r="A66" s="60" t="s">
        <v>89</v>
      </c>
      <c r="B66" s="61" t="s">
        <v>90</v>
      </c>
      <c r="C66" s="35">
        <f>[5]С2!F23</f>
        <v>1990</v>
      </c>
    </row>
    <row r="67" spans="1:3" ht="30">
      <c r="A67" s="60" t="s">
        <v>91</v>
      </c>
      <c r="B67" s="54" t="s">
        <v>92</v>
      </c>
      <c r="C67" s="35">
        <f>[5]С2.1!E27</f>
        <v>14307.876789999998</v>
      </c>
    </row>
    <row r="68" spans="1:3" ht="38.25">
      <c r="A68" s="60" t="s">
        <v>93</v>
      </c>
      <c r="B68" s="66" t="s">
        <v>94</v>
      </c>
      <c r="C68" s="53">
        <f>[5]С2.3!E21</f>
        <v>0</v>
      </c>
    </row>
    <row r="69" spans="1:3" ht="25.5">
      <c r="A69" s="60" t="s">
        <v>95</v>
      </c>
      <c r="B69" s="67" t="s">
        <v>96</v>
      </c>
      <c r="C69" s="68">
        <f>[5]С2.3!E11</f>
        <v>9.89</v>
      </c>
    </row>
    <row r="70" spans="1:3" ht="25.5">
      <c r="A70" s="60" t="s">
        <v>97</v>
      </c>
      <c r="B70" s="67" t="s">
        <v>98</v>
      </c>
      <c r="C70" s="63">
        <f>[5]С2.3!E13</f>
        <v>300</v>
      </c>
    </row>
    <row r="71" spans="1:3" ht="25.5">
      <c r="A71" s="60" t="s">
        <v>99</v>
      </c>
      <c r="B71" s="66" t="s">
        <v>100</v>
      </c>
      <c r="C71" s="69">
        <f>IF([5]С2.3!E22&gt;0,[5]С2.3!E22,[5]С2.3!E14)</f>
        <v>61211</v>
      </c>
    </row>
    <row r="72" spans="1:3" ht="38.25">
      <c r="A72" s="60" t="s">
        <v>101</v>
      </c>
      <c r="B72" s="66" t="s">
        <v>102</v>
      </c>
      <c r="C72" s="69">
        <f>IF([5]С2.3!E23&gt;0,[5]С2.3!E23,[5]С2.3!E15)</f>
        <v>45675</v>
      </c>
    </row>
    <row r="73" spans="1:3" ht="30">
      <c r="A73" s="60" t="s">
        <v>103</v>
      </c>
      <c r="B73" s="54" t="s">
        <v>104</v>
      </c>
      <c r="C73" s="35">
        <f>[5]С2.1!E28</f>
        <v>9541.9567200000001</v>
      </c>
    </row>
    <row r="74" spans="1:3" ht="38.25">
      <c r="A74" s="60" t="s">
        <v>105</v>
      </c>
      <c r="B74" s="66" t="s">
        <v>106</v>
      </c>
      <c r="C74" s="53">
        <f>[5]С2.3!E25</f>
        <v>0</v>
      </c>
    </row>
    <row r="75" spans="1:3" ht="25.5">
      <c r="A75" s="60" t="s">
        <v>107</v>
      </c>
      <c r="B75" s="67" t="s">
        <v>108</v>
      </c>
      <c r="C75" s="68">
        <f>[5]С2.3!E12</f>
        <v>0.56000000000000005</v>
      </c>
    </row>
    <row r="76" spans="1:3" ht="25.5">
      <c r="A76" s="60" t="s">
        <v>109</v>
      </c>
      <c r="B76" s="67" t="s">
        <v>98</v>
      </c>
      <c r="C76" s="63">
        <f>[5]С2.3!E13</f>
        <v>300</v>
      </c>
    </row>
    <row r="77" spans="1:3" ht="25.5">
      <c r="A77" s="60" t="s">
        <v>110</v>
      </c>
      <c r="B77" s="70" t="s">
        <v>111</v>
      </c>
      <c r="C77" s="69">
        <f>IF([5]С2.3!E26&gt;0,[5]С2.3!E26,[5]С2.3!E16)</f>
        <v>65637</v>
      </c>
    </row>
    <row r="78" spans="1:3" ht="38.25">
      <c r="A78" s="60" t="s">
        <v>112</v>
      </c>
      <c r="B78" s="70" t="s">
        <v>113</v>
      </c>
      <c r="C78" s="69">
        <f>IF([5]С2.3!E27&gt;0,[5]С2.3!E27,[5]С2.3!E17)</f>
        <v>31684</v>
      </c>
    </row>
    <row r="79" spans="1:3" ht="17.25">
      <c r="A79" s="60" t="s">
        <v>114</v>
      </c>
      <c r="B79" s="34" t="s">
        <v>115</v>
      </c>
      <c r="C79" s="36">
        <f>[5]С2!F29</f>
        <v>0.128978033685065</v>
      </c>
    </row>
    <row r="80" spans="1:3" ht="30">
      <c r="A80" s="60" t="s">
        <v>116</v>
      </c>
      <c r="B80" s="54" t="s">
        <v>117</v>
      </c>
      <c r="C80" s="71">
        <f>[5]С2!F30</f>
        <v>0.11668498168498169</v>
      </c>
    </row>
    <row r="81" spans="1:3" ht="17.25">
      <c r="A81" s="60" t="s">
        <v>118</v>
      </c>
      <c r="B81" s="72" t="s">
        <v>119</v>
      </c>
      <c r="C81" s="36">
        <f>[5]С2!F31</f>
        <v>0.13880000000000001</v>
      </c>
    </row>
    <row r="82" spans="1:3" s="64" customFormat="1" ht="18" thickBot="1">
      <c r="A82" s="73" t="s">
        <v>120</v>
      </c>
      <c r="B82" s="74" t="s">
        <v>121</v>
      </c>
      <c r="C82" s="75">
        <f>[5]С2!F32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[5]С3!F14</f>
        <v>7051.1767451401192</v>
      </c>
    </row>
    <row r="86" spans="1:3" s="64" customFormat="1" ht="42.75">
      <c r="A86" s="78" t="s">
        <v>126</v>
      </c>
      <c r="B86" s="54" t="s">
        <v>127</v>
      </c>
      <c r="C86" s="79">
        <f>[5]С3!F15</f>
        <v>0.2</v>
      </c>
    </row>
    <row r="87" spans="1:3" s="64" customFormat="1" ht="14.25">
      <c r="A87" s="78" t="s">
        <v>128</v>
      </c>
      <c r="B87" s="80" t="s">
        <v>129</v>
      </c>
      <c r="C87" s="63">
        <f>[5]С3!F18</f>
        <v>15</v>
      </c>
    </row>
    <row r="88" spans="1:3" s="64" customFormat="1" ht="17.25">
      <c r="A88" s="78" t="s">
        <v>130</v>
      </c>
      <c r="B88" s="34" t="s">
        <v>131</v>
      </c>
      <c r="C88" s="35">
        <f>[5]С3!F19</f>
        <v>3487.1555421534131</v>
      </c>
    </row>
    <row r="89" spans="1:3" s="64" customFormat="1" ht="55.5">
      <c r="A89" s="78" t="s">
        <v>132</v>
      </c>
      <c r="B89" s="54" t="s">
        <v>133</v>
      </c>
      <c r="C89" s="81">
        <f>[5]С3!F20</f>
        <v>2.1999999999999999E-2</v>
      </c>
    </row>
    <row r="90" spans="1:3" s="64" customFormat="1" ht="14.25">
      <c r="A90" s="78" t="s">
        <v>134</v>
      </c>
      <c r="B90" s="59" t="s">
        <v>80</v>
      </c>
      <c r="C90" s="63">
        <f>[5]С3!F21</f>
        <v>10</v>
      </c>
    </row>
    <row r="91" spans="1:3" s="64" customFormat="1" ht="17.25">
      <c r="A91" s="78" t="s">
        <v>135</v>
      </c>
      <c r="B91" s="34" t="s">
        <v>136</v>
      </c>
      <c r="C91" s="35">
        <f>[5]С3!F22</f>
        <v>6.8231796744548348</v>
      </c>
    </row>
    <row r="92" spans="1:3" s="64" customFormat="1" ht="55.5">
      <c r="A92" s="78" t="s">
        <v>137</v>
      </c>
      <c r="B92" s="54" t="s">
        <v>138</v>
      </c>
      <c r="C92" s="81">
        <f>[5]С3!F23</f>
        <v>3.0000000000000001E-3</v>
      </c>
    </row>
    <row r="93" spans="1:3" s="64" customFormat="1" ht="27.75" thickBot="1">
      <c r="A93" s="82" t="s">
        <v>139</v>
      </c>
      <c r="B93" s="83" t="s">
        <v>140</v>
      </c>
      <c r="C93" s="84">
        <f>[5]С3!F24</f>
        <v>2274.3932248182782</v>
      </c>
    </row>
    <row r="94" spans="1:3" ht="13.5" thickBot="1">
      <c r="A94" s="48"/>
      <c r="B94" s="76"/>
      <c r="C94" s="15"/>
    </row>
    <row r="95" spans="1:3" ht="30" customHeight="1">
      <c r="A95" s="85" t="s">
        <v>141</v>
      </c>
      <c r="B95" s="142" t="s">
        <v>142</v>
      </c>
      <c r="C95" s="142"/>
    </row>
    <row r="96" spans="1:3" ht="30">
      <c r="A96" s="60" t="s">
        <v>143</v>
      </c>
      <c r="B96" s="34" t="s">
        <v>144</v>
      </c>
      <c r="C96" s="35">
        <f>[5]С4!F16</f>
        <v>1652.5</v>
      </c>
    </row>
    <row r="97" spans="1:3" ht="30">
      <c r="A97" s="60" t="s">
        <v>145</v>
      </c>
      <c r="B97" s="59" t="s">
        <v>146</v>
      </c>
      <c r="C97" s="35">
        <f>[5]С4!F17</f>
        <v>73547</v>
      </c>
    </row>
    <row r="98" spans="1:3" ht="17.25">
      <c r="A98" s="60" t="s">
        <v>147</v>
      </c>
      <c r="B98" s="59" t="s">
        <v>148</v>
      </c>
      <c r="C98" s="41">
        <f>[5]С4!F18</f>
        <v>0.02</v>
      </c>
    </row>
    <row r="99" spans="1:3" ht="30">
      <c r="A99" s="60" t="s">
        <v>149</v>
      </c>
      <c r="B99" s="59" t="s">
        <v>150</v>
      </c>
      <c r="C99" s="35">
        <f>[5]С4!F19</f>
        <v>12104</v>
      </c>
    </row>
    <row r="100" spans="1:3" ht="31.5">
      <c r="A100" s="60" t="s">
        <v>151</v>
      </c>
      <c r="B100" s="59" t="s">
        <v>152</v>
      </c>
      <c r="C100" s="41">
        <f>[5]С4!F20</f>
        <v>1.4999999999999999E-2</v>
      </c>
    </row>
    <row r="101" spans="1:3" ht="30">
      <c r="A101" s="60" t="s">
        <v>153</v>
      </c>
      <c r="B101" s="34" t="s">
        <v>154</v>
      </c>
      <c r="C101" s="35">
        <f>[5]С4!F21</f>
        <v>1933.1949342509995</v>
      </c>
    </row>
    <row r="102" spans="1:3" ht="24" customHeight="1">
      <c r="A102" s="60" t="s">
        <v>155</v>
      </c>
      <c r="B102" s="54" t="s">
        <v>156</v>
      </c>
      <c r="C102" s="86">
        <f>IF([5]С4.2!F8="да",[5]С4.2!D21,[5]С4.2!D15)</f>
        <v>0</v>
      </c>
    </row>
    <row r="103" spans="1:3" ht="68.25">
      <c r="A103" s="60" t="s">
        <v>157</v>
      </c>
      <c r="B103" s="54" t="s">
        <v>158</v>
      </c>
      <c r="C103" s="35">
        <f>[5]С4!F22</f>
        <v>3.6112641666666665</v>
      </c>
    </row>
    <row r="104" spans="1:3" ht="30">
      <c r="A104" s="60" t="s">
        <v>159</v>
      </c>
      <c r="B104" s="59" t="s">
        <v>160</v>
      </c>
      <c r="C104" s="35">
        <f>[5]С4!F23</f>
        <v>180</v>
      </c>
    </row>
    <row r="105" spans="1:3" ht="14.25">
      <c r="A105" s="60" t="s">
        <v>161</v>
      </c>
      <c r="B105" s="54" t="s">
        <v>162</v>
      </c>
      <c r="C105" s="35">
        <f>[5]С4!F24</f>
        <v>8497.1999999999989</v>
      </c>
    </row>
    <row r="106" spans="1:3" ht="14.25">
      <c r="A106" s="60" t="s">
        <v>163</v>
      </c>
      <c r="B106" s="59" t="s">
        <v>164</v>
      </c>
      <c r="C106" s="41">
        <f>[5]С4!F25</f>
        <v>0.35</v>
      </c>
    </row>
    <row r="107" spans="1:3" ht="17.25">
      <c r="A107" s="60" t="s">
        <v>165</v>
      </c>
      <c r="B107" s="34" t="s">
        <v>166</v>
      </c>
      <c r="C107" s="35">
        <f>[5]С4!F26</f>
        <v>70.724399999999989</v>
      </c>
    </row>
    <row r="108" spans="1:3" ht="25.5">
      <c r="A108" s="60" t="s">
        <v>167</v>
      </c>
      <c r="B108" s="54" t="s">
        <v>94</v>
      </c>
      <c r="C108" s="86">
        <f>[5]С4.3!E16</f>
        <v>0</v>
      </c>
    </row>
    <row r="109" spans="1:3" ht="25.5">
      <c r="A109" s="60" t="s">
        <v>168</v>
      </c>
      <c r="B109" s="54" t="s">
        <v>169</v>
      </c>
      <c r="C109" s="35">
        <f>[5]С4.3!E17</f>
        <v>19.239999999999998</v>
      </c>
    </row>
    <row r="110" spans="1:3" ht="38.25">
      <c r="A110" s="60" t="s">
        <v>170</v>
      </c>
      <c r="B110" s="54" t="s">
        <v>106</v>
      </c>
      <c r="C110" s="86">
        <f>[5]С4.3!E18</f>
        <v>0</v>
      </c>
    </row>
    <row r="111" spans="1:3">
      <c r="A111" s="60" t="s">
        <v>171</v>
      </c>
      <c r="B111" s="54" t="s">
        <v>172</v>
      </c>
      <c r="C111" s="35">
        <f>[5]С4.3!E19</f>
        <v>15.93</v>
      </c>
    </row>
    <row r="112" spans="1:3">
      <c r="A112" s="60" t="s">
        <v>173</v>
      </c>
      <c r="B112" s="59" t="s">
        <v>174</v>
      </c>
      <c r="C112" s="35">
        <f>[5]С4.3!E11</f>
        <v>1871</v>
      </c>
    </row>
    <row r="113" spans="1:3">
      <c r="A113" s="60" t="s">
        <v>175</v>
      </c>
      <c r="B113" s="59" t="s">
        <v>176</v>
      </c>
      <c r="C113" s="53">
        <f>[5]С4.3!E12</f>
        <v>1636</v>
      </c>
    </row>
    <row r="114" spans="1:3">
      <c r="A114" s="60" t="s">
        <v>177</v>
      </c>
      <c r="B114" s="59" t="s">
        <v>178</v>
      </c>
      <c r="C114" s="53">
        <f>[5]С4.3!E13</f>
        <v>204</v>
      </c>
    </row>
    <row r="115" spans="1:3" ht="30">
      <c r="A115" s="60" t="s">
        <v>179</v>
      </c>
      <c r="B115" s="34" t="s">
        <v>180</v>
      </c>
      <c r="C115" s="35">
        <f>[5]С4!F27</f>
        <v>2164.8316773434499</v>
      </c>
    </row>
    <row r="116" spans="1:3" ht="25.5">
      <c r="A116" s="60" t="s">
        <v>181</v>
      </c>
      <c r="B116" s="54" t="s">
        <v>182</v>
      </c>
      <c r="C116" s="35">
        <f>[5]С4!F28</f>
        <v>1662.6971408167815</v>
      </c>
    </row>
    <row r="117" spans="1:3" ht="42.75">
      <c r="A117" s="60" t="s">
        <v>183</v>
      </c>
      <c r="B117" s="54" t="s">
        <v>184</v>
      </c>
      <c r="C117" s="35">
        <f>[5]С4!F29</f>
        <v>502.13453652666817</v>
      </c>
    </row>
    <row r="118" spans="1:3" ht="30">
      <c r="A118" s="60" t="s">
        <v>185</v>
      </c>
      <c r="B118" s="40" t="s">
        <v>186</v>
      </c>
      <c r="C118" s="35">
        <f>[5]С4!F30</f>
        <v>2254.5513536462668</v>
      </c>
    </row>
    <row r="119" spans="1:3" ht="42.75">
      <c r="A119" s="60" t="s">
        <v>187</v>
      </c>
      <c r="B119" s="87" t="s">
        <v>188</v>
      </c>
      <c r="C119" s="35">
        <f>[5]С4!F33</f>
        <v>1458.5754988401943</v>
      </c>
    </row>
    <row r="120" spans="1:3" ht="30">
      <c r="A120" s="60" t="s">
        <v>189</v>
      </c>
      <c r="B120" s="88" t="s">
        <v>190</v>
      </c>
      <c r="C120" s="35">
        <f>[5]С4!F35</f>
        <v>17.040680999999999</v>
      </c>
    </row>
    <row r="121" spans="1:3" ht="14.25">
      <c r="A121" s="60" t="s">
        <v>191</v>
      </c>
      <c r="B121" s="57" t="s">
        <v>192</v>
      </c>
      <c r="C121" s="35">
        <f>[5]С4!F36</f>
        <v>14319.9</v>
      </c>
    </row>
    <row r="122" spans="1:3" ht="28.5" thickBot="1">
      <c r="A122" s="73" t="s">
        <v>193</v>
      </c>
      <c r="B122" s="89" t="s">
        <v>194</v>
      </c>
      <c r="C122" s="84">
        <f>[5]С4!F37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[5]С5!F17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[5]С2!F37</f>
        <v>20.818139999999996</v>
      </c>
    </row>
    <row r="136" spans="1:3" ht="14.25">
      <c r="A136" s="60" t="s">
        <v>216</v>
      </c>
      <c r="B136" s="102" t="s">
        <v>217</v>
      </c>
      <c r="C136" s="35">
        <f>[5]С2!F38</f>
        <v>7</v>
      </c>
    </row>
    <row r="137" spans="1:3" ht="17.25">
      <c r="A137" s="60" t="s">
        <v>218</v>
      </c>
      <c r="B137" s="102" t="s">
        <v>219</v>
      </c>
      <c r="C137" s="35">
        <f>[5]С2!F40</f>
        <v>0.97</v>
      </c>
    </row>
    <row r="138" spans="1:3" ht="15" thickBot="1">
      <c r="A138" s="73" t="s">
        <v>220</v>
      </c>
      <c r="B138" s="103" t="s">
        <v>221</v>
      </c>
      <c r="C138" s="47">
        <f>[5]С2!F42</f>
        <v>0.35</v>
      </c>
    </row>
    <row r="139" spans="1:3" s="90" customFormat="1" ht="13.5" thickBot="1">
      <c r="A139" s="48"/>
      <c r="B139" s="76"/>
      <c r="C139" s="15"/>
    </row>
    <row r="140" spans="1:3" ht="30">
      <c r="A140" s="85" t="s">
        <v>222</v>
      </c>
      <c r="B140" s="104" t="s">
        <v>223</v>
      </c>
      <c r="C140" s="105">
        <f>[5]С2!F35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[5]С2.5!$E$11</f>
        <v>-2.9000000000000026E-2</v>
      </c>
    </row>
    <row r="144" spans="1:3">
      <c r="A144" s="107"/>
      <c r="B144" s="112">
        <f>B143+1</f>
        <v>2021</v>
      </c>
      <c r="C144" s="113">
        <f>[5]С2.5!$F$11</f>
        <v>0.245</v>
      </c>
    </row>
    <row r="145" spans="1:3">
      <c r="A145" s="107"/>
      <c r="B145" s="112">
        <f t="shared" ref="B145:B208" si="0">B144+1</f>
        <v>2022</v>
      </c>
      <c r="C145" s="113">
        <f>[5]С2.5!$G$11</f>
        <v>0.121</v>
      </c>
    </row>
    <row r="146" spans="1:3" ht="13.5" thickBot="1">
      <c r="A146" s="107"/>
      <c r="B146" s="114">
        <f t="shared" si="0"/>
        <v>2023</v>
      </c>
      <c r="C146" s="115">
        <f>[5]С2.5!$H$11</f>
        <v>0.02</v>
      </c>
    </row>
    <row r="147" spans="1:3" hidden="1">
      <c r="A147" s="107"/>
      <c r="B147" s="116">
        <f t="shared" si="0"/>
        <v>2024</v>
      </c>
      <c r="C147" s="117">
        <f>[5]С2.5!$I$11</f>
        <v>-2.93E-2</v>
      </c>
    </row>
    <row r="148" spans="1:3" hidden="1">
      <c r="A148" s="107"/>
      <c r="B148" s="112">
        <f t="shared" si="0"/>
        <v>2025</v>
      </c>
      <c r="C148" s="113">
        <f>[5]С2.5!$J$11</f>
        <v>0.21215960863291</v>
      </c>
    </row>
    <row r="149" spans="1:3" hidden="1">
      <c r="A149" s="107"/>
      <c r="B149" s="112">
        <f t="shared" si="0"/>
        <v>2026</v>
      </c>
      <c r="C149" s="113">
        <f>[5]С2.5!$K$11</f>
        <v>3.5813361771260002E-2</v>
      </c>
    </row>
    <row r="150" spans="1:3" hidden="1">
      <c r="A150" s="107"/>
      <c r="B150" s="112">
        <f t="shared" si="0"/>
        <v>2027</v>
      </c>
      <c r="C150" s="113">
        <f>[5]С2.5!$L$11</f>
        <v>3.2682303599220003E-2</v>
      </c>
    </row>
    <row r="151" spans="1:3" hidden="1">
      <c r="A151" s="107"/>
      <c r="B151" s="112">
        <f t="shared" si="0"/>
        <v>2028</v>
      </c>
      <c r="C151" s="113">
        <f>[5]С2.5!$M$11</f>
        <v>0</v>
      </c>
    </row>
    <row r="152" spans="1:3" hidden="1">
      <c r="A152" s="107"/>
      <c r="B152" s="112">
        <f t="shared" si="0"/>
        <v>2029</v>
      </c>
      <c r="C152" s="113">
        <f>[5]С2.5!$N$11</f>
        <v>0</v>
      </c>
    </row>
    <row r="153" spans="1:3" hidden="1">
      <c r="A153" s="107"/>
      <c r="B153" s="112">
        <f t="shared" si="0"/>
        <v>2030</v>
      </c>
      <c r="C153" s="113">
        <f>[5]С2.5!$O$11</f>
        <v>0</v>
      </c>
    </row>
    <row r="154" spans="1:3" hidden="1">
      <c r="A154" s="107"/>
      <c r="B154" s="112">
        <f t="shared" si="0"/>
        <v>2031</v>
      </c>
      <c r="C154" s="113">
        <f>[5]С2.5!$P$11</f>
        <v>0</v>
      </c>
    </row>
    <row r="155" spans="1:3" hidden="1">
      <c r="A155" s="90"/>
      <c r="B155" s="112">
        <f t="shared" si="0"/>
        <v>2032</v>
      </c>
      <c r="C155" s="113">
        <f>[5]С2.5!$Q$11</f>
        <v>0</v>
      </c>
    </row>
    <row r="156" spans="1:3" hidden="1">
      <c r="A156" s="90"/>
      <c r="B156" s="112">
        <f t="shared" si="0"/>
        <v>2033</v>
      </c>
      <c r="C156" s="113">
        <f>[5]С2.5!$R$11</f>
        <v>0</v>
      </c>
    </row>
    <row r="157" spans="1:3" hidden="1">
      <c r="B157" s="112">
        <f t="shared" si="0"/>
        <v>2034</v>
      </c>
      <c r="C157" s="113">
        <f>[5]С2.5!$S$11</f>
        <v>0</v>
      </c>
    </row>
    <row r="158" spans="1:3" hidden="1">
      <c r="B158" s="112">
        <f t="shared" si="0"/>
        <v>2035</v>
      </c>
      <c r="C158" s="113">
        <f>[5]С2.5!$T$11</f>
        <v>0</v>
      </c>
    </row>
    <row r="159" spans="1:3" hidden="1">
      <c r="B159" s="112">
        <f t="shared" si="0"/>
        <v>2036</v>
      </c>
      <c r="C159" s="113">
        <f>[5]С2.5!$U$11</f>
        <v>0</v>
      </c>
    </row>
    <row r="160" spans="1:3" hidden="1">
      <c r="B160" s="112">
        <f t="shared" si="0"/>
        <v>2037</v>
      </c>
      <c r="C160" s="113">
        <f>[5]С2.5!$V$11</f>
        <v>0</v>
      </c>
    </row>
    <row r="161" spans="2:3" hidden="1">
      <c r="B161" s="112">
        <f t="shared" si="0"/>
        <v>2038</v>
      </c>
      <c r="C161" s="113">
        <f>[5]С2.5!$W$11</f>
        <v>0</v>
      </c>
    </row>
    <row r="162" spans="2:3" hidden="1">
      <c r="B162" s="112">
        <f t="shared" si="0"/>
        <v>2039</v>
      </c>
      <c r="C162" s="113">
        <f>[5]С2.5!$X$11</f>
        <v>0</v>
      </c>
    </row>
    <row r="163" spans="2:3" hidden="1">
      <c r="B163" s="112">
        <f t="shared" si="0"/>
        <v>2040</v>
      </c>
      <c r="C163" s="113">
        <f>[5]С2.5!$Y$11</f>
        <v>0</v>
      </c>
    </row>
    <row r="164" spans="2:3" hidden="1">
      <c r="B164" s="112">
        <f t="shared" si="0"/>
        <v>2041</v>
      </c>
      <c r="C164" s="113">
        <f>[5]С2.5!$Z$11</f>
        <v>0</v>
      </c>
    </row>
    <row r="165" spans="2:3" hidden="1">
      <c r="B165" s="112">
        <f t="shared" si="0"/>
        <v>2042</v>
      </c>
      <c r="C165" s="113">
        <f>[5]С2.5!$AA$11</f>
        <v>0</v>
      </c>
    </row>
    <row r="166" spans="2:3" hidden="1">
      <c r="B166" s="112">
        <f t="shared" si="0"/>
        <v>2043</v>
      </c>
      <c r="C166" s="113">
        <f>[5]С2.5!$AB$11</f>
        <v>0</v>
      </c>
    </row>
    <row r="167" spans="2:3" hidden="1">
      <c r="B167" s="112">
        <f t="shared" si="0"/>
        <v>2044</v>
      </c>
      <c r="C167" s="113">
        <f>[5]С2.5!$AC$11</f>
        <v>0</v>
      </c>
    </row>
    <row r="168" spans="2:3" hidden="1">
      <c r="B168" s="112">
        <f t="shared" si="0"/>
        <v>2045</v>
      </c>
      <c r="C168" s="113">
        <f>[5]С2.5!$AD$11</f>
        <v>0</v>
      </c>
    </row>
    <row r="169" spans="2:3" hidden="1">
      <c r="B169" s="112">
        <f t="shared" si="0"/>
        <v>2046</v>
      </c>
      <c r="C169" s="113">
        <f>[5]С2.5!$AE$11</f>
        <v>0</v>
      </c>
    </row>
    <row r="170" spans="2:3" hidden="1">
      <c r="B170" s="112">
        <f t="shared" si="0"/>
        <v>2047</v>
      </c>
      <c r="C170" s="113">
        <f>[5]С2.5!$AF$11</f>
        <v>0</v>
      </c>
    </row>
    <row r="171" spans="2:3" hidden="1">
      <c r="B171" s="112">
        <f t="shared" si="0"/>
        <v>2048</v>
      </c>
      <c r="C171" s="113">
        <f>[5]С2.5!$AG$11</f>
        <v>0</v>
      </c>
    </row>
    <row r="172" spans="2:3" hidden="1">
      <c r="B172" s="112">
        <f t="shared" si="0"/>
        <v>2049</v>
      </c>
      <c r="C172" s="113">
        <f>[5]С2.5!$AH$11</f>
        <v>0</v>
      </c>
    </row>
    <row r="173" spans="2:3" hidden="1">
      <c r="B173" s="112">
        <f t="shared" si="0"/>
        <v>2050</v>
      </c>
      <c r="C173" s="113">
        <f>[5]С2.5!$AI$11</f>
        <v>0</v>
      </c>
    </row>
    <row r="174" spans="2:3" hidden="1">
      <c r="B174" s="112">
        <f t="shared" si="0"/>
        <v>2051</v>
      </c>
      <c r="C174" s="113">
        <f>[5]С2.5!$AJ$11</f>
        <v>0</v>
      </c>
    </row>
    <row r="175" spans="2:3" hidden="1">
      <c r="B175" s="112">
        <f t="shared" si="0"/>
        <v>2052</v>
      </c>
      <c r="C175" s="113">
        <f>[5]С2.5!$AK$11</f>
        <v>0</v>
      </c>
    </row>
    <row r="176" spans="2:3" hidden="1">
      <c r="B176" s="112">
        <f t="shared" si="0"/>
        <v>2053</v>
      </c>
      <c r="C176" s="113">
        <f>[5]С2.5!$AL$11</f>
        <v>0</v>
      </c>
    </row>
    <row r="177" spans="2:3" hidden="1">
      <c r="B177" s="112">
        <f t="shared" si="0"/>
        <v>2054</v>
      </c>
      <c r="C177" s="113">
        <f>[5]С2.5!$AM$11</f>
        <v>0</v>
      </c>
    </row>
    <row r="178" spans="2:3" hidden="1">
      <c r="B178" s="112">
        <f t="shared" si="0"/>
        <v>2055</v>
      </c>
      <c r="C178" s="113">
        <f>[5]С2.5!$AN$11</f>
        <v>0</v>
      </c>
    </row>
    <row r="179" spans="2:3" hidden="1">
      <c r="B179" s="112">
        <f t="shared" si="0"/>
        <v>2056</v>
      </c>
      <c r="C179" s="113">
        <f>[5]С2.5!$AO$11</f>
        <v>0</v>
      </c>
    </row>
    <row r="180" spans="2:3" hidden="1">
      <c r="B180" s="112">
        <f t="shared" si="0"/>
        <v>2057</v>
      </c>
      <c r="C180" s="113">
        <f>[5]С2.5!$AP$11</f>
        <v>0</v>
      </c>
    </row>
    <row r="181" spans="2:3" hidden="1">
      <c r="B181" s="112">
        <f t="shared" si="0"/>
        <v>2058</v>
      </c>
      <c r="C181" s="113">
        <f>[5]С2.5!$AQ$11</f>
        <v>0</v>
      </c>
    </row>
    <row r="182" spans="2:3" hidden="1">
      <c r="B182" s="112">
        <f t="shared" si="0"/>
        <v>2059</v>
      </c>
      <c r="C182" s="113">
        <f>[5]С2.5!$AR$11</f>
        <v>0</v>
      </c>
    </row>
    <row r="183" spans="2:3" hidden="1">
      <c r="B183" s="112">
        <f t="shared" si="0"/>
        <v>2060</v>
      </c>
      <c r="C183" s="113">
        <f>[5]С2.5!$AS$11</f>
        <v>0</v>
      </c>
    </row>
    <row r="184" spans="2:3" hidden="1">
      <c r="B184" s="112">
        <f t="shared" si="0"/>
        <v>2061</v>
      </c>
      <c r="C184" s="113">
        <f>[5]С2.5!$AT$11</f>
        <v>0</v>
      </c>
    </row>
    <row r="185" spans="2:3" hidden="1">
      <c r="B185" s="112">
        <f t="shared" si="0"/>
        <v>2062</v>
      </c>
      <c r="C185" s="113">
        <f>[5]С2.5!$AU$11</f>
        <v>0</v>
      </c>
    </row>
    <row r="186" spans="2:3" hidden="1">
      <c r="B186" s="112">
        <f t="shared" si="0"/>
        <v>2063</v>
      </c>
      <c r="C186" s="113">
        <f>[5]С2.5!$AV$11</f>
        <v>0</v>
      </c>
    </row>
    <row r="187" spans="2:3" hidden="1">
      <c r="B187" s="112">
        <f t="shared" si="0"/>
        <v>2064</v>
      </c>
      <c r="C187" s="113">
        <f>[5]С2.5!$AW$11</f>
        <v>0</v>
      </c>
    </row>
    <row r="188" spans="2:3" hidden="1">
      <c r="B188" s="112">
        <f t="shared" si="0"/>
        <v>2065</v>
      </c>
      <c r="C188" s="113">
        <f>[5]С2.5!$AX$11</f>
        <v>0</v>
      </c>
    </row>
    <row r="189" spans="2:3" hidden="1">
      <c r="B189" s="112">
        <f t="shared" si="0"/>
        <v>2066</v>
      </c>
      <c r="C189" s="113">
        <f>[5]С2.5!$AY$11</f>
        <v>0</v>
      </c>
    </row>
    <row r="190" spans="2:3" hidden="1">
      <c r="B190" s="112">
        <f t="shared" si="0"/>
        <v>2067</v>
      </c>
      <c r="C190" s="113">
        <f>[5]С2.5!$AZ$11</f>
        <v>0</v>
      </c>
    </row>
    <row r="191" spans="2:3" hidden="1">
      <c r="B191" s="112">
        <f t="shared" si="0"/>
        <v>2068</v>
      </c>
      <c r="C191" s="113">
        <f>[5]С2.5!$BA$11</f>
        <v>0</v>
      </c>
    </row>
    <row r="192" spans="2:3" hidden="1">
      <c r="B192" s="112">
        <f t="shared" si="0"/>
        <v>2069</v>
      </c>
      <c r="C192" s="113">
        <f>[5]С2.5!$BB$11</f>
        <v>0</v>
      </c>
    </row>
    <row r="193" spans="2:3" hidden="1">
      <c r="B193" s="112">
        <f t="shared" si="0"/>
        <v>2070</v>
      </c>
      <c r="C193" s="113">
        <f>[5]С2.5!$BC$11</f>
        <v>0</v>
      </c>
    </row>
    <row r="194" spans="2:3" hidden="1">
      <c r="B194" s="112">
        <f t="shared" si="0"/>
        <v>2071</v>
      </c>
      <c r="C194" s="113">
        <f>[5]С2.5!$BD$11</f>
        <v>0</v>
      </c>
    </row>
    <row r="195" spans="2:3" hidden="1">
      <c r="B195" s="112">
        <f t="shared" si="0"/>
        <v>2072</v>
      </c>
      <c r="C195" s="113">
        <f>[5]С2.5!$BE$11</f>
        <v>0</v>
      </c>
    </row>
    <row r="196" spans="2:3" hidden="1">
      <c r="B196" s="112">
        <f t="shared" si="0"/>
        <v>2073</v>
      </c>
      <c r="C196" s="113">
        <f>[5]С2.5!$BF$11</f>
        <v>0</v>
      </c>
    </row>
    <row r="197" spans="2:3" hidden="1">
      <c r="B197" s="112">
        <f t="shared" si="0"/>
        <v>2074</v>
      </c>
      <c r="C197" s="113">
        <f>[5]С2.5!$BG$11</f>
        <v>0</v>
      </c>
    </row>
    <row r="198" spans="2:3" hidden="1">
      <c r="B198" s="112">
        <f t="shared" si="0"/>
        <v>2075</v>
      </c>
      <c r="C198" s="113">
        <f>[5]С2.5!$BH$11</f>
        <v>0</v>
      </c>
    </row>
    <row r="199" spans="2:3" hidden="1">
      <c r="B199" s="112">
        <f t="shared" si="0"/>
        <v>2076</v>
      </c>
      <c r="C199" s="113">
        <f>[5]С2.5!$BI$11</f>
        <v>0</v>
      </c>
    </row>
    <row r="200" spans="2:3" hidden="1">
      <c r="B200" s="112">
        <f t="shared" si="0"/>
        <v>2077</v>
      </c>
      <c r="C200" s="113">
        <f>[5]С2.5!$BJ$11</f>
        <v>0</v>
      </c>
    </row>
    <row r="201" spans="2:3" hidden="1">
      <c r="B201" s="112">
        <f t="shared" si="0"/>
        <v>2078</v>
      </c>
      <c r="C201" s="113">
        <f>[5]С2.5!$BK$11</f>
        <v>0</v>
      </c>
    </row>
    <row r="202" spans="2:3" hidden="1">
      <c r="B202" s="112">
        <f t="shared" si="0"/>
        <v>2079</v>
      </c>
      <c r="C202" s="113">
        <f>[5]С2.5!$BL$11</f>
        <v>0</v>
      </c>
    </row>
    <row r="203" spans="2:3" hidden="1">
      <c r="B203" s="112">
        <f t="shared" si="0"/>
        <v>2080</v>
      </c>
      <c r="C203" s="113">
        <f>[5]С2.5!$BM$11</f>
        <v>0</v>
      </c>
    </row>
    <row r="204" spans="2:3" hidden="1">
      <c r="B204" s="112">
        <f t="shared" si="0"/>
        <v>2081</v>
      </c>
      <c r="C204" s="113">
        <f>[5]С2.5!$BN$11</f>
        <v>0</v>
      </c>
    </row>
    <row r="205" spans="2:3" hidden="1">
      <c r="B205" s="112">
        <f t="shared" si="0"/>
        <v>2082</v>
      </c>
      <c r="C205" s="113">
        <f>[5]С2.5!$BO$11</f>
        <v>0</v>
      </c>
    </row>
    <row r="206" spans="2:3" hidden="1">
      <c r="B206" s="112">
        <f t="shared" si="0"/>
        <v>2083</v>
      </c>
      <c r="C206" s="113">
        <f>[5]С2.5!$BP$11</f>
        <v>0</v>
      </c>
    </row>
    <row r="207" spans="2:3" hidden="1">
      <c r="B207" s="112">
        <f t="shared" si="0"/>
        <v>2084</v>
      </c>
      <c r="C207" s="113">
        <f>[5]С2.5!$BQ$11</f>
        <v>0</v>
      </c>
    </row>
    <row r="208" spans="2:3" hidden="1">
      <c r="B208" s="112">
        <f t="shared" si="0"/>
        <v>2085</v>
      </c>
      <c r="C208" s="113">
        <f>[5]С2.5!$BR$11</f>
        <v>0</v>
      </c>
    </row>
    <row r="209" spans="2:3" hidden="1">
      <c r="B209" s="112">
        <f t="shared" ref="B209:B223" si="1">B208+1</f>
        <v>2086</v>
      </c>
      <c r="C209" s="113">
        <f>[5]С2.5!$BS$11</f>
        <v>0</v>
      </c>
    </row>
    <row r="210" spans="2:3" hidden="1">
      <c r="B210" s="112">
        <f t="shared" si="1"/>
        <v>2087</v>
      </c>
      <c r="C210" s="113">
        <f>[5]С2.5!$BT$11</f>
        <v>0</v>
      </c>
    </row>
    <row r="211" spans="2:3" hidden="1">
      <c r="B211" s="112">
        <f t="shared" si="1"/>
        <v>2088</v>
      </c>
      <c r="C211" s="113">
        <f>[5]С2.5!$BU$11</f>
        <v>0</v>
      </c>
    </row>
    <row r="212" spans="2:3" hidden="1">
      <c r="B212" s="112">
        <f t="shared" si="1"/>
        <v>2089</v>
      </c>
      <c r="C212" s="113">
        <f>[5]С2.5!$BV$11</f>
        <v>0</v>
      </c>
    </row>
    <row r="213" spans="2:3" hidden="1">
      <c r="B213" s="112">
        <f t="shared" si="1"/>
        <v>2090</v>
      </c>
      <c r="C213" s="113">
        <f>[5]С2.5!$BW$11</f>
        <v>0</v>
      </c>
    </row>
    <row r="214" spans="2:3" hidden="1">
      <c r="B214" s="112">
        <f t="shared" si="1"/>
        <v>2091</v>
      </c>
      <c r="C214" s="113">
        <f>[5]С2.5!$BX$11</f>
        <v>0</v>
      </c>
    </row>
    <row r="215" spans="2:3" hidden="1">
      <c r="B215" s="112">
        <f t="shared" si="1"/>
        <v>2092</v>
      </c>
      <c r="C215" s="113">
        <f>[5]С2.5!$BY$11</f>
        <v>0</v>
      </c>
    </row>
    <row r="216" spans="2:3" hidden="1">
      <c r="B216" s="112">
        <f t="shared" si="1"/>
        <v>2093</v>
      </c>
      <c r="C216" s="113">
        <f>[5]С2.5!$BZ$11</f>
        <v>0</v>
      </c>
    </row>
    <row r="217" spans="2:3" hidden="1">
      <c r="B217" s="112">
        <f t="shared" si="1"/>
        <v>2094</v>
      </c>
      <c r="C217" s="113">
        <f>[5]С2.5!$CA$11</f>
        <v>0</v>
      </c>
    </row>
    <row r="218" spans="2:3" hidden="1">
      <c r="B218" s="112">
        <f t="shared" si="1"/>
        <v>2095</v>
      </c>
      <c r="C218" s="113">
        <f>[5]С2.5!$CB$11</f>
        <v>0</v>
      </c>
    </row>
    <row r="219" spans="2:3" hidden="1">
      <c r="B219" s="112">
        <f t="shared" si="1"/>
        <v>2096</v>
      </c>
      <c r="C219" s="113">
        <f>[5]С2.5!$CC$11</f>
        <v>0</v>
      </c>
    </row>
    <row r="220" spans="2:3" hidden="1">
      <c r="B220" s="112">
        <f t="shared" si="1"/>
        <v>2097</v>
      </c>
      <c r="C220" s="113">
        <f>[5]С2.5!$CD$11</f>
        <v>0</v>
      </c>
    </row>
    <row r="221" spans="2:3" hidden="1">
      <c r="B221" s="112">
        <f t="shared" si="1"/>
        <v>2098</v>
      </c>
      <c r="C221" s="113">
        <f>[5]С2.5!$CE$11</f>
        <v>0</v>
      </c>
    </row>
    <row r="222" spans="2:3" hidden="1">
      <c r="B222" s="112">
        <f t="shared" si="1"/>
        <v>2099</v>
      </c>
      <c r="C222" s="113">
        <f>[5]С2.5!$CF$11</f>
        <v>0</v>
      </c>
    </row>
    <row r="223" spans="2:3" ht="13.5" hidden="1" thickBot="1">
      <c r="B223" s="114">
        <f t="shared" si="1"/>
        <v>2100</v>
      </c>
      <c r="C223" s="115">
        <f>[5]С2.5!$CG$11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G1048576"/>
    </sheetView>
  </sheetViews>
  <sheetFormatPr defaultRowHeight="12.75"/>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[6]И1!D13</f>
        <v>Субъект Российской Федерации</v>
      </c>
      <c r="C4" s="10" t="str">
        <f>[6]И1!E13</f>
        <v>Новосибирская область</v>
      </c>
    </row>
    <row r="5" spans="1:3">
      <c r="A5" s="8"/>
      <c r="B5" s="9" t="str">
        <f>[6]И1!D14</f>
        <v>Тип муниципального образования (выберите из списка)</v>
      </c>
      <c r="C5" s="10" t="str">
        <f>[6]И1!E14</f>
        <v>село Балман</v>
      </c>
    </row>
    <row r="6" spans="1:3">
      <c r="A6" s="8"/>
      <c r="B6" s="9" t="str">
        <f>IF([6]И1!E15="","",[6]И1!D15)</f>
        <v/>
      </c>
      <c r="C6" s="10" t="str">
        <f>IF([6]И1!E15="","",[6]И1!E15)</f>
        <v/>
      </c>
    </row>
    <row r="7" spans="1:3">
      <c r="A7" s="8"/>
      <c r="B7" s="9" t="str">
        <f>[6]И1!D16</f>
        <v>Код ОКТМО</v>
      </c>
      <c r="C7" s="11" t="str">
        <f>[6]И1!E16</f>
        <v>50630404101</v>
      </c>
    </row>
    <row r="8" spans="1:3">
      <c r="A8" s="8"/>
      <c r="B8" s="12" t="str">
        <f>[6]И1!D17</f>
        <v>Система теплоснабжения</v>
      </c>
      <c r="C8" s="13">
        <f>[6]И1!E17</f>
        <v>0</v>
      </c>
    </row>
    <row r="9" spans="1:3">
      <c r="A9" s="8"/>
      <c r="B9" s="9" t="str">
        <f>[6]И1!D8</f>
        <v>Период регулирования (i)-й</v>
      </c>
      <c r="C9" s="14">
        <f>[6]И1!E8</f>
        <v>2023</v>
      </c>
    </row>
    <row r="10" spans="1:3">
      <c r="A10" s="8"/>
      <c r="B10" s="9" t="str">
        <f>[6]И1!D9</f>
        <v>Период регулирования (i-1)-й</v>
      </c>
      <c r="C10" s="14">
        <f>[6]И1!E9</f>
        <v>2022</v>
      </c>
    </row>
    <row r="11" spans="1:3">
      <c r="A11" s="8"/>
      <c r="B11" s="9" t="str">
        <f>[6]И1!D10</f>
        <v>Период регулирования (i-2)-й</v>
      </c>
      <c r="C11" s="14">
        <f>[6]И1!E10</f>
        <v>2021</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4193.4807199334728</v>
      </c>
    </row>
    <row r="18" spans="1:3" ht="42.75">
      <c r="A18" s="22" t="s">
        <v>8</v>
      </c>
      <c r="B18" s="25" t="s">
        <v>9</v>
      </c>
      <c r="C18" s="26">
        <f>[6]С1!F12</f>
        <v>993.3244101793224</v>
      </c>
    </row>
    <row r="19" spans="1:3" ht="42.75">
      <c r="A19" s="22" t="s">
        <v>10</v>
      </c>
      <c r="B19" s="25" t="s">
        <v>11</v>
      </c>
      <c r="C19" s="26">
        <f>[6]С2!F12</f>
        <v>2116.2031761890698</v>
      </c>
    </row>
    <row r="20" spans="1:3" ht="30">
      <c r="A20" s="22" t="s">
        <v>12</v>
      </c>
      <c r="B20" s="25" t="s">
        <v>13</v>
      </c>
      <c r="C20" s="26">
        <f>[6]С3!F12</f>
        <v>506.5368696227419</v>
      </c>
    </row>
    <row r="21" spans="1:3" ht="42.75">
      <c r="A21" s="22" t="s">
        <v>14</v>
      </c>
      <c r="B21" s="25" t="s">
        <v>15</v>
      </c>
      <c r="C21" s="26">
        <f>[6]С4!F12</f>
        <v>495.19115178677998</v>
      </c>
    </row>
    <row r="22" spans="1:3" ht="30">
      <c r="A22" s="22" t="s">
        <v>16</v>
      </c>
      <c r="B22" s="25" t="s">
        <v>17</v>
      </c>
      <c r="C22" s="26">
        <f>[6]С5!F12</f>
        <v>82.225112155558293</v>
      </c>
    </row>
    <row r="23" spans="1:3" ht="43.5" thickBot="1">
      <c r="A23" s="27" t="s">
        <v>18</v>
      </c>
      <c r="B23" s="28" t="s">
        <v>19</v>
      </c>
      <c r="C23" s="29" t="str">
        <f>[6]С6!F12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[6]С1.1!E16</f>
        <v>5100</v>
      </c>
    </row>
    <row r="29" spans="1:3" ht="42.75">
      <c r="A29" s="22" t="s">
        <v>10</v>
      </c>
      <c r="B29" s="34" t="s">
        <v>22</v>
      </c>
      <c r="C29" s="35">
        <f>[6]С1.1!E27</f>
        <v>2670.8833333333332</v>
      </c>
    </row>
    <row r="30" spans="1:3" ht="17.25">
      <c r="A30" s="22" t="s">
        <v>12</v>
      </c>
      <c r="B30" s="34" t="s">
        <v>23</v>
      </c>
      <c r="C30" s="36">
        <f>[6]С1.1!E19</f>
        <v>0.59499999999999997</v>
      </c>
    </row>
    <row r="31" spans="1:3" ht="17.25">
      <c r="A31" s="22" t="s">
        <v>14</v>
      </c>
      <c r="B31" s="34" t="s">
        <v>24</v>
      </c>
      <c r="C31" s="36">
        <f>[6]С1.1!E20</f>
        <v>-0.113</v>
      </c>
    </row>
    <row r="32" spans="1:3" ht="30">
      <c r="A32" s="22" t="s">
        <v>16</v>
      </c>
      <c r="B32" s="37" t="s">
        <v>25</v>
      </c>
      <c r="C32" s="38">
        <f>[6]С1!F13</f>
        <v>176.4</v>
      </c>
    </row>
    <row r="33" spans="1:3">
      <c r="A33" s="22" t="s">
        <v>18</v>
      </c>
      <c r="B33" s="37" t="s">
        <v>26</v>
      </c>
      <c r="C33" s="39">
        <f>[6]С1!F16</f>
        <v>7000</v>
      </c>
    </row>
    <row r="34" spans="1:3" ht="14.25">
      <c r="A34" s="22" t="s">
        <v>27</v>
      </c>
      <c r="B34" s="40" t="s">
        <v>28</v>
      </c>
      <c r="C34" s="41">
        <f>[6]С1!F17</f>
        <v>0.72857142857142854</v>
      </c>
    </row>
    <row r="35" spans="1:3" ht="15.75">
      <c r="A35" s="42" t="s">
        <v>29</v>
      </c>
      <c r="B35" s="43" t="s">
        <v>30</v>
      </c>
      <c r="C35" s="41">
        <f>[6]С1!F20</f>
        <v>21.588411179999994</v>
      </c>
    </row>
    <row r="36" spans="1:3" ht="15.75">
      <c r="A36" s="42" t="s">
        <v>31</v>
      </c>
      <c r="B36" s="44" t="s">
        <v>32</v>
      </c>
      <c r="C36" s="41">
        <f>[6]С1!F21</f>
        <v>20.818139999999996</v>
      </c>
    </row>
    <row r="37" spans="1:3" ht="14.25">
      <c r="A37" s="42" t="s">
        <v>33</v>
      </c>
      <c r="B37" s="45" t="s">
        <v>34</v>
      </c>
      <c r="C37" s="41">
        <f>[6]С1!F22</f>
        <v>1.0369999999999999</v>
      </c>
    </row>
    <row r="38" spans="1:3" ht="53.25" thickBot="1">
      <c r="A38" s="27" t="s">
        <v>35</v>
      </c>
      <c r="B38" s="46" t="s">
        <v>36</v>
      </c>
      <c r="C38" s="47">
        <f>[6]С1!F23</f>
        <v>1.0469999999999999</v>
      </c>
    </row>
    <row r="39" spans="1:3" ht="13.5" thickBot="1">
      <c r="A39" s="48"/>
      <c r="B39" s="49"/>
      <c r="C39" s="50"/>
    </row>
    <row r="40" spans="1:3" ht="30" customHeight="1">
      <c r="A40" s="51" t="s">
        <v>37</v>
      </c>
      <c r="B40" s="142" t="s">
        <v>38</v>
      </c>
      <c r="C40" s="142"/>
    </row>
    <row r="41" spans="1:3" ht="25.5">
      <c r="A41" s="22" t="s">
        <v>39</v>
      </c>
      <c r="B41" s="37" t="s">
        <v>40</v>
      </c>
      <c r="C41" s="52" t="str">
        <f>[6]С2.1!E12</f>
        <v>V</v>
      </c>
    </row>
    <row r="42" spans="1:3" ht="25.5">
      <c r="A42" s="22" t="s">
        <v>41</v>
      </c>
      <c r="B42" s="34" t="s">
        <v>42</v>
      </c>
      <c r="C42" s="52" t="str">
        <f>[6]С2.1!E13</f>
        <v>6 и менее баллов</v>
      </c>
    </row>
    <row r="43" spans="1:3" ht="25.5">
      <c r="A43" s="22" t="s">
        <v>43</v>
      </c>
      <c r="B43" s="34" t="s">
        <v>44</v>
      </c>
      <c r="C43" s="52" t="str">
        <f>[6]С2.1!E14</f>
        <v>от 200 до 500</v>
      </c>
    </row>
    <row r="44" spans="1:3" ht="25.5">
      <c r="A44" s="22" t="s">
        <v>45</v>
      </c>
      <c r="B44" s="34" t="s">
        <v>46</v>
      </c>
      <c r="C44" s="53" t="str">
        <f>[6]С2.1!E15</f>
        <v>нет</v>
      </c>
    </row>
    <row r="45" spans="1:3" ht="30">
      <c r="A45" s="22" t="s">
        <v>47</v>
      </c>
      <c r="B45" s="34" t="s">
        <v>48</v>
      </c>
      <c r="C45" s="35">
        <f>[6]С2!F18</f>
        <v>32402.627334033532</v>
      </c>
    </row>
    <row r="46" spans="1:3" ht="30">
      <c r="A46" s="22" t="s">
        <v>49</v>
      </c>
      <c r="B46" s="54" t="s">
        <v>50</v>
      </c>
      <c r="C46" s="35">
        <f>IF([6]С2!F19&gt;0,[6]С2!F19,[6]С2!F20)</f>
        <v>23441.524932855718</v>
      </c>
    </row>
    <row r="47" spans="1:3" ht="25.5">
      <c r="A47" s="22" t="s">
        <v>51</v>
      </c>
      <c r="B47" s="55" t="s">
        <v>52</v>
      </c>
      <c r="C47" s="35">
        <f>[6]С2.1!E19</f>
        <v>-38</v>
      </c>
    </row>
    <row r="48" spans="1:3" ht="25.5">
      <c r="A48" s="22" t="s">
        <v>53</v>
      </c>
      <c r="B48" s="55" t="s">
        <v>54</v>
      </c>
      <c r="C48" s="35" t="str">
        <f>[6]С2.1!E22</f>
        <v>нет</v>
      </c>
    </row>
    <row r="49" spans="1:3" ht="38.25">
      <c r="A49" s="22" t="s">
        <v>55</v>
      </c>
      <c r="B49" s="56" t="s">
        <v>56</v>
      </c>
      <c r="C49" s="35">
        <f>[6]С2.2!E10</f>
        <v>1287</v>
      </c>
    </row>
    <row r="50" spans="1:3" ht="25.5">
      <c r="A50" s="22" t="s">
        <v>57</v>
      </c>
      <c r="B50" s="57" t="s">
        <v>58</v>
      </c>
      <c r="C50" s="35">
        <f>[6]С2.2!E12</f>
        <v>5.97</v>
      </c>
    </row>
    <row r="51" spans="1:3" ht="52.5">
      <c r="A51" s="22" t="s">
        <v>59</v>
      </c>
      <c r="B51" s="58" t="s">
        <v>60</v>
      </c>
      <c r="C51" s="35">
        <f>[6]С2.2!E13</f>
        <v>1</v>
      </c>
    </row>
    <row r="52" spans="1:3" ht="27.75">
      <c r="A52" s="22" t="s">
        <v>61</v>
      </c>
      <c r="B52" s="57" t="s">
        <v>62</v>
      </c>
      <c r="C52" s="35">
        <f>[6]С2.2!E14</f>
        <v>12104</v>
      </c>
    </row>
    <row r="53" spans="1:3" ht="25.5">
      <c r="A53" s="22" t="s">
        <v>63</v>
      </c>
      <c r="B53" s="58" t="s">
        <v>64</v>
      </c>
      <c r="C53" s="36">
        <f>[6]С2.2!E15</f>
        <v>4.8000000000000001E-2</v>
      </c>
    </row>
    <row r="54" spans="1:3">
      <c r="A54" s="22" t="s">
        <v>65</v>
      </c>
      <c r="B54" s="58" t="s">
        <v>66</v>
      </c>
      <c r="C54" s="35">
        <f>[6]С2.2!E16</f>
        <v>1</v>
      </c>
    </row>
    <row r="55" spans="1:3" ht="15.75">
      <c r="A55" s="22" t="s">
        <v>67</v>
      </c>
      <c r="B55" s="59" t="s">
        <v>68</v>
      </c>
      <c r="C55" s="35">
        <f>[6]С2!F21</f>
        <v>1</v>
      </c>
    </row>
    <row r="56" spans="1:3" ht="30">
      <c r="A56" s="60" t="s">
        <v>69</v>
      </c>
      <c r="B56" s="34" t="s">
        <v>70</v>
      </c>
      <c r="C56" s="35">
        <f>[6]С2!F13</f>
        <v>169640.22915965237</v>
      </c>
    </row>
    <row r="57" spans="1:3" ht="30">
      <c r="A57" s="60" t="s">
        <v>71</v>
      </c>
      <c r="B57" s="59" t="s">
        <v>72</v>
      </c>
      <c r="C57" s="35">
        <f>[6]С2!F14</f>
        <v>113455</v>
      </c>
    </row>
    <row r="58" spans="1:3" ht="15.75">
      <c r="A58" s="60" t="s">
        <v>73</v>
      </c>
      <c r="B58" s="61" t="s">
        <v>74</v>
      </c>
      <c r="C58" s="41">
        <f>[6]С2!F15</f>
        <v>1.071</v>
      </c>
    </row>
    <row r="59" spans="1:3" ht="15.75">
      <c r="A59" s="60" t="s">
        <v>75</v>
      </c>
      <c r="B59" s="61" t="s">
        <v>76</v>
      </c>
      <c r="C59" s="41">
        <f>[6]С2!F16</f>
        <v>1</v>
      </c>
    </row>
    <row r="60" spans="1:3" ht="17.25">
      <c r="A60" s="60" t="s">
        <v>77</v>
      </c>
      <c r="B60" s="59" t="s">
        <v>78</v>
      </c>
      <c r="C60" s="35">
        <f>[6]С2!F17</f>
        <v>1.01</v>
      </c>
    </row>
    <row r="61" spans="1:3" s="64" customFormat="1" ht="14.25">
      <c r="A61" s="60" t="s">
        <v>79</v>
      </c>
      <c r="B61" s="62" t="s">
        <v>80</v>
      </c>
      <c r="C61" s="63">
        <f>[6]С2!F33</f>
        <v>10</v>
      </c>
    </row>
    <row r="62" spans="1:3" ht="30">
      <c r="A62" s="60" t="s">
        <v>81</v>
      </c>
      <c r="B62" s="65" t="s">
        <v>82</v>
      </c>
      <c r="C62" s="35">
        <f>[6]С2!F26</f>
        <v>2274.3932248182782</v>
      </c>
    </row>
    <row r="63" spans="1:3" ht="17.25">
      <c r="A63" s="60" t="s">
        <v>83</v>
      </c>
      <c r="B63" s="54" t="s">
        <v>84</v>
      </c>
      <c r="C63" s="35">
        <f>[6]С2!F27</f>
        <v>0.391761629</v>
      </c>
    </row>
    <row r="64" spans="1:3" ht="17.25">
      <c r="A64" s="60" t="s">
        <v>85</v>
      </c>
      <c r="B64" s="59" t="s">
        <v>86</v>
      </c>
      <c r="C64" s="63">
        <f>[6]С2!F28</f>
        <v>4200</v>
      </c>
    </row>
    <row r="65" spans="1:3" ht="42.75">
      <c r="A65" s="60" t="s">
        <v>87</v>
      </c>
      <c r="B65" s="34" t="s">
        <v>88</v>
      </c>
      <c r="C65" s="35">
        <f>[6]С2!F22</f>
        <v>35717.748653137714</v>
      </c>
    </row>
    <row r="66" spans="1:3" ht="30">
      <c r="A66" s="60" t="s">
        <v>89</v>
      </c>
      <c r="B66" s="61" t="s">
        <v>90</v>
      </c>
      <c r="C66" s="35">
        <f>[6]С2!F23</f>
        <v>1990</v>
      </c>
    </row>
    <row r="67" spans="1:3" ht="30">
      <c r="A67" s="60" t="s">
        <v>91</v>
      </c>
      <c r="B67" s="54" t="s">
        <v>92</v>
      </c>
      <c r="C67" s="35">
        <f>[6]С2.1!E27</f>
        <v>14307.876789999998</v>
      </c>
    </row>
    <row r="68" spans="1:3" ht="38.25">
      <c r="A68" s="60" t="s">
        <v>93</v>
      </c>
      <c r="B68" s="66" t="s">
        <v>94</v>
      </c>
      <c r="C68" s="53">
        <f>[6]С2.3!E21</f>
        <v>0</v>
      </c>
    </row>
    <row r="69" spans="1:3" ht="25.5">
      <c r="A69" s="60" t="s">
        <v>95</v>
      </c>
      <c r="B69" s="67" t="s">
        <v>96</v>
      </c>
      <c r="C69" s="68">
        <f>[6]С2.3!E11</f>
        <v>9.89</v>
      </c>
    </row>
    <row r="70" spans="1:3" ht="25.5">
      <c r="A70" s="60" t="s">
        <v>97</v>
      </c>
      <c r="B70" s="67" t="s">
        <v>98</v>
      </c>
      <c r="C70" s="63">
        <f>[6]С2.3!E13</f>
        <v>300</v>
      </c>
    </row>
    <row r="71" spans="1:3" ht="25.5">
      <c r="A71" s="60" t="s">
        <v>99</v>
      </c>
      <c r="B71" s="66" t="s">
        <v>100</v>
      </c>
      <c r="C71" s="69">
        <f>IF([6]С2.3!E22&gt;0,[6]С2.3!E22,[6]С2.3!E14)</f>
        <v>61211</v>
      </c>
    </row>
    <row r="72" spans="1:3" ht="38.25">
      <c r="A72" s="60" t="s">
        <v>101</v>
      </c>
      <c r="B72" s="66" t="s">
        <v>102</v>
      </c>
      <c r="C72" s="69">
        <f>IF([6]С2.3!E23&gt;0,[6]С2.3!E23,[6]С2.3!E15)</f>
        <v>45675</v>
      </c>
    </row>
    <row r="73" spans="1:3" ht="30">
      <c r="A73" s="60" t="s">
        <v>103</v>
      </c>
      <c r="B73" s="54" t="s">
        <v>104</v>
      </c>
      <c r="C73" s="35">
        <f>[6]С2.1!E28</f>
        <v>9541.9567200000001</v>
      </c>
    </row>
    <row r="74" spans="1:3" ht="38.25">
      <c r="A74" s="60" t="s">
        <v>105</v>
      </c>
      <c r="B74" s="66" t="s">
        <v>106</v>
      </c>
      <c r="C74" s="53">
        <f>[6]С2.3!E25</f>
        <v>0</v>
      </c>
    </row>
    <row r="75" spans="1:3" ht="25.5">
      <c r="A75" s="60" t="s">
        <v>107</v>
      </c>
      <c r="B75" s="67" t="s">
        <v>108</v>
      </c>
      <c r="C75" s="68">
        <f>[6]С2.3!E12</f>
        <v>0.56000000000000005</v>
      </c>
    </row>
    <row r="76" spans="1:3" ht="25.5">
      <c r="A76" s="60" t="s">
        <v>109</v>
      </c>
      <c r="B76" s="67" t="s">
        <v>98</v>
      </c>
      <c r="C76" s="63">
        <f>[6]С2.3!E13</f>
        <v>300</v>
      </c>
    </row>
    <row r="77" spans="1:3" ht="25.5">
      <c r="A77" s="60" t="s">
        <v>110</v>
      </c>
      <c r="B77" s="70" t="s">
        <v>111</v>
      </c>
      <c r="C77" s="69">
        <f>IF([6]С2.3!E26&gt;0,[6]С2.3!E26,[6]С2.3!E16)</f>
        <v>65637</v>
      </c>
    </row>
    <row r="78" spans="1:3" ht="38.25">
      <c r="A78" s="60" t="s">
        <v>112</v>
      </c>
      <c r="B78" s="70" t="s">
        <v>113</v>
      </c>
      <c r="C78" s="69">
        <f>IF([6]С2.3!E27&gt;0,[6]С2.3!E27,[6]С2.3!E17)</f>
        <v>31684</v>
      </c>
    </row>
    <row r="79" spans="1:3" ht="17.25">
      <c r="A79" s="60" t="s">
        <v>114</v>
      </c>
      <c r="B79" s="34" t="s">
        <v>115</v>
      </c>
      <c r="C79" s="36">
        <f>[6]С2!F29</f>
        <v>0.128978033685065</v>
      </c>
    </row>
    <row r="80" spans="1:3" ht="30">
      <c r="A80" s="60" t="s">
        <v>116</v>
      </c>
      <c r="B80" s="54" t="s">
        <v>117</v>
      </c>
      <c r="C80" s="71">
        <f>[6]С2!F30</f>
        <v>0.11668498168498169</v>
      </c>
    </row>
    <row r="81" spans="1:3" ht="17.25">
      <c r="A81" s="60" t="s">
        <v>118</v>
      </c>
      <c r="B81" s="72" t="s">
        <v>119</v>
      </c>
      <c r="C81" s="36">
        <f>[6]С2!F31</f>
        <v>0.13880000000000001</v>
      </c>
    </row>
    <row r="82" spans="1:3" s="64" customFormat="1" ht="18" thickBot="1">
      <c r="A82" s="73" t="s">
        <v>120</v>
      </c>
      <c r="B82" s="74" t="s">
        <v>121</v>
      </c>
      <c r="C82" s="75">
        <f>[6]С2!F32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[6]С3!F14</f>
        <v>7051.1767451401192</v>
      </c>
    </row>
    <row r="86" spans="1:3" s="64" customFormat="1" ht="42.75">
      <c r="A86" s="78" t="s">
        <v>126</v>
      </c>
      <c r="B86" s="54" t="s">
        <v>127</v>
      </c>
      <c r="C86" s="79">
        <f>[6]С3!F15</f>
        <v>0.2</v>
      </c>
    </row>
    <row r="87" spans="1:3" s="64" customFormat="1" ht="14.25">
      <c r="A87" s="78" t="s">
        <v>128</v>
      </c>
      <c r="B87" s="80" t="s">
        <v>129</v>
      </c>
      <c r="C87" s="63">
        <f>[6]С3!F18</f>
        <v>15</v>
      </c>
    </row>
    <row r="88" spans="1:3" s="64" customFormat="1" ht="17.25">
      <c r="A88" s="78" t="s">
        <v>130</v>
      </c>
      <c r="B88" s="34" t="s">
        <v>131</v>
      </c>
      <c r="C88" s="35">
        <f>[6]С3!F19</f>
        <v>3487.1555421534131</v>
      </c>
    </row>
    <row r="89" spans="1:3" s="64" customFormat="1" ht="55.5">
      <c r="A89" s="78" t="s">
        <v>132</v>
      </c>
      <c r="B89" s="54" t="s">
        <v>133</v>
      </c>
      <c r="C89" s="81">
        <f>[6]С3!F20</f>
        <v>2.1999999999999999E-2</v>
      </c>
    </row>
    <row r="90" spans="1:3" s="64" customFormat="1" ht="14.25">
      <c r="A90" s="78" t="s">
        <v>134</v>
      </c>
      <c r="B90" s="59" t="s">
        <v>80</v>
      </c>
      <c r="C90" s="63">
        <f>[6]С3!F21</f>
        <v>10</v>
      </c>
    </row>
    <row r="91" spans="1:3" s="64" customFormat="1" ht="17.25">
      <c r="A91" s="78" t="s">
        <v>135</v>
      </c>
      <c r="B91" s="34" t="s">
        <v>136</v>
      </c>
      <c r="C91" s="35">
        <f>[6]С3!F22</f>
        <v>6.8231796744548348</v>
      </c>
    </row>
    <row r="92" spans="1:3" s="64" customFormat="1" ht="55.5">
      <c r="A92" s="78" t="s">
        <v>137</v>
      </c>
      <c r="B92" s="54" t="s">
        <v>138</v>
      </c>
      <c r="C92" s="81">
        <f>[6]С3!F23</f>
        <v>3.0000000000000001E-3</v>
      </c>
    </row>
    <row r="93" spans="1:3" s="64" customFormat="1" ht="27.75" thickBot="1">
      <c r="A93" s="82" t="s">
        <v>139</v>
      </c>
      <c r="B93" s="83" t="s">
        <v>140</v>
      </c>
      <c r="C93" s="84">
        <f>[6]С3!F24</f>
        <v>2274.3932248182782</v>
      </c>
    </row>
    <row r="94" spans="1:3" ht="13.5" thickBot="1">
      <c r="A94" s="48"/>
      <c r="B94" s="76"/>
      <c r="C94" s="15"/>
    </row>
    <row r="95" spans="1:3" ht="30" customHeight="1">
      <c r="A95" s="85" t="s">
        <v>141</v>
      </c>
      <c r="B95" s="142" t="s">
        <v>142</v>
      </c>
      <c r="C95" s="142"/>
    </row>
    <row r="96" spans="1:3" ht="30">
      <c r="A96" s="60" t="s">
        <v>143</v>
      </c>
      <c r="B96" s="34" t="s">
        <v>144</v>
      </c>
      <c r="C96" s="35">
        <f>[6]С4!F16</f>
        <v>1652.5</v>
      </c>
    </row>
    <row r="97" spans="1:3" ht="30">
      <c r="A97" s="60" t="s">
        <v>145</v>
      </c>
      <c r="B97" s="59" t="s">
        <v>146</v>
      </c>
      <c r="C97" s="35">
        <f>[6]С4!F17</f>
        <v>73547</v>
      </c>
    </row>
    <row r="98" spans="1:3" ht="17.25">
      <c r="A98" s="60" t="s">
        <v>147</v>
      </c>
      <c r="B98" s="59" t="s">
        <v>148</v>
      </c>
      <c r="C98" s="41">
        <f>[6]С4!F18</f>
        <v>0.02</v>
      </c>
    </row>
    <row r="99" spans="1:3" ht="30">
      <c r="A99" s="60" t="s">
        <v>149</v>
      </c>
      <c r="B99" s="59" t="s">
        <v>150</v>
      </c>
      <c r="C99" s="35">
        <f>[6]С4!F19</f>
        <v>12104</v>
      </c>
    </row>
    <row r="100" spans="1:3" ht="31.5">
      <c r="A100" s="60" t="s">
        <v>151</v>
      </c>
      <c r="B100" s="59" t="s">
        <v>152</v>
      </c>
      <c r="C100" s="41">
        <f>[6]С4!F20</f>
        <v>1.4999999999999999E-2</v>
      </c>
    </row>
    <row r="101" spans="1:3" ht="30">
      <c r="A101" s="60" t="s">
        <v>153</v>
      </c>
      <c r="B101" s="34" t="s">
        <v>154</v>
      </c>
      <c r="C101" s="35">
        <f>[6]С4!F21</f>
        <v>1933.1949342509995</v>
      </c>
    </row>
    <row r="102" spans="1:3" ht="24" customHeight="1">
      <c r="A102" s="60" t="s">
        <v>155</v>
      </c>
      <c r="B102" s="54" t="s">
        <v>156</v>
      </c>
      <c r="C102" s="86">
        <f>IF([6]С4.2!F8="да",[6]С4.2!D21,[6]С4.2!D15)</f>
        <v>0</v>
      </c>
    </row>
    <row r="103" spans="1:3" ht="68.25">
      <c r="A103" s="60" t="s">
        <v>157</v>
      </c>
      <c r="B103" s="54" t="s">
        <v>158</v>
      </c>
      <c r="C103" s="35">
        <f>[6]С4!F22</f>
        <v>3.6112641666666665</v>
      </c>
    </row>
    <row r="104" spans="1:3" ht="30">
      <c r="A104" s="60" t="s">
        <v>159</v>
      </c>
      <c r="B104" s="59" t="s">
        <v>160</v>
      </c>
      <c r="C104" s="35">
        <f>[6]С4!F23</f>
        <v>180</v>
      </c>
    </row>
    <row r="105" spans="1:3" ht="14.25">
      <c r="A105" s="60" t="s">
        <v>161</v>
      </c>
      <c r="B105" s="54" t="s">
        <v>162</v>
      </c>
      <c r="C105" s="35">
        <f>[6]С4!F24</f>
        <v>8497.1999999999989</v>
      </c>
    </row>
    <row r="106" spans="1:3" ht="14.25">
      <c r="A106" s="60" t="s">
        <v>163</v>
      </c>
      <c r="B106" s="59" t="s">
        <v>164</v>
      </c>
      <c r="C106" s="41">
        <f>[6]С4!F25</f>
        <v>0.35</v>
      </c>
    </row>
    <row r="107" spans="1:3" ht="17.25">
      <c r="A107" s="60" t="s">
        <v>165</v>
      </c>
      <c r="B107" s="34" t="s">
        <v>166</v>
      </c>
      <c r="C107" s="35">
        <f>[6]С4!F26</f>
        <v>71.986920000000012</v>
      </c>
    </row>
    <row r="108" spans="1:3" ht="25.5">
      <c r="A108" s="60" t="s">
        <v>167</v>
      </c>
      <c r="B108" s="54" t="s">
        <v>94</v>
      </c>
      <c r="C108" s="86">
        <f>[6]С4.3!E16</f>
        <v>0</v>
      </c>
    </row>
    <row r="109" spans="1:3" ht="25.5">
      <c r="A109" s="60" t="s">
        <v>168</v>
      </c>
      <c r="B109" s="54" t="s">
        <v>169</v>
      </c>
      <c r="C109" s="35">
        <f>[6]С4.3!E17</f>
        <v>19.600000000000001</v>
      </c>
    </row>
    <row r="110" spans="1:3" ht="38.25">
      <c r="A110" s="60" t="s">
        <v>170</v>
      </c>
      <c r="B110" s="54" t="s">
        <v>106</v>
      </c>
      <c r="C110" s="86">
        <f>[6]С4.3!E18</f>
        <v>0</v>
      </c>
    </row>
    <row r="111" spans="1:3">
      <c r="A111" s="60" t="s">
        <v>171</v>
      </c>
      <c r="B111" s="54" t="s">
        <v>172</v>
      </c>
      <c r="C111" s="35">
        <f>[6]С4.3!E19</f>
        <v>15.93</v>
      </c>
    </row>
    <row r="112" spans="1:3">
      <c r="A112" s="60" t="s">
        <v>173</v>
      </c>
      <c r="B112" s="59" t="s">
        <v>174</v>
      </c>
      <c r="C112" s="35">
        <f>[6]С4.3!E11</f>
        <v>1871</v>
      </c>
    </row>
    <row r="113" spans="1:3">
      <c r="A113" s="60" t="s">
        <v>175</v>
      </c>
      <c r="B113" s="59" t="s">
        <v>176</v>
      </c>
      <c r="C113" s="53">
        <f>[6]С4.3!E12</f>
        <v>1636</v>
      </c>
    </row>
    <row r="114" spans="1:3">
      <c r="A114" s="60" t="s">
        <v>177</v>
      </c>
      <c r="B114" s="59" t="s">
        <v>178</v>
      </c>
      <c r="C114" s="53">
        <f>[6]С4.3!E13</f>
        <v>204</v>
      </c>
    </row>
    <row r="115" spans="1:3" ht="30">
      <c r="A115" s="60" t="s">
        <v>179</v>
      </c>
      <c r="B115" s="34" t="s">
        <v>180</v>
      </c>
      <c r="C115" s="35">
        <f>[6]С4!F27</f>
        <v>2164.8316773434499</v>
      </c>
    </row>
    <row r="116" spans="1:3" ht="25.5">
      <c r="A116" s="60" t="s">
        <v>181</v>
      </c>
      <c r="B116" s="54" t="s">
        <v>182</v>
      </c>
      <c r="C116" s="35">
        <f>[6]С4!F28</f>
        <v>1662.6971408167815</v>
      </c>
    </row>
    <row r="117" spans="1:3" ht="42.75">
      <c r="A117" s="60" t="s">
        <v>183</v>
      </c>
      <c r="B117" s="54" t="s">
        <v>184</v>
      </c>
      <c r="C117" s="35">
        <f>[6]С4!F29</f>
        <v>502.13453652666817</v>
      </c>
    </row>
    <row r="118" spans="1:3" ht="30">
      <c r="A118" s="60" t="s">
        <v>185</v>
      </c>
      <c r="B118" s="40" t="s">
        <v>186</v>
      </c>
      <c r="C118" s="35">
        <f>[6]С4!F30</f>
        <v>2260.6454578372432</v>
      </c>
    </row>
    <row r="119" spans="1:3" ht="42.75">
      <c r="A119" s="60" t="s">
        <v>187</v>
      </c>
      <c r="B119" s="87" t="s">
        <v>188</v>
      </c>
      <c r="C119" s="35">
        <f>[6]С4!F33</f>
        <v>1464.582345557139</v>
      </c>
    </row>
    <row r="120" spans="1:3" ht="30">
      <c r="A120" s="60" t="s">
        <v>189</v>
      </c>
      <c r="B120" s="88" t="s">
        <v>190</v>
      </c>
      <c r="C120" s="35">
        <f>[6]С4!F35</f>
        <v>17.040680999999999</v>
      </c>
    </row>
    <row r="121" spans="1:3" ht="14.25">
      <c r="A121" s="60" t="s">
        <v>191</v>
      </c>
      <c r="B121" s="57" t="s">
        <v>192</v>
      </c>
      <c r="C121" s="35">
        <f>[6]С4!F36</f>
        <v>14319.9</v>
      </c>
    </row>
    <row r="122" spans="1:3" ht="28.5" thickBot="1">
      <c r="A122" s="73" t="s">
        <v>193</v>
      </c>
      <c r="B122" s="89" t="s">
        <v>194</v>
      </c>
      <c r="C122" s="84">
        <f>[6]С4!F37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[6]С5!F17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[6]С2!F37</f>
        <v>20.818139999999996</v>
      </c>
    </row>
    <row r="136" spans="1:3" ht="14.25">
      <c r="A136" s="60" t="s">
        <v>216</v>
      </c>
      <c r="B136" s="102" t="s">
        <v>217</v>
      </c>
      <c r="C136" s="35">
        <f>[6]С2!F38</f>
        <v>7</v>
      </c>
    </row>
    <row r="137" spans="1:3" ht="17.25">
      <c r="A137" s="60" t="s">
        <v>218</v>
      </c>
      <c r="B137" s="102" t="s">
        <v>219</v>
      </c>
      <c r="C137" s="35">
        <f>[6]С2!F40</f>
        <v>0.97</v>
      </c>
    </row>
    <row r="138" spans="1:3" ht="15" thickBot="1">
      <c r="A138" s="73" t="s">
        <v>220</v>
      </c>
      <c r="B138" s="103" t="s">
        <v>221</v>
      </c>
      <c r="C138" s="47">
        <f>[6]С2!F42</f>
        <v>0.35</v>
      </c>
    </row>
    <row r="139" spans="1:3" s="90" customFormat="1" ht="13.5" thickBot="1">
      <c r="A139" s="48"/>
      <c r="B139" s="76"/>
      <c r="C139" s="15"/>
    </row>
    <row r="140" spans="1:3" ht="30">
      <c r="A140" s="85" t="s">
        <v>222</v>
      </c>
      <c r="B140" s="104" t="s">
        <v>223</v>
      </c>
      <c r="C140" s="105">
        <f>[6]С2!F35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[6]С2.5!$E$11</f>
        <v>-2.9000000000000026E-2</v>
      </c>
    </row>
    <row r="144" spans="1:3">
      <c r="A144" s="107"/>
      <c r="B144" s="112">
        <f>B143+1</f>
        <v>2021</v>
      </c>
      <c r="C144" s="113">
        <f>[6]С2.5!$F$11</f>
        <v>0.245</v>
      </c>
    </row>
    <row r="145" spans="1:3">
      <c r="A145" s="107"/>
      <c r="B145" s="112">
        <f t="shared" ref="B145:B208" si="0">B144+1</f>
        <v>2022</v>
      </c>
      <c r="C145" s="113">
        <f>[6]С2.5!$G$11</f>
        <v>0.121</v>
      </c>
    </row>
    <row r="146" spans="1:3" ht="13.5" thickBot="1">
      <c r="A146" s="107"/>
      <c r="B146" s="114">
        <f t="shared" si="0"/>
        <v>2023</v>
      </c>
      <c r="C146" s="115">
        <f>[6]С2.5!$H$11</f>
        <v>0.02</v>
      </c>
    </row>
    <row r="147" spans="1:3" hidden="1">
      <c r="A147" s="107"/>
      <c r="B147" s="116">
        <f t="shared" si="0"/>
        <v>2024</v>
      </c>
      <c r="C147" s="117">
        <f>[6]С2.5!$I$11</f>
        <v>-2.93E-2</v>
      </c>
    </row>
    <row r="148" spans="1:3" hidden="1">
      <c r="A148" s="107"/>
      <c r="B148" s="112">
        <f t="shared" si="0"/>
        <v>2025</v>
      </c>
      <c r="C148" s="113">
        <f>[6]С2.5!$J$11</f>
        <v>0.21215960863291</v>
      </c>
    </row>
    <row r="149" spans="1:3" hidden="1">
      <c r="A149" s="107"/>
      <c r="B149" s="112">
        <f t="shared" si="0"/>
        <v>2026</v>
      </c>
      <c r="C149" s="113">
        <f>[6]С2.5!$K$11</f>
        <v>3.5813361771260002E-2</v>
      </c>
    </row>
    <row r="150" spans="1:3" hidden="1">
      <c r="A150" s="107"/>
      <c r="B150" s="112">
        <f t="shared" si="0"/>
        <v>2027</v>
      </c>
      <c r="C150" s="113">
        <f>[6]С2.5!$L$11</f>
        <v>3.2682303599220003E-2</v>
      </c>
    </row>
    <row r="151" spans="1:3" hidden="1">
      <c r="A151" s="107"/>
      <c r="B151" s="112">
        <f t="shared" si="0"/>
        <v>2028</v>
      </c>
      <c r="C151" s="113">
        <f>[6]С2.5!$M$11</f>
        <v>0</v>
      </c>
    </row>
    <row r="152" spans="1:3" hidden="1">
      <c r="A152" s="107"/>
      <c r="B152" s="112">
        <f t="shared" si="0"/>
        <v>2029</v>
      </c>
      <c r="C152" s="113">
        <f>[6]С2.5!$N$11</f>
        <v>0</v>
      </c>
    </row>
    <row r="153" spans="1:3" hidden="1">
      <c r="A153" s="107"/>
      <c r="B153" s="112">
        <f t="shared" si="0"/>
        <v>2030</v>
      </c>
      <c r="C153" s="113">
        <f>[6]С2.5!$O$11</f>
        <v>0</v>
      </c>
    </row>
    <row r="154" spans="1:3" hidden="1">
      <c r="A154" s="107"/>
      <c r="B154" s="112">
        <f t="shared" si="0"/>
        <v>2031</v>
      </c>
      <c r="C154" s="113">
        <f>[6]С2.5!$P$11</f>
        <v>0</v>
      </c>
    </row>
    <row r="155" spans="1:3" hidden="1">
      <c r="A155" s="90"/>
      <c r="B155" s="112">
        <f t="shared" si="0"/>
        <v>2032</v>
      </c>
      <c r="C155" s="113">
        <f>[6]С2.5!$Q$11</f>
        <v>0</v>
      </c>
    </row>
    <row r="156" spans="1:3" hidden="1">
      <c r="A156" s="90"/>
      <c r="B156" s="112">
        <f t="shared" si="0"/>
        <v>2033</v>
      </c>
      <c r="C156" s="113">
        <f>[6]С2.5!$R$11</f>
        <v>0</v>
      </c>
    </row>
    <row r="157" spans="1:3" hidden="1">
      <c r="B157" s="112">
        <f t="shared" si="0"/>
        <v>2034</v>
      </c>
      <c r="C157" s="113">
        <f>[6]С2.5!$S$11</f>
        <v>0</v>
      </c>
    </row>
    <row r="158" spans="1:3" hidden="1">
      <c r="B158" s="112">
        <f t="shared" si="0"/>
        <v>2035</v>
      </c>
      <c r="C158" s="113">
        <f>[6]С2.5!$T$11</f>
        <v>0</v>
      </c>
    </row>
    <row r="159" spans="1:3" hidden="1">
      <c r="B159" s="112">
        <f t="shared" si="0"/>
        <v>2036</v>
      </c>
      <c r="C159" s="113">
        <f>[6]С2.5!$U$11</f>
        <v>0</v>
      </c>
    </row>
    <row r="160" spans="1:3" hidden="1">
      <c r="B160" s="112">
        <f t="shared" si="0"/>
        <v>2037</v>
      </c>
      <c r="C160" s="113">
        <f>[6]С2.5!$V$11</f>
        <v>0</v>
      </c>
    </row>
    <row r="161" spans="2:3" hidden="1">
      <c r="B161" s="112">
        <f t="shared" si="0"/>
        <v>2038</v>
      </c>
      <c r="C161" s="113">
        <f>[6]С2.5!$W$11</f>
        <v>0</v>
      </c>
    </row>
    <row r="162" spans="2:3" hidden="1">
      <c r="B162" s="112">
        <f t="shared" si="0"/>
        <v>2039</v>
      </c>
      <c r="C162" s="113">
        <f>[6]С2.5!$X$11</f>
        <v>0</v>
      </c>
    </row>
    <row r="163" spans="2:3" hidden="1">
      <c r="B163" s="112">
        <f t="shared" si="0"/>
        <v>2040</v>
      </c>
      <c r="C163" s="113">
        <f>[6]С2.5!$Y$11</f>
        <v>0</v>
      </c>
    </row>
    <row r="164" spans="2:3" hidden="1">
      <c r="B164" s="112">
        <f t="shared" si="0"/>
        <v>2041</v>
      </c>
      <c r="C164" s="113">
        <f>[6]С2.5!$Z$11</f>
        <v>0</v>
      </c>
    </row>
    <row r="165" spans="2:3" hidden="1">
      <c r="B165" s="112">
        <f t="shared" si="0"/>
        <v>2042</v>
      </c>
      <c r="C165" s="113">
        <f>[6]С2.5!$AA$11</f>
        <v>0</v>
      </c>
    </row>
    <row r="166" spans="2:3" hidden="1">
      <c r="B166" s="112">
        <f t="shared" si="0"/>
        <v>2043</v>
      </c>
      <c r="C166" s="113">
        <f>[6]С2.5!$AB$11</f>
        <v>0</v>
      </c>
    </row>
    <row r="167" spans="2:3" hidden="1">
      <c r="B167" s="112">
        <f t="shared" si="0"/>
        <v>2044</v>
      </c>
      <c r="C167" s="113">
        <f>[6]С2.5!$AC$11</f>
        <v>0</v>
      </c>
    </row>
    <row r="168" spans="2:3" hidden="1">
      <c r="B168" s="112">
        <f t="shared" si="0"/>
        <v>2045</v>
      </c>
      <c r="C168" s="113">
        <f>[6]С2.5!$AD$11</f>
        <v>0</v>
      </c>
    </row>
    <row r="169" spans="2:3" hidden="1">
      <c r="B169" s="112">
        <f t="shared" si="0"/>
        <v>2046</v>
      </c>
      <c r="C169" s="113">
        <f>[6]С2.5!$AE$11</f>
        <v>0</v>
      </c>
    </row>
    <row r="170" spans="2:3" hidden="1">
      <c r="B170" s="112">
        <f t="shared" si="0"/>
        <v>2047</v>
      </c>
      <c r="C170" s="113">
        <f>[6]С2.5!$AF$11</f>
        <v>0</v>
      </c>
    </row>
    <row r="171" spans="2:3" hidden="1">
      <c r="B171" s="112">
        <f t="shared" si="0"/>
        <v>2048</v>
      </c>
      <c r="C171" s="113">
        <f>[6]С2.5!$AG$11</f>
        <v>0</v>
      </c>
    </row>
    <row r="172" spans="2:3" hidden="1">
      <c r="B172" s="112">
        <f t="shared" si="0"/>
        <v>2049</v>
      </c>
      <c r="C172" s="113">
        <f>[6]С2.5!$AH$11</f>
        <v>0</v>
      </c>
    </row>
    <row r="173" spans="2:3" hidden="1">
      <c r="B173" s="112">
        <f t="shared" si="0"/>
        <v>2050</v>
      </c>
      <c r="C173" s="113">
        <f>[6]С2.5!$AI$11</f>
        <v>0</v>
      </c>
    </row>
    <row r="174" spans="2:3" hidden="1">
      <c r="B174" s="112">
        <f t="shared" si="0"/>
        <v>2051</v>
      </c>
      <c r="C174" s="113">
        <f>[6]С2.5!$AJ$11</f>
        <v>0</v>
      </c>
    </row>
    <row r="175" spans="2:3" hidden="1">
      <c r="B175" s="112">
        <f t="shared" si="0"/>
        <v>2052</v>
      </c>
      <c r="C175" s="113">
        <f>[6]С2.5!$AK$11</f>
        <v>0</v>
      </c>
    </row>
    <row r="176" spans="2:3" hidden="1">
      <c r="B176" s="112">
        <f t="shared" si="0"/>
        <v>2053</v>
      </c>
      <c r="C176" s="113">
        <f>[6]С2.5!$AL$11</f>
        <v>0</v>
      </c>
    </row>
    <row r="177" spans="2:3" hidden="1">
      <c r="B177" s="112">
        <f t="shared" si="0"/>
        <v>2054</v>
      </c>
      <c r="C177" s="113">
        <f>[6]С2.5!$AM$11</f>
        <v>0</v>
      </c>
    </row>
    <row r="178" spans="2:3" hidden="1">
      <c r="B178" s="112">
        <f t="shared" si="0"/>
        <v>2055</v>
      </c>
      <c r="C178" s="113">
        <f>[6]С2.5!$AN$11</f>
        <v>0</v>
      </c>
    </row>
    <row r="179" spans="2:3" hidden="1">
      <c r="B179" s="112">
        <f t="shared" si="0"/>
        <v>2056</v>
      </c>
      <c r="C179" s="113">
        <f>[6]С2.5!$AO$11</f>
        <v>0</v>
      </c>
    </row>
    <row r="180" spans="2:3" hidden="1">
      <c r="B180" s="112">
        <f t="shared" si="0"/>
        <v>2057</v>
      </c>
      <c r="C180" s="113">
        <f>[6]С2.5!$AP$11</f>
        <v>0</v>
      </c>
    </row>
    <row r="181" spans="2:3" hidden="1">
      <c r="B181" s="112">
        <f t="shared" si="0"/>
        <v>2058</v>
      </c>
      <c r="C181" s="113">
        <f>[6]С2.5!$AQ$11</f>
        <v>0</v>
      </c>
    </row>
    <row r="182" spans="2:3" hidden="1">
      <c r="B182" s="112">
        <f t="shared" si="0"/>
        <v>2059</v>
      </c>
      <c r="C182" s="113">
        <f>[6]С2.5!$AR$11</f>
        <v>0</v>
      </c>
    </row>
    <row r="183" spans="2:3" hidden="1">
      <c r="B183" s="112">
        <f t="shared" si="0"/>
        <v>2060</v>
      </c>
      <c r="C183" s="113">
        <f>[6]С2.5!$AS$11</f>
        <v>0</v>
      </c>
    </row>
    <row r="184" spans="2:3" hidden="1">
      <c r="B184" s="112">
        <f t="shared" si="0"/>
        <v>2061</v>
      </c>
      <c r="C184" s="113">
        <f>[6]С2.5!$AT$11</f>
        <v>0</v>
      </c>
    </row>
    <row r="185" spans="2:3" hidden="1">
      <c r="B185" s="112">
        <f t="shared" si="0"/>
        <v>2062</v>
      </c>
      <c r="C185" s="113">
        <f>[6]С2.5!$AU$11</f>
        <v>0</v>
      </c>
    </row>
    <row r="186" spans="2:3" hidden="1">
      <c r="B186" s="112">
        <f t="shared" si="0"/>
        <v>2063</v>
      </c>
      <c r="C186" s="113">
        <f>[6]С2.5!$AV$11</f>
        <v>0</v>
      </c>
    </row>
    <row r="187" spans="2:3" hidden="1">
      <c r="B187" s="112">
        <f t="shared" si="0"/>
        <v>2064</v>
      </c>
      <c r="C187" s="113">
        <f>[6]С2.5!$AW$11</f>
        <v>0</v>
      </c>
    </row>
    <row r="188" spans="2:3" hidden="1">
      <c r="B188" s="112">
        <f t="shared" si="0"/>
        <v>2065</v>
      </c>
      <c r="C188" s="113">
        <f>[6]С2.5!$AX$11</f>
        <v>0</v>
      </c>
    </row>
    <row r="189" spans="2:3" hidden="1">
      <c r="B189" s="112">
        <f t="shared" si="0"/>
        <v>2066</v>
      </c>
      <c r="C189" s="113">
        <f>[6]С2.5!$AY$11</f>
        <v>0</v>
      </c>
    </row>
    <row r="190" spans="2:3" hidden="1">
      <c r="B190" s="112">
        <f t="shared" si="0"/>
        <v>2067</v>
      </c>
      <c r="C190" s="113">
        <f>[6]С2.5!$AZ$11</f>
        <v>0</v>
      </c>
    </row>
    <row r="191" spans="2:3" hidden="1">
      <c r="B191" s="112">
        <f t="shared" si="0"/>
        <v>2068</v>
      </c>
      <c r="C191" s="113">
        <f>[6]С2.5!$BA$11</f>
        <v>0</v>
      </c>
    </row>
    <row r="192" spans="2:3" hidden="1">
      <c r="B192" s="112">
        <f t="shared" si="0"/>
        <v>2069</v>
      </c>
      <c r="C192" s="113">
        <f>[6]С2.5!$BB$11</f>
        <v>0</v>
      </c>
    </row>
    <row r="193" spans="2:3" hidden="1">
      <c r="B193" s="112">
        <f t="shared" si="0"/>
        <v>2070</v>
      </c>
      <c r="C193" s="113">
        <f>[6]С2.5!$BC$11</f>
        <v>0</v>
      </c>
    </row>
    <row r="194" spans="2:3" hidden="1">
      <c r="B194" s="112">
        <f t="shared" si="0"/>
        <v>2071</v>
      </c>
      <c r="C194" s="113">
        <f>[6]С2.5!$BD$11</f>
        <v>0</v>
      </c>
    </row>
    <row r="195" spans="2:3" hidden="1">
      <c r="B195" s="112">
        <f t="shared" si="0"/>
        <v>2072</v>
      </c>
      <c r="C195" s="113">
        <f>[6]С2.5!$BE$11</f>
        <v>0</v>
      </c>
    </row>
    <row r="196" spans="2:3" hidden="1">
      <c r="B196" s="112">
        <f t="shared" si="0"/>
        <v>2073</v>
      </c>
      <c r="C196" s="113">
        <f>[6]С2.5!$BF$11</f>
        <v>0</v>
      </c>
    </row>
    <row r="197" spans="2:3" hidden="1">
      <c r="B197" s="112">
        <f t="shared" si="0"/>
        <v>2074</v>
      </c>
      <c r="C197" s="113">
        <f>[6]С2.5!$BG$11</f>
        <v>0</v>
      </c>
    </row>
    <row r="198" spans="2:3" hidden="1">
      <c r="B198" s="112">
        <f t="shared" si="0"/>
        <v>2075</v>
      </c>
      <c r="C198" s="113">
        <f>[6]С2.5!$BH$11</f>
        <v>0</v>
      </c>
    </row>
    <row r="199" spans="2:3" hidden="1">
      <c r="B199" s="112">
        <f t="shared" si="0"/>
        <v>2076</v>
      </c>
      <c r="C199" s="113">
        <f>[6]С2.5!$BI$11</f>
        <v>0</v>
      </c>
    </row>
    <row r="200" spans="2:3" hidden="1">
      <c r="B200" s="112">
        <f t="shared" si="0"/>
        <v>2077</v>
      </c>
      <c r="C200" s="113">
        <f>[6]С2.5!$BJ$11</f>
        <v>0</v>
      </c>
    </row>
    <row r="201" spans="2:3" hidden="1">
      <c r="B201" s="112">
        <f t="shared" si="0"/>
        <v>2078</v>
      </c>
      <c r="C201" s="113">
        <f>[6]С2.5!$BK$11</f>
        <v>0</v>
      </c>
    </row>
    <row r="202" spans="2:3" hidden="1">
      <c r="B202" s="112">
        <f t="shared" si="0"/>
        <v>2079</v>
      </c>
      <c r="C202" s="113">
        <f>[6]С2.5!$BL$11</f>
        <v>0</v>
      </c>
    </row>
    <row r="203" spans="2:3" hidden="1">
      <c r="B203" s="112">
        <f t="shared" si="0"/>
        <v>2080</v>
      </c>
      <c r="C203" s="113">
        <f>[6]С2.5!$BM$11</f>
        <v>0</v>
      </c>
    </row>
    <row r="204" spans="2:3" hidden="1">
      <c r="B204" s="112">
        <f t="shared" si="0"/>
        <v>2081</v>
      </c>
      <c r="C204" s="113">
        <f>[6]С2.5!$BN$11</f>
        <v>0</v>
      </c>
    </row>
    <row r="205" spans="2:3" hidden="1">
      <c r="B205" s="112">
        <f t="shared" si="0"/>
        <v>2082</v>
      </c>
      <c r="C205" s="113">
        <f>[6]С2.5!$BO$11</f>
        <v>0</v>
      </c>
    </row>
    <row r="206" spans="2:3" hidden="1">
      <c r="B206" s="112">
        <f t="shared" si="0"/>
        <v>2083</v>
      </c>
      <c r="C206" s="113">
        <f>[6]С2.5!$BP$11</f>
        <v>0</v>
      </c>
    </row>
    <row r="207" spans="2:3" hidden="1">
      <c r="B207" s="112">
        <f t="shared" si="0"/>
        <v>2084</v>
      </c>
      <c r="C207" s="113">
        <f>[6]С2.5!$BQ$11</f>
        <v>0</v>
      </c>
    </row>
    <row r="208" spans="2:3" hidden="1">
      <c r="B208" s="112">
        <f t="shared" si="0"/>
        <v>2085</v>
      </c>
      <c r="C208" s="113">
        <f>[6]С2.5!$BR$11</f>
        <v>0</v>
      </c>
    </row>
    <row r="209" spans="2:3" hidden="1">
      <c r="B209" s="112">
        <f t="shared" ref="B209:B223" si="1">B208+1</f>
        <v>2086</v>
      </c>
      <c r="C209" s="113">
        <f>[6]С2.5!$BS$11</f>
        <v>0</v>
      </c>
    </row>
    <row r="210" spans="2:3" hidden="1">
      <c r="B210" s="112">
        <f t="shared" si="1"/>
        <v>2087</v>
      </c>
      <c r="C210" s="113">
        <f>[6]С2.5!$BT$11</f>
        <v>0</v>
      </c>
    </row>
    <row r="211" spans="2:3" hidden="1">
      <c r="B211" s="112">
        <f t="shared" si="1"/>
        <v>2088</v>
      </c>
      <c r="C211" s="113">
        <f>[6]С2.5!$BU$11</f>
        <v>0</v>
      </c>
    </row>
    <row r="212" spans="2:3" hidden="1">
      <c r="B212" s="112">
        <f t="shared" si="1"/>
        <v>2089</v>
      </c>
      <c r="C212" s="113">
        <f>[6]С2.5!$BV$11</f>
        <v>0</v>
      </c>
    </row>
    <row r="213" spans="2:3" hidden="1">
      <c r="B213" s="112">
        <f t="shared" si="1"/>
        <v>2090</v>
      </c>
      <c r="C213" s="113">
        <f>[6]С2.5!$BW$11</f>
        <v>0</v>
      </c>
    </row>
    <row r="214" spans="2:3" hidden="1">
      <c r="B214" s="112">
        <f t="shared" si="1"/>
        <v>2091</v>
      </c>
      <c r="C214" s="113">
        <f>[6]С2.5!$BX$11</f>
        <v>0</v>
      </c>
    </row>
    <row r="215" spans="2:3" hidden="1">
      <c r="B215" s="112">
        <f t="shared" si="1"/>
        <v>2092</v>
      </c>
      <c r="C215" s="113">
        <f>[6]С2.5!$BY$11</f>
        <v>0</v>
      </c>
    </row>
    <row r="216" spans="2:3" hidden="1">
      <c r="B216" s="112">
        <f t="shared" si="1"/>
        <v>2093</v>
      </c>
      <c r="C216" s="113">
        <f>[6]С2.5!$BZ$11</f>
        <v>0</v>
      </c>
    </row>
    <row r="217" spans="2:3" hidden="1">
      <c r="B217" s="112">
        <f t="shared" si="1"/>
        <v>2094</v>
      </c>
      <c r="C217" s="113">
        <f>[6]С2.5!$CA$11</f>
        <v>0</v>
      </c>
    </row>
    <row r="218" spans="2:3" hidden="1">
      <c r="B218" s="112">
        <f t="shared" si="1"/>
        <v>2095</v>
      </c>
      <c r="C218" s="113">
        <f>[6]С2.5!$CB$11</f>
        <v>0</v>
      </c>
    </row>
    <row r="219" spans="2:3" hidden="1">
      <c r="B219" s="112">
        <f t="shared" si="1"/>
        <v>2096</v>
      </c>
      <c r="C219" s="113">
        <f>[6]С2.5!$CC$11</f>
        <v>0</v>
      </c>
    </row>
    <row r="220" spans="2:3" hidden="1">
      <c r="B220" s="112">
        <f t="shared" si="1"/>
        <v>2097</v>
      </c>
      <c r="C220" s="113">
        <f>[6]С2.5!$CD$11</f>
        <v>0</v>
      </c>
    </row>
    <row r="221" spans="2:3" hidden="1">
      <c r="B221" s="112">
        <f t="shared" si="1"/>
        <v>2098</v>
      </c>
      <c r="C221" s="113">
        <f>[6]С2.5!$CE$11</f>
        <v>0</v>
      </c>
    </row>
    <row r="222" spans="2:3" hidden="1">
      <c r="B222" s="112">
        <f t="shared" si="1"/>
        <v>2099</v>
      </c>
      <c r="C222" s="113">
        <f>[6]С2.5!$CF$11</f>
        <v>0</v>
      </c>
    </row>
    <row r="223" spans="2:3" ht="13.5" hidden="1" thickBot="1">
      <c r="B223" s="114">
        <f t="shared" si="1"/>
        <v>2100</v>
      </c>
      <c r="C223" s="115">
        <f>[6]С2.5!$CG$11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opLeftCell="A7" workbookViewId="0">
      <selection activeCell="D2" sqref="D1:H1048576"/>
    </sheetView>
  </sheetViews>
  <sheetFormatPr defaultRowHeight="12.75"/>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[7]И1!D13</f>
        <v>Субъект Российской Федерации</v>
      </c>
      <c r="C4" s="10" t="str">
        <f>[7]И1!E13</f>
        <v>Новосибирская область</v>
      </c>
    </row>
    <row r="5" spans="1:3">
      <c r="A5" s="8"/>
      <c r="B5" s="9" t="str">
        <f>[7]И1!D14</f>
        <v>Тип муниципального образования (выберите из списка)</v>
      </c>
      <c r="C5" s="10" t="str">
        <f>[7]И1!E14</f>
        <v>село Булатово</v>
      </c>
    </row>
    <row r="6" spans="1:3">
      <c r="A6" s="8"/>
      <c r="B6" s="9" t="str">
        <f>IF([7]И1!E15="","",[7]И1!D15)</f>
        <v/>
      </c>
      <c r="C6" s="10" t="str">
        <f>IF([7]И1!E15="","",[7]И1!E15)</f>
        <v/>
      </c>
    </row>
    <row r="7" spans="1:3">
      <c r="A7" s="8"/>
      <c r="B7" s="9" t="str">
        <f>[7]И1!D16</f>
        <v>Код ОКТМО</v>
      </c>
      <c r="C7" s="11" t="str">
        <f>[7]И1!E16</f>
        <v>50630407101</v>
      </c>
    </row>
    <row r="8" spans="1:3">
      <c r="A8" s="8"/>
      <c r="B8" s="12" t="str">
        <f>[7]И1!D17</f>
        <v>Система теплоснабжения</v>
      </c>
      <c r="C8" s="13">
        <f>[7]И1!E17</f>
        <v>0</v>
      </c>
    </row>
    <row r="9" spans="1:3">
      <c r="A9" s="8"/>
      <c r="B9" s="9" t="str">
        <f>[7]И1!D8</f>
        <v>Период регулирования (i)-й</v>
      </c>
      <c r="C9" s="14">
        <f>[7]И1!E8</f>
        <v>2023</v>
      </c>
    </row>
    <row r="10" spans="1:3">
      <c r="A10" s="8"/>
      <c r="B10" s="9" t="str">
        <f>[7]И1!D9</f>
        <v>Период регулирования (i-1)-й</v>
      </c>
      <c r="C10" s="14">
        <f>[7]И1!E9</f>
        <v>2022</v>
      </c>
    </row>
    <row r="11" spans="1:3">
      <c r="A11" s="8"/>
      <c r="B11" s="9" t="str">
        <f>[7]И1!D10</f>
        <v>Период регулирования (i-2)-й</v>
      </c>
      <c r="C11" s="14">
        <f>[7]И1!E10</f>
        <v>2021</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4201.5960955826604</v>
      </c>
    </row>
    <row r="18" spans="1:3" ht="42.75">
      <c r="A18" s="22" t="s">
        <v>8</v>
      </c>
      <c r="B18" s="25" t="s">
        <v>9</v>
      </c>
      <c r="C18" s="26">
        <f>[7]С1!F12</f>
        <v>999.72960558445561</v>
      </c>
    </row>
    <row r="19" spans="1:3" ht="42.75">
      <c r="A19" s="22" t="s">
        <v>10</v>
      </c>
      <c r="B19" s="25" t="s">
        <v>11</v>
      </c>
      <c r="C19" s="26">
        <f>[7]С2!F12</f>
        <v>2116.2031761890698</v>
      </c>
    </row>
    <row r="20" spans="1:3" ht="30">
      <c r="A20" s="22" t="s">
        <v>12</v>
      </c>
      <c r="B20" s="25" t="s">
        <v>13</v>
      </c>
      <c r="C20" s="26">
        <f>[7]С3!F12</f>
        <v>506.5368696227419</v>
      </c>
    </row>
    <row r="21" spans="1:3" ht="42.75">
      <c r="A21" s="22" t="s">
        <v>14</v>
      </c>
      <c r="B21" s="25" t="s">
        <v>15</v>
      </c>
      <c r="C21" s="26">
        <f>[7]С4!F12</f>
        <v>496.74220701810538</v>
      </c>
    </row>
    <row r="22" spans="1:3" ht="30">
      <c r="A22" s="22" t="s">
        <v>16</v>
      </c>
      <c r="B22" s="25" t="s">
        <v>17</v>
      </c>
      <c r="C22" s="26">
        <f>[7]С5!F12</f>
        <v>82.384237168287456</v>
      </c>
    </row>
    <row r="23" spans="1:3" ht="43.5" thickBot="1">
      <c r="A23" s="27" t="s">
        <v>18</v>
      </c>
      <c r="B23" s="28" t="s">
        <v>19</v>
      </c>
      <c r="C23" s="29" t="str">
        <f>[7]С6!F12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[7]С1.1!E16</f>
        <v>5100</v>
      </c>
    </row>
    <row r="29" spans="1:3" ht="42.75">
      <c r="A29" s="22" t="s">
        <v>10</v>
      </c>
      <c r="B29" s="34" t="s">
        <v>22</v>
      </c>
      <c r="C29" s="35">
        <f>[7]С1.1!E27</f>
        <v>2688.1058333333335</v>
      </c>
    </row>
    <row r="30" spans="1:3" ht="17.25">
      <c r="A30" s="22" t="s">
        <v>12</v>
      </c>
      <c r="B30" s="34" t="s">
        <v>23</v>
      </c>
      <c r="C30" s="36">
        <f>[7]С1.1!E19</f>
        <v>0.59499999999999997</v>
      </c>
    </row>
    <row r="31" spans="1:3" ht="17.25">
      <c r="A31" s="22" t="s">
        <v>14</v>
      </c>
      <c r="B31" s="34" t="s">
        <v>24</v>
      </c>
      <c r="C31" s="36">
        <f>[7]С1.1!E20</f>
        <v>-0.113</v>
      </c>
    </row>
    <row r="32" spans="1:3" ht="30">
      <c r="A32" s="22" t="s">
        <v>16</v>
      </c>
      <c r="B32" s="37" t="s">
        <v>25</v>
      </c>
      <c r="C32" s="38">
        <f>[7]С1!F13</f>
        <v>176.4</v>
      </c>
    </row>
    <row r="33" spans="1:3">
      <c r="A33" s="22" t="s">
        <v>18</v>
      </c>
      <c r="B33" s="37" t="s">
        <v>26</v>
      </c>
      <c r="C33" s="39">
        <f>[7]С1!F16</f>
        <v>7000</v>
      </c>
    </row>
    <row r="34" spans="1:3" ht="14.25">
      <c r="A34" s="22" t="s">
        <v>27</v>
      </c>
      <c r="B34" s="40" t="s">
        <v>28</v>
      </c>
      <c r="C34" s="41">
        <f>[7]С1!F17</f>
        <v>0.72857142857142854</v>
      </c>
    </row>
    <row r="35" spans="1:3" ht="15.75">
      <c r="A35" s="42" t="s">
        <v>29</v>
      </c>
      <c r="B35" s="43" t="s">
        <v>30</v>
      </c>
      <c r="C35" s="41">
        <f>[7]С1!F20</f>
        <v>21.588411179999994</v>
      </c>
    </row>
    <row r="36" spans="1:3" ht="15.75">
      <c r="A36" s="42" t="s">
        <v>31</v>
      </c>
      <c r="B36" s="44" t="s">
        <v>32</v>
      </c>
      <c r="C36" s="41">
        <f>[7]С1!F21</f>
        <v>20.818139999999996</v>
      </c>
    </row>
    <row r="37" spans="1:3" ht="14.25">
      <c r="A37" s="42" t="s">
        <v>33</v>
      </c>
      <c r="B37" s="45" t="s">
        <v>34</v>
      </c>
      <c r="C37" s="41">
        <f>[7]С1!F22</f>
        <v>1.0369999999999999</v>
      </c>
    </row>
    <row r="38" spans="1:3" ht="53.25" thickBot="1">
      <c r="A38" s="27" t="s">
        <v>35</v>
      </c>
      <c r="B38" s="46" t="s">
        <v>36</v>
      </c>
      <c r="C38" s="47">
        <f>[7]С1!F23</f>
        <v>1.0469999999999999</v>
      </c>
    </row>
    <row r="39" spans="1:3" ht="13.5" thickBot="1">
      <c r="A39" s="48"/>
      <c r="B39" s="49"/>
      <c r="C39" s="50"/>
    </row>
    <row r="40" spans="1:3" ht="30" customHeight="1">
      <c r="A40" s="51" t="s">
        <v>37</v>
      </c>
      <c r="B40" s="142" t="s">
        <v>38</v>
      </c>
      <c r="C40" s="142"/>
    </row>
    <row r="41" spans="1:3" ht="25.5">
      <c r="A41" s="22" t="s">
        <v>39</v>
      </c>
      <c r="B41" s="37" t="s">
        <v>40</v>
      </c>
      <c r="C41" s="52" t="str">
        <f>[7]С2.1!E12</f>
        <v>V</v>
      </c>
    </row>
    <row r="42" spans="1:3" ht="25.5">
      <c r="A42" s="22" t="s">
        <v>41</v>
      </c>
      <c r="B42" s="34" t="s">
        <v>42</v>
      </c>
      <c r="C42" s="52" t="str">
        <f>[7]С2.1!E13</f>
        <v>6 и менее баллов</v>
      </c>
    </row>
    <row r="43" spans="1:3" ht="25.5">
      <c r="A43" s="22" t="s">
        <v>43</v>
      </c>
      <c r="B43" s="34" t="s">
        <v>44</v>
      </c>
      <c r="C43" s="52" t="str">
        <f>[7]С2.1!E14</f>
        <v>от 200 до 500</v>
      </c>
    </row>
    <row r="44" spans="1:3" ht="25.5">
      <c r="A44" s="22" t="s">
        <v>45</v>
      </c>
      <c r="B44" s="34" t="s">
        <v>46</v>
      </c>
      <c r="C44" s="53" t="str">
        <f>[7]С2.1!E15</f>
        <v>нет</v>
      </c>
    </row>
    <row r="45" spans="1:3" ht="30">
      <c r="A45" s="22" t="s">
        <v>47</v>
      </c>
      <c r="B45" s="34" t="s">
        <v>48</v>
      </c>
      <c r="C45" s="35">
        <f>[7]С2!F18</f>
        <v>32402.627334033532</v>
      </c>
    </row>
    <row r="46" spans="1:3" ht="30">
      <c r="A46" s="22" t="s">
        <v>49</v>
      </c>
      <c r="B46" s="54" t="s">
        <v>50</v>
      </c>
      <c r="C46" s="35">
        <f>IF([7]С2!F19&gt;0,[7]С2!F19,[7]С2!F20)</f>
        <v>23441.524932855718</v>
      </c>
    </row>
    <row r="47" spans="1:3" ht="25.5">
      <c r="A47" s="22" t="s">
        <v>51</v>
      </c>
      <c r="B47" s="55" t="s">
        <v>52</v>
      </c>
      <c r="C47" s="35">
        <f>[7]С2.1!E19</f>
        <v>-38</v>
      </c>
    </row>
    <row r="48" spans="1:3" ht="25.5">
      <c r="A48" s="22" t="s">
        <v>53</v>
      </c>
      <c r="B48" s="55" t="s">
        <v>54</v>
      </c>
      <c r="C48" s="35" t="str">
        <f>[7]С2.1!E22</f>
        <v>нет</v>
      </c>
    </row>
    <row r="49" spans="1:3" ht="38.25">
      <c r="A49" s="22" t="s">
        <v>55</v>
      </c>
      <c r="B49" s="56" t="s">
        <v>56</v>
      </c>
      <c r="C49" s="35">
        <f>[7]С2.2!E10</f>
        <v>1287</v>
      </c>
    </row>
    <row r="50" spans="1:3" ht="25.5">
      <c r="A50" s="22" t="s">
        <v>57</v>
      </c>
      <c r="B50" s="57" t="s">
        <v>58</v>
      </c>
      <c r="C50" s="35">
        <f>[7]С2.2!E12</f>
        <v>5.97</v>
      </c>
    </row>
    <row r="51" spans="1:3" ht="52.5">
      <c r="A51" s="22" t="s">
        <v>59</v>
      </c>
      <c r="B51" s="58" t="s">
        <v>60</v>
      </c>
      <c r="C51" s="35">
        <f>[7]С2.2!E13</f>
        <v>1</v>
      </c>
    </row>
    <row r="52" spans="1:3" ht="27.75">
      <c r="A52" s="22" t="s">
        <v>61</v>
      </c>
      <c r="B52" s="57" t="s">
        <v>62</v>
      </c>
      <c r="C52" s="35">
        <f>[7]С2.2!E14</f>
        <v>12104</v>
      </c>
    </row>
    <row r="53" spans="1:3" ht="25.5">
      <c r="A53" s="22" t="s">
        <v>63</v>
      </c>
      <c r="B53" s="58" t="s">
        <v>64</v>
      </c>
      <c r="C53" s="36">
        <f>[7]С2.2!E15</f>
        <v>4.8000000000000001E-2</v>
      </c>
    </row>
    <row r="54" spans="1:3">
      <c r="A54" s="22" t="s">
        <v>65</v>
      </c>
      <c r="B54" s="58" t="s">
        <v>66</v>
      </c>
      <c r="C54" s="35">
        <f>[7]С2.2!E16</f>
        <v>1</v>
      </c>
    </row>
    <row r="55" spans="1:3" ht="15.75">
      <c r="A55" s="22" t="s">
        <v>67</v>
      </c>
      <c r="B55" s="59" t="s">
        <v>68</v>
      </c>
      <c r="C55" s="35">
        <f>[7]С2!F21</f>
        <v>1</v>
      </c>
    </row>
    <row r="56" spans="1:3" ht="30">
      <c r="A56" s="60" t="s">
        <v>69</v>
      </c>
      <c r="B56" s="34" t="s">
        <v>70</v>
      </c>
      <c r="C56" s="35">
        <f>[7]С2!F13</f>
        <v>169640.22915965237</v>
      </c>
    </row>
    <row r="57" spans="1:3" ht="30">
      <c r="A57" s="60" t="s">
        <v>71</v>
      </c>
      <c r="B57" s="59" t="s">
        <v>72</v>
      </c>
      <c r="C57" s="35">
        <f>[7]С2!F14</f>
        <v>113455</v>
      </c>
    </row>
    <row r="58" spans="1:3" ht="15.75">
      <c r="A58" s="60" t="s">
        <v>73</v>
      </c>
      <c r="B58" s="61" t="s">
        <v>74</v>
      </c>
      <c r="C58" s="41">
        <f>[7]С2!F15</f>
        <v>1.071</v>
      </c>
    </row>
    <row r="59" spans="1:3" ht="15.75">
      <c r="A59" s="60" t="s">
        <v>75</v>
      </c>
      <c r="B59" s="61" t="s">
        <v>76</v>
      </c>
      <c r="C59" s="41">
        <f>[7]С2!F16</f>
        <v>1</v>
      </c>
    </row>
    <row r="60" spans="1:3" ht="17.25">
      <c r="A60" s="60" t="s">
        <v>77</v>
      </c>
      <c r="B60" s="59" t="s">
        <v>78</v>
      </c>
      <c r="C60" s="35">
        <f>[7]С2!F17</f>
        <v>1.01</v>
      </c>
    </row>
    <row r="61" spans="1:3" s="64" customFormat="1" ht="14.25">
      <c r="A61" s="60" t="s">
        <v>79</v>
      </c>
      <c r="B61" s="62" t="s">
        <v>80</v>
      </c>
      <c r="C61" s="63">
        <f>[7]С2!F33</f>
        <v>10</v>
      </c>
    </row>
    <row r="62" spans="1:3" ht="30">
      <c r="A62" s="60" t="s">
        <v>81</v>
      </c>
      <c r="B62" s="65" t="s">
        <v>82</v>
      </c>
      <c r="C62" s="35">
        <f>[7]С2!F26</f>
        <v>2274.3932248182782</v>
      </c>
    </row>
    <row r="63" spans="1:3" ht="17.25">
      <c r="A63" s="60" t="s">
        <v>83</v>
      </c>
      <c r="B63" s="54" t="s">
        <v>84</v>
      </c>
      <c r="C63" s="35">
        <f>[7]С2!F27</f>
        <v>0.391761629</v>
      </c>
    </row>
    <row r="64" spans="1:3" ht="17.25">
      <c r="A64" s="60" t="s">
        <v>85</v>
      </c>
      <c r="B64" s="59" t="s">
        <v>86</v>
      </c>
      <c r="C64" s="63">
        <f>[7]С2!F28</f>
        <v>4200</v>
      </c>
    </row>
    <row r="65" spans="1:3" ht="42.75">
      <c r="A65" s="60" t="s">
        <v>87</v>
      </c>
      <c r="B65" s="34" t="s">
        <v>88</v>
      </c>
      <c r="C65" s="35">
        <f>[7]С2!F22</f>
        <v>35717.748653137714</v>
      </c>
    </row>
    <row r="66" spans="1:3" ht="30">
      <c r="A66" s="60" t="s">
        <v>89</v>
      </c>
      <c r="B66" s="61" t="s">
        <v>90</v>
      </c>
      <c r="C66" s="35">
        <f>[7]С2!F23</f>
        <v>1990</v>
      </c>
    </row>
    <row r="67" spans="1:3" ht="30">
      <c r="A67" s="60" t="s">
        <v>91</v>
      </c>
      <c r="B67" s="54" t="s">
        <v>92</v>
      </c>
      <c r="C67" s="35">
        <f>[7]С2.1!E27</f>
        <v>14307.876789999998</v>
      </c>
    </row>
    <row r="68" spans="1:3" ht="38.25">
      <c r="A68" s="60" t="s">
        <v>93</v>
      </c>
      <c r="B68" s="66" t="s">
        <v>94</v>
      </c>
      <c r="C68" s="53">
        <f>[7]С2.3!E21</f>
        <v>0</v>
      </c>
    </row>
    <row r="69" spans="1:3" ht="25.5">
      <c r="A69" s="60" t="s">
        <v>95</v>
      </c>
      <c r="B69" s="67" t="s">
        <v>96</v>
      </c>
      <c r="C69" s="68">
        <f>[7]С2.3!E11</f>
        <v>9.89</v>
      </c>
    </row>
    <row r="70" spans="1:3" ht="25.5">
      <c r="A70" s="60" t="s">
        <v>97</v>
      </c>
      <c r="B70" s="67" t="s">
        <v>98</v>
      </c>
      <c r="C70" s="63">
        <f>[7]С2.3!E13</f>
        <v>300</v>
      </c>
    </row>
    <row r="71" spans="1:3" ht="25.5">
      <c r="A71" s="60" t="s">
        <v>99</v>
      </c>
      <c r="B71" s="66" t="s">
        <v>100</v>
      </c>
      <c r="C71" s="69">
        <f>IF([7]С2.3!E22&gt;0,[7]С2.3!E22,[7]С2.3!E14)</f>
        <v>61211</v>
      </c>
    </row>
    <row r="72" spans="1:3" ht="38.25">
      <c r="A72" s="60" t="s">
        <v>101</v>
      </c>
      <c r="B72" s="66" t="s">
        <v>102</v>
      </c>
      <c r="C72" s="69">
        <f>IF([7]С2.3!E23&gt;0,[7]С2.3!E23,[7]С2.3!E15)</f>
        <v>45675</v>
      </c>
    </row>
    <row r="73" spans="1:3" ht="30">
      <c r="A73" s="60" t="s">
        <v>103</v>
      </c>
      <c r="B73" s="54" t="s">
        <v>104</v>
      </c>
      <c r="C73" s="35">
        <f>[7]С2.1!E28</f>
        <v>9541.9567200000001</v>
      </c>
    </row>
    <row r="74" spans="1:3" ht="38.25">
      <c r="A74" s="60" t="s">
        <v>105</v>
      </c>
      <c r="B74" s="66" t="s">
        <v>106</v>
      </c>
      <c r="C74" s="53">
        <f>[7]С2.3!E25</f>
        <v>0</v>
      </c>
    </row>
    <row r="75" spans="1:3" ht="25.5">
      <c r="A75" s="60" t="s">
        <v>107</v>
      </c>
      <c r="B75" s="67" t="s">
        <v>108</v>
      </c>
      <c r="C75" s="68">
        <f>[7]С2.3!E12</f>
        <v>0.56000000000000005</v>
      </c>
    </row>
    <row r="76" spans="1:3" ht="25.5">
      <c r="A76" s="60" t="s">
        <v>109</v>
      </c>
      <c r="B76" s="67" t="s">
        <v>98</v>
      </c>
      <c r="C76" s="63">
        <f>[7]С2.3!E13</f>
        <v>300</v>
      </c>
    </row>
    <row r="77" spans="1:3" ht="25.5">
      <c r="A77" s="60" t="s">
        <v>110</v>
      </c>
      <c r="B77" s="70" t="s">
        <v>111</v>
      </c>
      <c r="C77" s="69">
        <f>IF([7]С2.3!E26&gt;0,[7]С2.3!E26,[7]С2.3!E16)</f>
        <v>65637</v>
      </c>
    </row>
    <row r="78" spans="1:3" ht="38.25">
      <c r="A78" s="60" t="s">
        <v>112</v>
      </c>
      <c r="B78" s="70" t="s">
        <v>113</v>
      </c>
      <c r="C78" s="69">
        <f>IF([7]С2.3!E27&gt;0,[7]С2.3!E27,[7]С2.3!E17)</f>
        <v>31684</v>
      </c>
    </row>
    <row r="79" spans="1:3" ht="17.25">
      <c r="A79" s="60" t="s">
        <v>114</v>
      </c>
      <c r="B79" s="34" t="s">
        <v>115</v>
      </c>
      <c r="C79" s="36">
        <f>[7]С2!F29</f>
        <v>0.128978033685065</v>
      </c>
    </row>
    <row r="80" spans="1:3" ht="30">
      <c r="A80" s="60" t="s">
        <v>116</v>
      </c>
      <c r="B80" s="54" t="s">
        <v>117</v>
      </c>
      <c r="C80" s="71">
        <f>[7]С2!F30</f>
        <v>0.11668498168498169</v>
      </c>
    </row>
    <row r="81" spans="1:3" ht="17.25">
      <c r="A81" s="60" t="s">
        <v>118</v>
      </c>
      <c r="B81" s="72" t="s">
        <v>119</v>
      </c>
      <c r="C81" s="36">
        <f>[7]С2!F31</f>
        <v>0.13880000000000001</v>
      </c>
    </row>
    <row r="82" spans="1:3" s="64" customFormat="1" ht="18" thickBot="1">
      <c r="A82" s="73" t="s">
        <v>120</v>
      </c>
      <c r="B82" s="74" t="s">
        <v>121</v>
      </c>
      <c r="C82" s="75">
        <f>[7]С2!F32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[7]С3!F14</f>
        <v>7051.1767451401192</v>
      </c>
    </row>
    <row r="86" spans="1:3" s="64" customFormat="1" ht="42.75">
      <c r="A86" s="78" t="s">
        <v>126</v>
      </c>
      <c r="B86" s="54" t="s">
        <v>127</v>
      </c>
      <c r="C86" s="79">
        <f>[7]С3!F15</f>
        <v>0.2</v>
      </c>
    </row>
    <row r="87" spans="1:3" s="64" customFormat="1" ht="14.25">
      <c r="A87" s="78" t="s">
        <v>128</v>
      </c>
      <c r="B87" s="80" t="s">
        <v>129</v>
      </c>
      <c r="C87" s="63">
        <f>[7]С3!F18</f>
        <v>15</v>
      </c>
    </row>
    <row r="88" spans="1:3" s="64" customFormat="1" ht="17.25">
      <c r="A88" s="78" t="s">
        <v>130</v>
      </c>
      <c r="B88" s="34" t="s">
        <v>131</v>
      </c>
      <c r="C88" s="35">
        <f>[7]С3!F19</f>
        <v>3487.1555421534131</v>
      </c>
    </row>
    <row r="89" spans="1:3" s="64" customFormat="1" ht="55.5">
      <c r="A89" s="78" t="s">
        <v>132</v>
      </c>
      <c r="B89" s="54" t="s">
        <v>133</v>
      </c>
      <c r="C89" s="81">
        <f>[7]С3!F20</f>
        <v>2.1999999999999999E-2</v>
      </c>
    </row>
    <row r="90" spans="1:3" s="64" customFormat="1" ht="14.25">
      <c r="A90" s="78" t="s">
        <v>134</v>
      </c>
      <c r="B90" s="59" t="s">
        <v>80</v>
      </c>
      <c r="C90" s="63">
        <f>[7]С3!F21</f>
        <v>10</v>
      </c>
    </row>
    <row r="91" spans="1:3" s="64" customFormat="1" ht="17.25">
      <c r="A91" s="78" t="s">
        <v>135</v>
      </c>
      <c r="B91" s="34" t="s">
        <v>136</v>
      </c>
      <c r="C91" s="35">
        <f>[7]С3!F22</f>
        <v>6.8231796744548348</v>
      </c>
    </row>
    <row r="92" spans="1:3" s="64" customFormat="1" ht="55.5">
      <c r="A92" s="78" t="s">
        <v>137</v>
      </c>
      <c r="B92" s="54" t="s">
        <v>138</v>
      </c>
      <c r="C92" s="81">
        <f>[7]С3!F23</f>
        <v>3.0000000000000001E-3</v>
      </c>
    </row>
    <row r="93" spans="1:3" s="64" customFormat="1" ht="27.75" thickBot="1">
      <c r="A93" s="82" t="s">
        <v>139</v>
      </c>
      <c r="B93" s="83" t="s">
        <v>140</v>
      </c>
      <c r="C93" s="84">
        <f>[7]С3!F24</f>
        <v>2274.3932248182782</v>
      </c>
    </row>
    <row r="94" spans="1:3" ht="13.5" thickBot="1">
      <c r="A94" s="48"/>
      <c r="B94" s="76"/>
      <c r="C94" s="15"/>
    </row>
    <row r="95" spans="1:3" ht="30" customHeight="1">
      <c r="A95" s="85" t="s">
        <v>141</v>
      </c>
      <c r="B95" s="142" t="s">
        <v>142</v>
      </c>
      <c r="C95" s="142"/>
    </row>
    <row r="96" spans="1:3" ht="30">
      <c r="A96" s="60" t="s">
        <v>143</v>
      </c>
      <c r="B96" s="34" t="s">
        <v>144</v>
      </c>
      <c r="C96" s="35">
        <f>[7]С4!F16</f>
        <v>1652.5</v>
      </c>
    </row>
    <row r="97" spans="1:3" ht="30">
      <c r="A97" s="60" t="s">
        <v>145</v>
      </c>
      <c r="B97" s="59" t="s">
        <v>146</v>
      </c>
      <c r="C97" s="35">
        <f>[7]С4!F17</f>
        <v>73547</v>
      </c>
    </row>
    <row r="98" spans="1:3" ht="17.25">
      <c r="A98" s="60" t="s">
        <v>147</v>
      </c>
      <c r="B98" s="59" t="s">
        <v>148</v>
      </c>
      <c r="C98" s="41">
        <f>[7]С4!F18</f>
        <v>0.02</v>
      </c>
    </row>
    <row r="99" spans="1:3" ht="30">
      <c r="A99" s="60" t="s">
        <v>149</v>
      </c>
      <c r="B99" s="59" t="s">
        <v>150</v>
      </c>
      <c r="C99" s="35">
        <f>[7]С4!F19</f>
        <v>12104</v>
      </c>
    </row>
    <row r="100" spans="1:3" ht="31.5">
      <c r="A100" s="60" t="s">
        <v>151</v>
      </c>
      <c r="B100" s="59" t="s">
        <v>152</v>
      </c>
      <c r="C100" s="41">
        <f>[7]С4!F20</f>
        <v>1.4999999999999999E-2</v>
      </c>
    </row>
    <row r="101" spans="1:3" ht="30">
      <c r="A101" s="60" t="s">
        <v>153</v>
      </c>
      <c r="B101" s="34" t="s">
        <v>154</v>
      </c>
      <c r="C101" s="35">
        <f>[7]С4!F21</f>
        <v>1933.1949342509995</v>
      </c>
    </row>
    <row r="102" spans="1:3" ht="24" customHeight="1">
      <c r="A102" s="60" t="s">
        <v>155</v>
      </c>
      <c r="B102" s="54" t="s">
        <v>156</v>
      </c>
      <c r="C102" s="86">
        <f>IF([7]С4.2!F8="да",[7]С4.2!D21,[7]С4.2!D15)</f>
        <v>0</v>
      </c>
    </row>
    <row r="103" spans="1:3" ht="68.25">
      <c r="A103" s="60" t="s">
        <v>157</v>
      </c>
      <c r="B103" s="54" t="s">
        <v>158</v>
      </c>
      <c r="C103" s="35">
        <f>[7]С4!F22</f>
        <v>3.6112641666666665</v>
      </c>
    </row>
    <row r="104" spans="1:3" ht="30">
      <c r="A104" s="60" t="s">
        <v>159</v>
      </c>
      <c r="B104" s="59" t="s">
        <v>160</v>
      </c>
      <c r="C104" s="35">
        <f>[7]С4!F23</f>
        <v>180</v>
      </c>
    </row>
    <row r="105" spans="1:3" ht="14.25">
      <c r="A105" s="60" t="s">
        <v>161</v>
      </c>
      <c r="B105" s="54" t="s">
        <v>162</v>
      </c>
      <c r="C105" s="35">
        <f>[7]С4!F24</f>
        <v>8497.1999999999989</v>
      </c>
    </row>
    <row r="106" spans="1:3" ht="14.25">
      <c r="A106" s="60" t="s">
        <v>163</v>
      </c>
      <c r="B106" s="59" t="s">
        <v>164</v>
      </c>
      <c r="C106" s="41">
        <f>[7]С4!F25</f>
        <v>0.35</v>
      </c>
    </row>
    <row r="107" spans="1:3" ht="17.25">
      <c r="A107" s="60" t="s">
        <v>165</v>
      </c>
      <c r="B107" s="34" t="s">
        <v>166</v>
      </c>
      <c r="C107" s="35">
        <f>[7]С4!F26</f>
        <v>87.803490000000011</v>
      </c>
    </row>
    <row r="108" spans="1:3" ht="25.5">
      <c r="A108" s="60" t="s">
        <v>167</v>
      </c>
      <c r="B108" s="54" t="s">
        <v>94</v>
      </c>
      <c r="C108" s="86">
        <f>[7]С4.3!E16</f>
        <v>0</v>
      </c>
    </row>
    <row r="109" spans="1:3" ht="25.5">
      <c r="A109" s="60" t="s">
        <v>168</v>
      </c>
      <c r="B109" s="54" t="s">
        <v>169</v>
      </c>
      <c r="C109" s="35">
        <f>[7]С4.3!E17</f>
        <v>24.11</v>
      </c>
    </row>
    <row r="110" spans="1:3" ht="38.25">
      <c r="A110" s="60" t="s">
        <v>170</v>
      </c>
      <c r="B110" s="54" t="s">
        <v>106</v>
      </c>
      <c r="C110" s="86">
        <f>[7]С4.3!E18</f>
        <v>0</v>
      </c>
    </row>
    <row r="111" spans="1:3">
      <c r="A111" s="60" t="s">
        <v>171</v>
      </c>
      <c r="B111" s="54" t="s">
        <v>172</v>
      </c>
      <c r="C111" s="35">
        <f>[7]С4.3!E19</f>
        <v>15.93</v>
      </c>
    </row>
    <row r="112" spans="1:3">
      <c r="A112" s="60" t="s">
        <v>173</v>
      </c>
      <c r="B112" s="59" t="s">
        <v>174</v>
      </c>
      <c r="C112" s="35">
        <f>[7]С4.3!E11</f>
        <v>1871</v>
      </c>
    </row>
    <row r="113" spans="1:3">
      <c r="A113" s="60" t="s">
        <v>175</v>
      </c>
      <c r="B113" s="59" t="s">
        <v>176</v>
      </c>
      <c r="C113" s="53">
        <f>[7]С4.3!E12</f>
        <v>1636</v>
      </c>
    </row>
    <row r="114" spans="1:3">
      <c r="A114" s="60" t="s">
        <v>177</v>
      </c>
      <c r="B114" s="59" t="s">
        <v>178</v>
      </c>
      <c r="C114" s="53">
        <f>[7]С4.3!E13</f>
        <v>204</v>
      </c>
    </row>
    <row r="115" spans="1:3" ht="30">
      <c r="A115" s="60" t="s">
        <v>179</v>
      </c>
      <c r="B115" s="34" t="s">
        <v>180</v>
      </c>
      <c r="C115" s="35">
        <f>[7]С4!F27</f>
        <v>2164.8316773434499</v>
      </c>
    </row>
    <row r="116" spans="1:3" ht="25.5">
      <c r="A116" s="60" t="s">
        <v>181</v>
      </c>
      <c r="B116" s="54" t="s">
        <v>182</v>
      </c>
      <c r="C116" s="35">
        <f>[7]С4!F28</f>
        <v>1662.6971408167815</v>
      </c>
    </row>
    <row r="117" spans="1:3" ht="42.75">
      <c r="A117" s="60" t="s">
        <v>183</v>
      </c>
      <c r="B117" s="54" t="s">
        <v>184</v>
      </c>
      <c r="C117" s="35">
        <f>[7]С4!F29</f>
        <v>502.13453652666817</v>
      </c>
    </row>
    <row r="118" spans="1:3" ht="30">
      <c r="A118" s="60" t="s">
        <v>185</v>
      </c>
      <c r="B118" s="40" t="s">
        <v>186</v>
      </c>
      <c r="C118" s="35">
        <f>[7]С4!F30</f>
        <v>2271.0726979083597</v>
      </c>
    </row>
    <row r="119" spans="1:3" ht="42.75">
      <c r="A119" s="60" t="s">
        <v>187</v>
      </c>
      <c r="B119" s="87" t="s">
        <v>188</v>
      </c>
      <c r="C119" s="35">
        <f>[7]С4!F33</f>
        <v>1473.9164433841383</v>
      </c>
    </row>
    <row r="120" spans="1:3" ht="30">
      <c r="A120" s="60" t="s">
        <v>189</v>
      </c>
      <c r="B120" s="88" t="s">
        <v>190</v>
      </c>
      <c r="C120" s="35">
        <f>[7]С4!F35</f>
        <v>17.040680999999999</v>
      </c>
    </row>
    <row r="121" spans="1:3" ht="14.25">
      <c r="A121" s="60" t="s">
        <v>191</v>
      </c>
      <c r="B121" s="57" t="s">
        <v>192</v>
      </c>
      <c r="C121" s="35">
        <f>[7]С4!F36</f>
        <v>14319.9</v>
      </c>
    </row>
    <row r="122" spans="1:3" ht="28.5" thickBot="1">
      <c r="A122" s="73" t="s">
        <v>193</v>
      </c>
      <c r="B122" s="89" t="s">
        <v>194</v>
      </c>
      <c r="C122" s="84">
        <f>[7]С4!F37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[7]С5!F17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[7]С2!F37</f>
        <v>20.818139999999996</v>
      </c>
    </row>
    <row r="136" spans="1:3" ht="14.25">
      <c r="A136" s="60" t="s">
        <v>216</v>
      </c>
      <c r="B136" s="102" t="s">
        <v>217</v>
      </c>
      <c r="C136" s="35">
        <f>[7]С2!F38</f>
        <v>7</v>
      </c>
    </row>
    <row r="137" spans="1:3" ht="17.25">
      <c r="A137" s="60" t="s">
        <v>218</v>
      </c>
      <c r="B137" s="102" t="s">
        <v>219</v>
      </c>
      <c r="C137" s="35">
        <f>[7]С2!F40</f>
        <v>0.97</v>
      </c>
    </row>
    <row r="138" spans="1:3" ht="15" thickBot="1">
      <c r="A138" s="73" t="s">
        <v>220</v>
      </c>
      <c r="B138" s="103" t="s">
        <v>221</v>
      </c>
      <c r="C138" s="47">
        <f>[7]С2!F42</f>
        <v>0.35</v>
      </c>
    </row>
    <row r="139" spans="1:3" s="90" customFormat="1" ht="13.5" thickBot="1">
      <c r="A139" s="48"/>
      <c r="B139" s="76"/>
      <c r="C139" s="15"/>
    </row>
    <row r="140" spans="1:3" ht="30">
      <c r="A140" s="85" t="s">
        <v>222</v>
      </c>
      <c r="B140" s="104" t="s">
        <v>223</v>
      </c>
      <c r="C140" s="105">
        <f>[7]С2!F35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[7]С2.5!$E$11</f>
        <v>-2.9000000000000026E-2</v>
      </c>
    </row>
    <row r="144" spans="1:3">
      <c r="A144" s="107"/>
      <c r="B144" s="112">
        <f>B143+1</f>
        <v>2021</v>
      </c>
      <c r="C144" s="113">
        <f>[7]С2.5!$F$11</f>
        <v>0.245</v>
      </c>
    </row>
    <row r="145" spans="1:3">
      <c r="A145" s="107"/>
      <c r="B145" s="112">
        <f t="shared" ref="B145:B208" si="0">B144+1</f>
        <v>2022</v>
      </c>
      <c r="C145" s="113">
        <f>[7]С2.5!$G$11</f>
        <v>0.121</v>
      </c>
    </row>
    <row r="146" spans="1:3" ht="13.5" thickBot="1">
      <c r="A146" s="107"/>
      <c r="B146" s="114">
        <f t="shared" si="0"/>
        <v>2023</v>
      </c>
      <c r="C146" s="115">
        <f>[7]С2.5!$H$11</f>
        <v>0.02</v>
      </c>
    </row>
    <row r="147" spans="1:3" hidden="1">
      <c r="A147" s="107"/>
      <c r="B147" s="116">
        <f t="shared" si="0"/>
        <v>2024</v>
      </c>
      <c r="C147" s="117">
        <f>[7]С2.5!$I$11</f>
        <v>-2.93E-2</v>
      </c>
    </row>
    <row r="148" spans="1:3" hidden="1">
      <c r="A148" s="107"/>
      <c r="B148" s="112">
        <f t="shared" si="0"/>
        <v>2025</v>
      </c>
      <c r="C148" s="113">
        <f>[7]С2.5!$J$11</f>
        <v>0.21215960863291</v>
      </c>
    </row>
    <row r="149" spans="1:3" hidden="1">
      <c r="A149" s="107"/>
      <c r="B149" s="112">
        <f t="shared" si="0"/>
        <v>2026</v>
      </c>
      <c r="C149" s="113">
        <f>[7]С2.5!$K$11</f>
        <v>3.5813361771260002E-2</v>
      </c>
    </row>
    <row r="150" spans="1:3" hidden="1">
      <c r="A150" s="107"/>
      <c r="B150" s="112">
        <f t="shared" si="0"/>
        <v>2027</v>
      </c>
      <c r="C150" s="113">
        <f>[7]С2.5!$L$11</f>
        <v>3.2682303599220003E-2</v>
      </c>
    </row>
    <row r="151" spans="1:3" hidden="1">
      <c r="A151" s="107"/>
      <c r="B151" s="112">
        <f t="shared" si="0"/>
        <v>2028</v>
      </c>
      <c r="C151" s="113">
        <f>[7]С2.5!$M$11</f>
        <v>0</v>
      </c>
    </row>
    <row r="152" spans="1:3" hidden="1">
      <c r="A152" s="107"/>
      <c r="B152" s="112">
        <f t="shared" si="0"/>
        <v>2029</v>
      </c>
      <c r="C152" s="113">
        <f>[7]С2.5!$N$11</f>
        <v>0</v>
      </c>
    </row>
    <row r="153" spans="1:3" hidden="1">
      <c r="A153" s="107"/>
      <c r="B153" s="112">
        <f t="shared" si="0"/>
        <v>2030</v>
      </c>
      <c r="C153" s="113">
        <f>[7]С2.5!$O$11</f>
        <v>0</v>
      </c>
    </row>
    <row r="154" spans="1:3" hidden="1">
      <c r="A154" s="107"/>
      <c r="B154" s="112">
        <f t="shared" si="0"/>
        <v>2031</v>
      </c>
      <c r="C154" s="113">
        <f>[7]С2.5!$P$11</f>
        <v>0</v>
      </c>
    </row>
    <row r="155" spans="1:3" hidden="1">
      <c r="A155" s="90"/>
      <c r="B155" s="112">
        <f t="shared" si="0"/>
        <v>2032</v>
      </c>
      <c r="C155" s="113">
        <f>[7]С2.5!$Q$11</f>
        <v>0</v>
      </c>
    </row>
    <row r="156" spans="1:3" hidden="1">
      <c r="A156" s="90"/>
      <c r="B156" s="112">
        <f t="shared" si="0"/>
        <v>2033</v>
      </c>
      <c r="C156" s="113">
        <f>[7]С2.5!$R$11</f>
        <v>0</v>
      </c>
    </row>
    <row r="157" spans="1:3" hidden="1">
      <c r="B157" s="112">
        <f t="shared" si="0"/>
        <v>2034</v>
      </c>
      <c r="C157" s="113">
        <f>[7]С2.5!$S$11</f>
        <v>0</v>
      </c>
    </row>
    <row r="158" spans="1:3" hidden="1">
      <c r="B158" s="112">
        <f t="shared" si="0"/>
        <v>2035</v>
      </c>
      <c r="C158" s="113">
        <f>[7]С2.5!$T$11</f>
        <v>0</v>
      </c>
    </row>
    <row r="159" spans="1:3" hidden="1">
      <c r="B159" s="112">
        <f t="shared" si="0"/>
        <v>2036</v>
      </c>
      <c r="C159" s="113">
        <f>[7]С2.5!$U$11</f>
        <v>0</v>
      </c>
    </row>
    <row r="160" spans="1:3" hidden="1">
      <c r="B160" s="112">
        <f t="shared" si="0"/>
        <v>2037</v>
      </c>
      <c r="C160" s="113">
        <f>[7]С2.5!$V$11</f>
        <v>0</v>
      </c>
    </row>
    <row r="161" spans="2:3" hidden="1">
      <c r="B161" s="112">
        <f t="shared" si="0"/>
        <v>2038</v>
      </c>
      <c r="C161" s="113">
        <f>[7]С2.5!$W$11</f>
        <v>0</v>
      </c>
    </row>
    <row r="162" spans="2:3" hidden="1">
      <c r="B162" s="112">
        <f t="shared" si="0"/>
        <v>2039</v>
      </c>
      <c r="C162" s="113">
        <f>[7]С2.5!$X$11</f>
        <v>0</v>
      </c>
    </row>
    <row r="163" spans="2:3" hidden="1">
      <c r="B163" s="112">
        <f t="shared" si="0"/>
        <v>2040</v>
      </c>
      <c r="C163" s="113">
        <f>[7]С2.5!$Y$11</f>
        <v>0</v>
      </c>
    </row>
    <row r="164" spans="2:3" hidden="1">
      <c r="B164" s="112">
        <f t="shared" si="0"/>
        <v>2041</v>
      </c>
      <c r="C164" s="113">
        <f>[7]С2.5!$Z$11</f>
        <v>0</v>
      </c>
    </row>
    <row r="165" spans="2:3" hidden="1">
      <c r="B165" s="112">
        <f t="shared" si="0"/>
        <v>2042</v>
      </c>
      <c r="C165" s="113">
        <f>[7]С2.5!$AA$11</f>
        <v>0</v>
      </c>
    </row>
    <row r="166" spans="2:3" hidden="1">
      <c r="B166" s="112">
        <f t="shared" si="0"/>
        <v>2043</v>
      </c>
      <c r="C166" s="113">
        <f>[7]С2.5!$AB$11</f>
        <v>0</v>
      </c>
    </row>
    <row r="167" spans="2:3" hidden="1">
      <c r="B167" s="112">
        <f t="shared" si="0"/>
        <v>2044</v>
      </c>
      <c r="C167" s="113">
        <f>[7]С2.5!$AC$11</f>
        <v>0</v>
      </c>
    </row>
    <row r="168" spans="2:3" hidden="1">
      <c r="B168" s="112">
        <f t="shared" si="0"/>
        <v>2045</v>
      </c>
      <c r="C168" s="113">
        <f>[7]С2.5!$AD$11</f>
        <v>0</v>
      </c>
    </row>
    <row r="169" spans="2:3" hidden="1">
      <c r="B169" s="112">
        <f t="shared" si="0"/>
        <v>2046</v>
      </c>
      <c r="C169" s="113">
        <f>[7]С2.5!$AE$11</f>
        <v>0</v>
      </c>
    </row>
    <row r="170" spans="2:3" hidden="1">
      <c r="B170" s="112">
        <f t="shared" si="0"/>
        <v>2047</v>
      </c>
      <c r="C170" s="113">
        <f>[7]С2.5!$AF$11</f>
        <v>0</v>
      </c>
    </row>
    <row r="171" spans="2:3" hidden="1">
      <c r="B171" s="112">
        <f t="shared" si="0"/>
        <v>2048</v>
      </c>
      <c r="C171" s="113">
        <f>[7]С2.5!$AG$11</f>
        <v>0</v>
      </c>
    </row>
    <row r="172" spans="2:3" hidden="1">
      <c r="B172" s="112">
        <f t="shared" si="0"/>
        <v>2049</v>
      </c>
      <c r="C172" s="113">
        <f>[7]С2.5!$AH$11</f>
        <v>0</v>
      </c>
    </row>
    <row r="173" spans="2:3" hidden="1">
      <c r="B173" s="112">
        <f t="shared" si="0"/>
        <v>2050</v>
      </c>
      <c r="C173" s="113">
        <f>[7]С2.5!$AI$11</f>
        <v>0</v>
      </c>
    </row>
    <row r="174" spans="2:3" hidden="1">
      <c r="B174" s="112">
        <f t="shared" si="0"/>
        <v>2051</v>
      </c>
      <c r="C174" s="113">
        <f>[7]С2.5!$AJ$11</f>
        <v>0</v>
      </c>
    </row>
    <row r="175" spans="2:3" hidden="1">
      <c r="B175" s="112">
        <f t="shared" si="0"/>
        <v>2052</v>
      </c>
      <c r="C175" s="113">
        <f>[7]С2.5!$AK$11</f>
        <v>0</v>
      </c>
    </row>
    <row r="176" spans="2:3" hidden="1">
      <c r="B176" s="112">
        <f t="shared" si="0"/>
        <v>2053</v>
      </c>
      <c r="C176" s="113">
        <f>[7]С2.5!$AL$11</f>
        <v>0</v>
      </c>
    </row>
    <row r="177" spans="2:3" hidden="1">
      <c r="B177" s="112">
        <f t="shared" si="0"/>
        <v>2054</v>
      </c>
      <c r="C177" s="113">
        <f>[7]С2.5!$AM$11</f>
        <v>0</v>
      </c>
    </row>
    <row r="178" spans="2:3" hidden="1">
      <c r="B178" s="112">
        <f t="shared" si="0"/>
        <v>2055</v>
      </c>
      <c r="C178" s="113">
        <f>[7]С2.5!$AN$11</f>
        <v>0</v>
      </c>
    </row>
    <row r="179" spans="2:3" hidden="1">
      <c r="B179" s="112">
        <f t="shared" si="0"/>
        <v>2056</v>
      </c>
      <c r="C179" s="113">
        <f>[7]С2.5!$AO$11</f>
        <v>0</v>
      </c>
    </row>
    <row r="180" spans="2:3" hidden="1">
      <c r="B180" s="112">
        <f t="shared" si="0"/>
        <v>2057</v>
      </c>
      <c r="C180" s="113">
        <f>[7]С2.5!$AP$11</f>
        <v>0</v>
      </c>
    </row>
    <row r="181" spans="2:3" hidden="1">
      <c r="B181" s="112">
        <f t="shared" si="0"/>
        <v>2058</v>
      </c>
      <c r="C181" s="113">
        <f>[7]С2.5!$AQ$11</f>
        <v>0</v>
      </c>
    </row>
    <row r="182" spans="2:3" hidden="1">
      <c r="B182" s="112">
        <f t="shared" si="0"/>
        <v>2059</v>
      </c>
      <c r="C182" s="113">
        <f>[7]С2.5!$AR$11</f>
        <v>0</v>
      </c>
    </row>
    <row r="183" spans="2:3" hidden="1">
      <c r="B183" s="112">
        <f t="shared" si="0"/>
        <v>2060</v>
      </c>
      <c r="C183" s="113">
        <f>[7]С2.5!$AS$11</f>
        <v>0</v>
      </c>
    </row>
    <row r="184" spans="2:3" hidden="1">
      <c r="B184" s="112">
        <f t="shared" si="0"/>
        <v>2061</v>
      </c>
      <c r="C184" s="113">
        <f>[7]С2.5!$AT$11</f>
        <v>0</v>
      </c>
    </row>
    <row r="185" spans="2:3" hidden="1">
      <c r="B185" s="112">
        <f t="shared" si="0"/>
        <v>2062</v>
      </c>
      <c r="C185" s="113">
        <f>[7]С2.5!$AU$11</f>
        <v>0</v>
      </c>
    </row>
    <row r="186" spans="2:3" hidden="1">
      <c r="B186" s="112">
        <f t="shared" si="0"/>
        <v>2063</v>
      </c>
      <c r="C186" s="113">
        <f>[7]С2.5!$AV$11</f>
        <v>0</v>
      </c>
    </row>
    <row r="187" spans="2:3" hidden="1">
      <c r="B187" s="112">
        <f t="shared" si="0"/>
        <v>2064</v>
      </c>
      <c r="C187" s="113">
        <f>[7]С2.5!$AW$11</f>
        <v>0</v>
      </c>
    </row>
    <row r="188" spans="2:3" hidden="1">
      <c r="B188" s="112">
        <f t="shared" si="0"/>
        <v>2065</v>
      </c>
      <c r="C188" s="113">
        <f>[7]С2.5!$AX$11</f>
        <v>0</v>
      </c>
    </row>
    <row r="189" spans="2:3" hidden="1">
      <c r="B189" s="112">
        <f t="shared" si="0"/>
        <v>2066</v>
      </c>
      <c r="C189" s="113">
        <f>[7]С2.5!$AY$11</f>
        <v>0</v>
      </c>
    </row>
    <row r="190" spans="2:3" hidden="1">
      <c r="B190" s="112">
        <f t="shared" si="0"/>
        <v>2067</v>
      </c>
      <c r="C190" s="113">
        <f>[7]С2.5!$AZ$11</f>
        <v>0</v>
      </c>
    </row>
    <row r="191" spans="2:3" hidden="1">
      <c r="B191" s="112">
        <f t="shared" si="0"/>
        <v>2068</v>
      </c>
      <c r="C191" s="113">
        <f>[7]С2.5!$BA$11</f>
        <v>0</v>
      </c>
    </row>
    <row r="192" spans="2:3" hidden="1">
      <c r="B192" s="112">
        <f t="shared" si="0"/>
        <v>2069</v>
      </c>
      <c r="C192" s="113">
        <f>[7]С2.5!$BB$11</f>
        <v>0</v>
      </c>
    </row>
    <row r="193" spans="2:3" hidden="1">
      <c r="B193" s="112">
        <f t="shared" si="0"/>
        <v>2070</v>
      </c>
      <c r="C193" s="113">
        <f>[7]С2.5!$BC$11</f>
        <v>0</v>
      </c>
    </row>
    <row r="194" spans="2:3" hidden="1">
      <c r="B194" s="112">
        <f t="shared" si="0"/>
        <v>2071</v>
      </c>
      <c r="C194" s="113">
        <f>[7]С2.5!$BD$11</f>
        <v>0</v>
      </c>
    </row>
    <row r="195" spans="2:3" hidden="1">
      <c r="B195" s="112">
        <f t="shared" si="0"/>
        <v>2072</v>
      </c>
      <c r="C195" s="113">
        <f>[7]С2.5!$BE$11</f>
        <v>0</v>
      </c>
    </row>
    <row r="196" spans="2:3" hidden="1">
      <c r="B196" s="112">
        <f t="shared" si="0"/>
        <v>2073</v>
      </c>
      <c r="C196" s="113">
        <f>[7]С2.5!$BF$11</f>
        <v>0</v>
      </c>
    </row>
    <row r="197" spans="2:3" hidden="1">
      <c r="B197" s="112">
        <f t="shared" si="0"/>
        <v>2074</v>
      </c>
      <c r="C197" s="113">
        <f>[7]С2.5!$BG$11</f>
        <v>0</v>
      </c>
    </row>
    <row r="198" spans="2:3" hidden="1">
      <c r="B198" s="112">
        <f t="shared" si="0"/>
        <v>2075</v>
      </c>
      <c r="C198" s="113">
        <f>[7]С2.5!$BH$11</f>
        <v>0</v>
      </c>
    </row>
    <row r="199" spans="2:3" hidden="1">
      <c r="B199" s="112">
        <f t="shared" si="0"/>
        <v>2076</v>
      </c>
      <c r="C199" s="113">
        <f>[7]С2.5!$BI$11</f>
        <v>0</v>
      </c>
    </row>
    <row r="200" spans="2:3" hidden="1">
      <c r="B200" s="112">
        <f t="shared" si="0"/>
        <v>2077</v>
      </c>
      <c r="C200" s="113">
        <f>[7]С2.5!$BJ$11</f>
        <v>0</v>
      </c>
    </row>
    <row r="201" spans="2:3" hidden="1">
      <c r="B201" s="112">
        <f t="shared" si="0"/>
        <v>2078</v>
      </c>
      <c r="C201" s="113">
        <f>[7]С2.5!$BK$11</f>
        <v>0</v>
      </c>
    </row>
    <row r="202" spans="2:3" hidden="1">
      <c r="B202" s="112">
        <f t="shared" si="0"/>
        <v>2079</v>
      </c>
      <c r="C202" s="113">
        <f>[7]С2.5!$BL$11</f>
        <v>0</v>
      </c>
    </row>
    <row r="203" spans="2:3" hidden="1">
      <c r="B203" s="112">
        <f t="shared" si="0"/>
        <v>2080</v>
      </c>
      <c r="C203" s="113">
        <f>[7]С2.5!$BM$11</f>
        <v>0</v>
      </c>
    </row>
    <row r="204" spans="2:3" hidden="1">
      <c r="B204" s="112">
        <f t="shared" si="0"/>
        <v>2081</v>
      </c>
      <c r="C204" s="113">
        <f>[7]С2.5!$BN$11</f>
        <v>0</v>
      </c>
    </row>
    <row r="205" spans="2:3" hidden="1">
      <c r="B205" s="112">
        <f t="shared" si="0"/>
        <v>2082</v>
      </c>
      <c r="C205" s="113">
        <f>[7]С2.5!$BO$11</f>
        <v>0</v>
      </c>
    </row>
    <row r="206" spans="2:3" hidden="1">
      <c r="B206" s="112">
        <f t="shared" si="0"/>
        <v>2083</v>
      </c>
      <c r="C206" s="113">
        <f>[7]С2.5!$BP$11</f>
        <v>0</v>
      </c>
    </row>
    <row r="207" spans="2:3" hidden="1">
      <c r="B207" s="112">
        <f t="shared" si="0"/>
        <v>2084</v>
      </c>
      <c r="C207" s="113">
        <f>[7]С2.5!$BQ$11</f>
        <v>0</v>
      </c>
    </row>
    <row r="208" spans="2:3" hidden="1">
      <c r="B208" s="112">
        <f t="shared" si="0"/>
        <v>2085</v>
      </c>
      <c r="C208" s="113">
        <f>[7]С2.5!$BR$11</f>
        <v>0</v>
      </c>
    </row>
    <row r="209" spans="2:3" hidden="1">
      <c r="B209" s="112">
        <f t="shared" ref="B209:B223" si="1">B208+1</f>
        <v>2086</v>
      </c>
      <c r="C209" s="113">
        <f>[7]С2.5!$BS$11</f>
        <v>0</v>
      </c>
    </row>
    <row r="210" spans="2:3" hidden="1">
      <c r="B210" s="112">
        <f t="shared" si="1"/>
        <v>2087</v>
      </c>
      <c r="C210" s="113">
        <f>[7]С2.5!$BT$11</f>
        <v>0</v>
      </c>
    </row>
    <row r="211" spans="2:3" hidden="1">
      <c r="B211" s="112">
        <f t="shared" si="1"/>
        <v>2088</v>
      </c>
      <c r="C211" s="113">
        <f>[7]С2.5!$BU$11</f>
        <v>0</v>
      </c>
    </row>
    <row r="212" spans="2:3" hidden="1">
      <c r="B212" s="112">
        <f t="shared" si="1"/>
        <v>2089</v>
      </c>
      <c r="C212" s="113">
        <f>[7]С2.5!$BV$11</f>
        <v>0</v>
      </c>
    </row>
    <row r="213" spans="2:3" hidden="1">
      <c r="B213" s="112">
        <f t="shared" si="1"/>
        <v>2090</v>
      </c>
      <c r="C213" s="113">
        <f>[7]С2.5!$BW$11</f>
        <v>0</v>
      </c>
    </row>
    <row r="214" spans="2:3" hidden="1">
      <c r="B214" s="112">
        <f t="shared" si="1"/>
        <v>2091</v>
      </c>
      <c r="C214" s="113">
        <f>[7]С2.5!$BX$11</f>
        <v>0</v>
      </c>
    </row>
    <row r="215" spans="2:3" hidden="1">
      <c r="B215" s="112">
        <f t="shared" si="1"/>
        <v>2092</v>
      </c>
      <c r="C215" s="113">
        <f>[7]С2.5!$BY$11</f>
        <v>0</v>
      </c>
    </row>
    <row r="216" spans="2:3" hidden="1">
      <c r="B216" s="112">
        <f t="shared" si="1"/>
        <v>2093</v>
      </c>
      <c r="C216" s="113">
        <f>[7]С2.5!$BZ$11</f>
        <v>0</v>
      </c>
    </row>
    <row r="217" spans="2:3" hidden="1">
      <c r="B217" s="112">
        <f t="shared" si="1"/>
        <v>2094</v>
      </c>
      <c r="C217" s="113">
        <f>[7]С2.5!$CA$11</f>
        <v>0</v>
      </c>
    </row>
    <row r="218" spans="2:3" hidden="1">
      <c r="B218" s="112">
        <f t="shared" si="1"/>
        <v>2095</v>
      </c>
      <c r="C218" s="113">
        <f>[7]С2.5!$CB$11</f>
        <v>0</v>
      </c>
    </row>
    <row r="219" spans="2:3" hidden="1">
      <c r="B219" s="112">
        <f t="shared" si="1"/>
        <v>2096</v>
      </c>
      <c r="C219" s="113">
        <f>[7]С2.5!$CC$11</f>
        <v>0</v>
      </c>
    </row>
    <row r="220" spans="2:3" hidden="1">
      <c r="B220" s="112">
        <f t="shared" si="1"/>
        <v>2097</v>
      </c>
      <c r="C220" s="113">
        <f>[7]С2.5!$CD$11</f>
        <v>0</v>
      </c>
    </row>
    <row r="221" spans="2:3" hidden="1">
      <c r="B221" s="112">
        <f t="shared" si="1"/>
        <v>2098</v>
      </c>
      <c r="C221" s="113">
        <f>[7]С2.5!$CE$11</f>
        <v>0</v>
      </c>
    </row>
    <row r="222" spans="2:3" hidden="1">
      <c r="B222" s="112">
        <f t="shared" si="1"/>
        <v>2099</v>
      </c>
      <c r="C222" s="113">
        <f>[7]С2.5!$CF$11</f>
        <v>0</v>
      </c>
    </row>
    <row r="223" spans="2:3" ht="13.5" hidden="1" thickBot="1">
      <c r="B223" s="114">
        <f t="shared" si="1"/>
        <v>2100</v>
      </c>
      <c r="C223" s="115">
        <f>[7]С2.5!$CG$11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opLeftCell="A7" workbookViewId="0">
      <selection activeCell="D2" sqref="D1:G1048576"/>
    </sheetView>
  </sheetViews>
  <sheetFormatPr defaultRowHeight="12.75"/>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[8]И1!D13</f>
        <v>Субъект Российской Федерации</v>
      </c>
      <c r="C4" s="10" t="str">
        <f>[8]И1!E13</f>
        <v>Новосибирская область</v>
      </c>
    </row>
    <row r="5" spans="1:3">
      <c r="A5" s="8"/>
      <c r="B5" s="9" t="str">
        <f>[8]И1!D14</f>
        <v>Тип муниципального образования (выберите из списка)</v>
      </c>
      <c r="C5" s="10" t="str">
        <f>[8]И1!E14</f>
        <v>село Верх-Ича</v>
      </c>
    </row>
    <row r="6" spans="1:3">
      <c r="A6" s="8"/>
      <c r="B6" s="9" t="str">
        <f>IF([8]И1!E15="","",[8]И1!D15)</f>
        <v/>
      </c>
      <c r="C6" s="10" t="str">
        <f>IF([8]И1!E15="","",[8]И1!E15)</f>
        <v/>
      </c>
    </row>
    <row r="7" spans="1:3">
      <c r="A7" s="8"/>
      <c r="B7" s="9" t="str">
        <f>[8]И1!D16</f>
        <v>Код ОКТМО</v>
      </c>
      <c r="C7" s="11" t="str">
        <f>[8]И1!E16</f>
        <v>50630407101</v>
      </c>
    </row>
    <row r="8" spans="1:3">
      <c r="A8" s="8"/>
      <c r="B8" s="12" t="str">
        <f>[8]И1!D17</f>
        <v>Система теплоснабжения</v>
      </c>
      <c r="C8" s="13">
        <f>[8]И1!E17</f>
        <v>0</v>
      </c>
    </row>
    <row r="9" spans="1:3">
      <c r="A9" s="8"/>
      <c r="B9" s="9" t="str">
        <f>[8]И1!D8</f>
        <v>Период регулирования (i)-й</v>
      </c>
      <c r="C9" s="14">
        <f>[8]И1!E8</f>
        <v>2023</v>
      </c>
    </row>
    <row r="10" spans="1:3">
      <c r="A10" s="8"/>
      <c r="B10" s="9" t="str">
        <f>[8]И1!D9</f>
        <v>Период регулирования (i-1)-й</v>
      </c>
      <c r="C10" s="14">
        <f>[8]И1!E9</f>
        <v>2022</v>
      </c>
    </row>
    <row r="11" spans="1:3">
      <c r="A11" s="8"/>
      <c r="B11" s="9" t="str">
        <f>[8]И1!D10</f>
        <v>Период регулирования (i-2)-й</v>
      </c>
      <c r="C11" s="14">
        <f>[8]И1!E10</f>
        <v>2021</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4202.7308165355025</v>
      </c>
    </row>
    <row r="18" spans="1:3" ht="42.75">
      <c r="A18" s="22" t="s">
        <v>8</v>
      </c>
      <c r="B18" s="25" t="s">
        <v>9</v>
      </c>
      <c r="C18" s="26">
        <f>[8]С1!F12</f>
        <v>999.72960558445561</v>
      </c>
    </row>
    <row r="19" spans="1:3" ht="42.75">
      <c r="A19" s="22" t="s">
        <v>10</v>
      </c>
      <c r="B19" s="25" t="s">
        <v>11</v>
      </c>
      <c r="C19" s="26">
        <f>[8]С2!F12</f>
        <v>2116.2031761890698</v>
      </c>
    </row>
    <row r="20" spans="1:3" ht="30">
      <c r="A20" s="22" t="s">
        <v>12</v>
      </c>
      <c r="B20" s="25" t="s">
        <v>13</v>
      </c>
      <c r="C20" s="26">
        <f>[8]С3!F12</f>
        <v>506.5368696227419</v>
      </c>
    </row>
    <row r="21" spans="1:3" ht="42.75">
      <c r="A21" s="22" t="s">
        <v>14</v>
      </c>
      <c r="B21" s="25" t="s">
        <v>15</v>
      </c>
      <c r="C21" s="26">
        <f>[8]С4!F12</f>
        <v>497.85467854049892</v>
      </c>
    </row>
    <row r="22" spans="1:3" ht="30">
      <c r="A22" s="22" t="s">
        <v>16</v>
      </c>
      <c r="B22" s="25" t="s">
        <v>17</v>
      </c>
      <c r="C22" s="26">
        <f>[8]С5!F12</f>
        <v>82.406486598735341</v>
      </c>
    </row>
    <row r="23" spans="1:3" ht="43.5" thickBot="1">
      <c r="A23" s="27" t="s">
        <v>18</v>
      </c>
      <c r="B23" s="28" t="s">
        <v>19</v>
      </c>
      <c r="C23" s="29" t="str">
        <f>[8]С6!F12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[8]С1.1!E16</f>
        <v>5100</v>
      </c>
    </row>
    <row r="29" spans="1:3" ht="42.75">
      <c r="A29" s="22" t="s">
        <v>10</v>
      </c>
      <c r="B29" s="34" t="s">
        <v>22</v>
      </c>
      <c r="C29" s="35">
        <f>[8]С1.1!E27</f>
        <v>2688.1058333333335</v>
      </c>
    </row>
    <row r="30" spans="1:3" ht="17.25">
      <c r="A30" s="22" t="s">
        <v>12</v>
      </c>
      <c r="B30" s="34" t="s">
        <v>23</v>
      </c>
      <c r="C30" s="36">
        <f>[8]С1.1!E19</f>
        <v>0.59499999999999997</v>
      </c>
    </row>
    <row r="31" spans="1:3" ht="17.25">
      <c r="A31" s="22" t="s">
        <v>14</v>
      </c>
      <c r="B31" s="34" t="s">
        <v>24</v>
      </c>
      <c r="C31" s="36">
        <f>[8]С1.1!E20</f>
        <v>-0.113</v>
      </c>
    </row>
    <row r="32" spans="1:3" ht="30">
      <c r="A32" s="22" t="s">
        <v>16</v>
      </c>
      <c r="B32" s="37" t="s">
        <v>25</v>
      </c>
      <c r="C32" s="38">
        <f>[8]С1!F13</f>
        <v>176.4</v>
      </c>
    </row>
    <row r="33" spans="1:3">
      <c r="A33" s="22" t="s">
        <v>18</v>
      </c>
      <c r="B33" s="37" t="s">
        <v>26</v>
      </c>
      <c r="C33" s="39">
        <f>[8]С1!F16</f>
        <v>7000</v>
      </c>
    </row>
    <row r="34" spans="1:3" ht="14.25">
      <c r="A34" s="22" t="s">
        <v>27</v>
      </c>
      <c r="B34" s="40" t="s">
        <v>28</v>
      </c>
      <c r="C34" s="41">
        <f>[8]С1!F17</f>
        <v>0.72857142857142854</v>
      </c>
    </row>
    <row r="35" spans="1:3" ht="15.75">
      <c r="A35" s="42" t="s">
        <v>29</v>
      </c>
      <c r="B35" s="43" t="s">
        <v>30</v>
      </c>
      <c r="C35" s="41">
        <f>[8]С1!F20</f>
        <v>21.588411179999994</v>
      </c>
    </row>
    <row r="36" spans="1:3" ht="15.75">
      <c r="A36" s="42" t="s">
        <v>31</v>
      </c>
      <c r="B36" s="44" t="s">
        <v>32</v>
      </c>
      <c r="C36" s="41">
        <f>[8]С1!F21</f>
        <v>20.818139999999996</v>
      </c>
    </row>
    <row r="37" spans="1:3" ht="14.25">
      <c r="A37" s="42" t="s">
        <v>33</v>
      </c>
      <c r="B37" s="45" t="s">
        <v>34</v>
      </c>
      <c r="C37" s="41">
        <f>[8]С1!F22</f>
        <v>1.0369999999999999</v>
      </c>
    </row>
    <row r="38" spans="1:3" ht="53.25" thickBot="1">
      <c r="A38" s="27" t="s">
        <v>35</v>
      </c>
      <c r="B38" s="46" t="s">
        <v>36</v>
      </c>
      <c r="C38" s="47">
        <f>[8]С1!F23</f>
        <v>1.0469999999999999</v>
      </c>
    </row>
    <row r="39" spans="1:3" ht="13.5" thickBot="1">
      <c r="A39" s="48"/>
      <c r="B39" s="49"/>
      <c r="C39" s="50"/>
    </row>
    <row r="40" spans="1:3" ht="30" customHeight="1">
      <c r="A40" s="51" t="s">
        <v>37</v>
      </c>
      <c r="B40" s="142" t="s">
        <v>38</v>
      </c>
      <c r="C40" s="142"/>
    </row>
    <row r="41" spans="1:3" ht="25.5">
      <c r="A41" s="22" t="s">
        <v>39</v>
      </c>
      <c r="B41" s="37" t="s">
        <v>40</v>
      </c>
      <c r="C41" s="52" t="str">
        <f>[8]С2.1!E12</f>
        <v>V</v>
      </c>
    </row>
    <row r="42" spans="1:3" ht="25.5">
      <c r="A42" s="22" t="s">
        <v>41</v>
      </c>
      <c r="B42" s="34" t="s">
        <v>42</v>
      </c>
      <c r="C42" s="52" t="str">
        <f>[8]С2.1!E13</f>
        <v>6 и менее баллов</v>
      </c>
    </row>
    <row r="43" spans="1:3" ht="25.5">
      <c r="A43" s="22" t="s">
        <v>43</v>
      </c>
      <c r="B43" s="34" t="s">
        <v>44</v>
      </c>
      <c r="C43" s="52" t="str">
        <f>[8]С2.1!E14</f>
        <v>от 200 до 500</v>
      </c>
    </row>
    <row r="44" spans="1:3" ht="25.5">
      <c r="A44" s="22" t="s">
        <v>45</v>
      </c>
      <c r="B44" s="34" t="s">
        <v>46</v>
      </c>
      <c r="C44" s="53" t="str">
        <f>[8]С2.1!E15</f>
        <v>нет</v>
      </c>
    </row>
    <row r="45" spans="1:3" ht="30">
      <c r="A45" s="22" t="s">
        <v>47</v>
      </c>
      <c r="B45" s="34" t="s">
        <v>48</v>
      </c>
      <c r="C45" s="35">
        <f>[8]С2!F18</f>
        <v>32402.627334033532</v>
      </c>
    </row>
    <row r="46" spans="1:3" ht="30">
      <c r="A46" s="22" t="s">
        <v>49</v>
      </c>
      <c r="B46" s="54" t="s">
        <v>50</v>
      </c>
      <c r="C46" s="35">
        <f>IF([8]С2!F19&gt;0,[8]С2!F19,[8]С2!F20)</f>
        <v>23441.524932855718</v>
      </c>
    </row>
    <row r="47" spans="1:3" ht="25.5">
      <c r="A47" s="22" t="s">
        <v>51</v>
      </c>
      <c r="B47" s="55" t="s">
        <v>52</v>
      </c>
      <c r="C47" s="35">
        <f>[8]С2.1!E19</f>
        <v>-38</v>
      </c>
    </row>
    <row r="48" spans="1:3" ht="25.5">
      <c r="A48" s="22" t="s">
        <v>53</v>
      </c>
      <c r="B48" s="55" t="s">
        <v>54</v>
      </c>
      <c r="C48" s="35" t="str">
        <f>[8]С2.1!E22</f>
        <v>нет</v>
      </c>
    </row>
    <row r="49" spans="1:3" ht="38.25">
      <c r="A49" s="22" t="s">
        <v>55</v>
      </c>
      <c r="B49" s="56" t="s">
        <v>56</v>
      </c>
      <c r="C49" s="35">
        <f>[8]С2.2!E10</f>
        <v>1287</v>
      </c>
    </row>
    <row r="50" spans="1:3" ht="25.5">
      <c r="A50" s="22" t="s">
        <v>57</v>
      </c>
      <c r="B50" s="57" t="s">
        <v>58</v>
      </c>
      <c r="C50" s="35">
        <f>[8]С2.2!E12</f>
        <v>5.97</v>
      </c>
    </row>
    <row r="51" spans="1:3" ht="52.5">
      <c r="A51" s="22" t="s">
        <v>59</v>
      </c>
      <c r="B51" s="58" t="s">
        <v>60</v>
      </c>
      <c r="C51" s="35">
        <f>[8]С2.2!E13</f>
        <v>1</v>
      </c>
    </row>
    <row r="52" spans="1:3" ht="27.75">
      <c r="A52" s="22" t="s">
        <v>61</v>
      </c>
      <c r="B52" s="57" t="s">
        <v>62</v>
      </c>
      <c r="C52" s="35">
        <f>[8]С2.2!E14</f>
        <v>12104</v>
      </c>
    </row>
    <row r="53" spans="1:3" ht="25.5">
      <c r="A53" s="22" t="s">
        <v>63</v>
      </c>
      <c r="B53" s="58" t="s">
        <v>64</v>
      </c>
      <c r="C53" s="36">
        <f>[8]С2.2!E15</f>
        <v>4.8000000000000001E-2</v>
      </c>
    </row>
    <row r="54" spans="1:3">
      <c r="A54" s="22" t="s">
        <v>65</v>
      </c>
      <c r="B54" s="58" t="s">
        <v>66</v>
      </c>
      <c r="C54" s="35">
        <f>[8]С2.2!E16</f>
        <v>1</v>
      </c>
    </row>
    <row r="55" spans="1:3" ht="15.75">
      <c r="A55" s="22" t="s">
        <v>67</v>
      </c>
      <c r="B55" s="59" t="s">
        <v>68</v>
      </c>
      <c r="C55" s="35">
        <f>[8]С2!F21</f>
        <v>1</v>
      </c>
    </row>
    <row r="56" spans="1:3" ht="30">
      <c r="A56" s="60" t="s">
        <v>69</v>
      </c>
      <c r="B56" s="34" t="s">
        <v>70</v>
      </c>
      <c r="C56" s="35">
        <f>[8]С2!F13</f>
        <v>169640.22915965237</v>
      </c>
    </row>
    <row r="57" spans="1:3" ht="30">
      <c r="A57" s="60" t="s">
        <v>71</v>
      </c>
      <c r="B57" s="59" t="s">
        <v>72</v>
      </c>
      <c r="C57" s="35">
        <f>[8]С2!F14</f>
        <v>113455</v>
      </c>
    </row>
    <row r="58" spans="1:3" ht="15.75">
      <c r="A58" s="60" t="s">
        <v>73</v>
      </c>
      <c r="B58" s="61" t="s">
        <v>74</v>
      </c>
      <c r="C58" s="41">
        <f>[8]С2!F15</f>
        <v>1.071</v>
      </c>
    </row>
    <row r="59" spans="1:3" ht="15.75">
      <c r="A59" s="60" t="s">
        <v>75</v>
      </c>
      <c r="B59" s="61" t="s">
        <v>76</v>
      </c>
      <c r="C59" s="41">
        <f>[8]С2!F16</f>
        <v>1</v>
      </c>
    </row>
    <row r="60" spans="1:3" ht="17.25">
      <c r="A60" s="60" t="s">
        <v>77</v>
      </c>
      <c r="B60" s="59" t="s">
        <v>78</v>
      </c>
      <c r="C60" s="35">
        <f>[8]С2!F17</f>
        <v>1.01</v>
      </c>
    </row>
    <row r="61" spans="1:3" s="64" customFormat="1" ht="14.25">
      <c r="A61" s="60" t="s">
        <v>79</v>
      </c>
      <c r="B61" s="62" t="s">
        <v>80</v>
      </c>
      <c r="C61" s="63">
        <f>[8]С2!F33</f>
        <v>10</v>
      </c>
    </row>
    <row r="62" spans="1:3" ht="30">
      <c r="A62" s="60" t="s">
        <v>81</v>
      </c>
      <c r="B62" s="65" t="s">
        <v>82</v>
      </c>
      <c r="C62" s="35">
        <f>[8]С2!F26</f>
        <v>2274.3932248182782</v>
      </c>
    </row>
    <row r="63" spans="1:3" ht="17.25">
      <c r="A63" s="60" t="s">
        <v>83</v>
      </c>
      <c r="B63" s="54" t="s">
        <v>84</v>
      </c>
      <c r="C63" s="35">
        <f>[8]С2!F27</f>
        <v>0.391761629</v>
      </c>
    </row>
    <row r="64" spans="1:3" ht="17.25">
      <c r="A64" s="60" t="s">
        <v>85</v>
      </c>
      <c r="B64" s="59" t="s">
        <v>86</v>
      </c>
      <c r="C64" s="63">
        <f>[8]С2!F28</f>
        <v>4200</v>
      </c>
    </row>
    <row r="65" spans="1:3" ht="42.75">
      <c r="A65" s="60" t="s">
        <v>87</v>
      </c>
      <c r="B65" s="34" t="s">
        <v>88</v>
      </c>
      <c r="C65" s="35">
        <f>[8]С2!F22</f>
        <v>35717.748653137714</v>
      </c>
    </row>
    <row r="66" spans="1:3" ht="30">
      <c r="A66" s="60" t="s">
        <v>89</v>
      </c>
      <c r="B66" s="61" t="s">
        <v>90</v>
      </c>
      <c r="C66" s="35">
        <f>[8]С2!F23</f>
        <v>1990</v>
      </c>
    </row>
    <row r="67" spans="1:3" ht="30">
      <c r="A67" s="60" t="s">
        <v>91</v>
      </c>
      <c r="B67" s="54" t="s">
        <v>92</v>
      </c>
      <c r="C67" s="35">
        <f>[8]С2.1!E27</f>
        <v>14307.876789999998</v>
      </c>
    </row>
    <row r="68" spans="1:3" ht="38.25">
      <c r="A68" s="60" t="s">
        <v>93</v>
      </c>
      <c r="B68" s="66" t="s">
        <v>94</v>
      </c>
      <c r="C68" s="53">
        <f>[8]С2.3!E21</f>
        <v>0</v>
      </c>
    </row>
    <row r="69" spans="1:3" ht="25.5">
      <c r="A69" s="60" t="s">
        <v>95</v>
      </c>
      <c r="B69" s="67" t="s">
        <v>96</v>
      </c>
      <c r="C69" s="68">
        <f>[8]С2.3!E11</f>
        <v>9.89</v>
      </c>
    </row>
    <row r="70" spans="1:3" ht="25.5">
      <c r="A70" s="60" t="s">
        <v>97</v>
      </c>
      <c r="B70" s="67" t="s">
        <v>98</v>
      </c>
      <c r="C70" s="63">
        <f>[8]С2.3!E13</f>
        <v>300</v>
      </c>
    </row>
    <row r="71" spans="1:3" ht="25.5">
      <c r="A71" s="60" t="s">
        <v>99</v>
      </c>
      <c r="B71" s="66" t="s">
        <v>100</v>
      </c>
      <c r="C71" s="69">
        <f>IF([8]С2.3!E22&gt;0,[8]С2.3!E22,[8]С2.3!E14)</f>
        <v>61211</v>
      </c>
    </row>
    <row r="72" spans="1:3" ht="38.25">
      <c r="A72" s="60" t="s">
        <v>101</v>
      </c>
      <c r="B72" s="66" t="s">
        <v>102</v>
      </c>
      <c r="C72" s="69">
        <f>IF([8]С2.3!E23&gt;0,[8]С2.3!E23,[8]С2.3!E15)</f>
        <v>45675</v>
      </c>
    </row>
    <row r="73" spans="1:3" ht="30">
      <c r="A73" s="60" t="s">
        <v>103</v>
      </c>
      <c r="B73" s="54" t="s">
        <v>104</v>
      </c>
      <c r="C73" s="35">
        <f>[8]С2.1!E28</f>
        <v>9541.9567200000001</v>
      </c>
    </row>
    <row r="74" spans="1:3" ht="38.25">
      <c r="A74" s="60" t="s">
        <v>105</v>
      </c>
      <c r="B74" s="66" t="s">
        <v>106</v>
      </c>
      <c r="C74" s="53">
        <f>[8]С2.3!E25</f>
        <v>0</v>
      </c>
    </row>
    <row r="75" spans="1:3" ht="25.5">
      <c r="A75" s="60" t="s">
        <v>107</v>
      </c>
      <c r="B75" s="67" t="s">
        <v>108</v>
      </c>
      <c r="C75" s="68">
        <f>[8]С2.3!E12</f>
        <v>0.56000000000000005</v>
      </c>
    </row>
    <row r="76" spans="1:3" ht="25.5">
      <c r="A76" s="60" t="s">
        <v>109</v>
      </c>
      <c r="B76" s="67" t="s">
        <v>98</v>
      </c>
      <c r="C76" s="63">
        <f>[8]С2.3!E13</f>
        <v>300</v>
      </c>
    </row>
    <row r="77" spans="1:3" ht="25.5">
      <c r="A77" s="60" t="s">
        <v>110</v>
      </c>
      <c r="B77" s="70" t="s">
        <v>111</v>
      </c>
      <c r="C77" s="69">
        <f>IF([8]С2.3!E26&gt;0,[8]С2.3!E26,[8]С2.3!E16)</f>
        <v>65637</v>
      </c>
    </row>
    <row r="78" spans="1:3" ht="38.25">
      <c r="A78" s="60" t="s">
        <v>112</v>
      </c>
      <c r="B78" s="70" t="s">
        <v>113</v>
      </c>
      <c r="C78" s="69">
        <f>IF([8]С2.3!E27&gt;0,[8]С2.3!E27,[8]С2.3!E17)</f>
        <v>31684</v>
      </c>
    </row>
    <row r="79" spans="1:3" ht="17.25">
      <c r="A79" s="60" t="s">
        <v>114</v>
      </c>
      <c r="B79" s="34" t="s">
        <v>115</v>
      </c>
      <c r="C79" s="36">
        <f>[8]С2!F29</f>
        <v>0.128978033685065</v>
      </c>
    </row>
    <row r="80" spans="1:3" ht="30">
      <c r="A80" s="60" t="s">
        <v>116</v>
      </c>
      <c r="B80" s="54" t="s">
        <v>117</v>
      </c>
      <c r="C80" s="71">
        <f>[8]С2!F30</f>
        <v>0.11668498168498169</v>
      </c>
    </row>
    <row r="81" spans="1:3" ht="17.25">
      <c r="A81" s="60" t="s">
        <v>118</v>
      </c>
      <c r="B81" s="72" t="s">
        <v>119</v>
      </c>
      <c r="C81" s="36">
        <f>[8]С2!F31</f>
        <v>0.13880000000000001</v>
      </c>
    </row>
    <row r="82" spans="1:3" s="64" customFormat="1" ht="18" thickBot="1">
      <c r="A82" s="73" t="s">
        <v>120</v>
      </c>
      <c r="B82" s="74" t="s">
        <v>121</v>
      </c>
      <c r="C82" s="75">
        <f>[8]С2!F32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[8]С3!F14</f>
        <v>7051.1767451401192</v>
      </c>
    </row>
    <row r="86" spans="1:3" s="64" customFormat="1" ht="42.75">
      <c r="A86" s="78" t="s">
        <v>126</v>
      </c>
      <c r="B86" s="54" t="s">
        <v>127</v>
      </c>
      <c r="C86" s="79">
        <f>[8]С3!F15</f>
        <v>0.2</v>
      </c>
    </row>
    <row r="87" spans="1:3" s="64" customFormat="1" ht="14.25">
      <c r="A87" s="78" t="s">
        <v>128</v>
      </c>
      <c r="B87" s="80" t="s">
        <v>129</v>
      </c>
      <c r="C87" s="63">
        <f>[8]С3!F18</f>
        <v>15</v>
      </c>
    </row>
    <row r="88" spans="1:3" s="64" customFormat="1" ht="17.25">
      <c r="A88" s="78" t="s">
        <v>130</v>
      </c>
      <c r="B88" s="34" t="s">
        <v>131</v>
      </c>
      <c r="C88" s="35">
        <f>[8]С3!F19</f>
        <v>3487.1555421534131</v>
      </c>
    </row>
    <row r="89" spans="1:3" s="64" customFormat="1" ht="55.5">
      <c r="A89" s="78" t="s">
        <v>132</v>
      </c>
      <c r="B89" s="54" t="s">
        <v>133</v>
      </c>
      <c r="C89" s="81">
        <f>[8]С3!F20</f>
        <v>2.1999999999999999E-2</v>
      </c>
    </row>
    <row r="90" spans="1:3" s="64" customFormat="1" ht="14.25">
      <c r="A90" s="78" t="s">
        <v>134</v>
      </c>
      <c r="B90" s="59" t="s">
        <v>80</v>
      </c>
      <c r="C90" s="63">
        <f>[8]С3!F21</f>
        <v>10</v>
      </c>
    </row>
    <row r="91" spans="1:3" s="64" customFormat="1" ht="17.25">
      <c r="A91" s="78" t="s">
        <v>135</v>
      </c>
      <c r="B91" s="34" t="s">
        <v>136</v>
      </c>
      <c r="C91" s="35">
        <f>[8]С3!F22</f>
        <v>6.8231796744548348</v>
      </c>
    </row>
    <row r="92" spans="1:3" s="64" customFormat="1" ht="55.5">
      <c r="A92" s="78" t="s">
        <v>137</v>
      </c>
      <c r="B92" s="54" t="s">
        <v>138</v>
      </c>
      <c r="C92" s="81">
        <f>[8]С3!F23</f>
        <v>3.0000000000000001E-3</v>
      </c>
    </row>
    <row r="93" spans="1:3" s="64" customFormat="1" ht="27.75" thickBot="1">
      <c r="A93" s="82" t="s">
        <v>139</v>
      </c>
      <c r="B93" s="83" t="s">
        <v>140</v>
      </c>
      <c r="C93" s="84">
        <f>[8]С3!F24</f>
        <v>2274.3932248182782</v>
      </c>
    </row>
    <row r="94" spans="1:3" ht="13.5" thickBot="1">
      <c r="A94" s="48"/>
      <c r="B94" s="76"/>
      <c r="C94" s="15"/>
    </row>
    <row r="95" spans="1:3" ht="30" customHeight="1">
      <c r="A95" s="85" t="s">
        <v>141</v>
      </c>
      <c r="B95" s="142" t="s">
        <v>142</v>
      </c>
      <c r="C95" s="142"/>
    </row>
    <row r="96" spans="1:3" ht="30">
      <c r="A96" s="60" t="s">
        <v>143</v>
      </c>
      <c r="B96" s="34" t="s">
        <v>144</v>
      </c>
      <c r="C96" s="35">
        <f>[8]С4!F16</f>
        <v>1652.5</v>
      </c>
    </row>
    <row r="97" spans="1:3" ht="30">
      <c r="A97" s="60" t="s">
        <v>145</v>
      </c>
      <c r="B97" s="59" t="s">
        <v>146</v>
      </c>
      <c r="C97" s="35">
        <f>[8]С4!F17</f>
        <v>73547</v>
      </c>
    </row>
    <row r="98" spans="1:3" ht="17.25">
      <c r="A98" s="60" t="s">
        <v>147</v>
      </c>
      <c r="B98" s="59" t="s">
        <v>148</v>
      </c>
      <c r="C98" s="41">
        <f>[8]С4!F18</f>
        <v>0.02</v>
      </c>
    </row>
    <row r="99" spans="1:3" ht="30">
      <c r="A99" s="60" t="s">
        <v>149</v>
      </c>
      <c r="B99" s="59" t="s">
        <v>150</v>
      </c>
      <c r="C99" s="35">
        <f>[8]С4!F19</f>
        <v>12104</v>
      </c>
    </row>
    <row r="100" spans="1:3" ht="31.5">
      <c r="A100" s="60" t="s">
        <v>151</v>
      </c>
      <c r="B100" s="59" t="s">
        <v>152</v>
      </c>
      <c r="C100" s="41">
        <f>[8]С4!F20</f>
        <v>1.4999999999999999E-2</v>
      </c>
    </row>
    <row r="101" spans="1:3" ht="30">
      <c r="A101" s="60" t="s">
        <v>153</v>
      </c>
      <c r="B101" s="34" t="s">
        <v>154</v>
      </c>
      <c r="C101" s="35">
        <f>[8]С4!F21</f>
        <v>1933.1949342509995</v>
      </c>
    </row>
    <row r="102" spans="1:3" ht="24" customHeight="1">
      <c r="A102" s="60" t="s">
        <v>155</v>
      </c>
      <c r="B102" s="54" t="s">
        <v>156</v>
      </c>
      <c r="C102" s="86">
        <f>IF([8]С4.2!F8="да",[8]С4.2!D21,[8]С4.2!D15)</f>
        <v>0</v>
      </c>
    </row>
    <row r="103" spans="1:3" ht="68.25">
      <c r="A103" s="60" t="s">
        <v>157</v>
      </c>
      <c r="B103" s="54" t="s">
        <v>158</v>
      </c>
      <c r="C103" s="35">
        <f>[8]С4!F22</f>
        <v>3.6112641666666665</v>
      </c>
    </row>
    <row r="104" spans="1:3" ht="30">
      <c r="A104" s="60" t="s">
        <v>159</v>
      </c>
      <c r="B104" s="59" t="s">
        <v>160</v>
      </c>
      <c r="C104" s="35">
        <f>[8]С4!F23</f>
        <v>180</v>
      </c>
    </row>
    <row r="105" spans="1:3" ht="14.25">
      <c r="A105" s="60" t="s">
        <v>161</v>
      </c>
      <c r="B105" s="54" t="s">
        <v>162</v>
      </c>
      <c r="C105" s="35">
        <f>[8]С4!F24</f>
        <v>8497.1999999999989</v>
      </c>
    </row>
    <row r="106" spans="1:3" ht="14.25">
      <c r="A106" s="60" t="s">
        <v>163</v>
      </c>
      <c r="B106" s="59" t="s">
        <v>164</v>
      </c>
      <c r="C106" s="41">
        <f>[8]С4!F25</f>
        <v>0.35</v>
      </c>
    </row>
    <row r="107" spans="1:3" ht="17.25">
      <c r="A107" s="60" t="s">
        <v>165</v>
      </c>
      <c r="B107" s="34" t="s">
        <v>166</v>
      </c>
      <c r="C107" s="35">
        <f>[8]С4!F26</f>
        <v>103.76034</v>
      </c>
    </row>
    <row r="108" spans="1:3" ht="25.5">
      <c r="A108" s="60" t="s">
        <v>167</v>
      </c>
      <c r="B108" s="54" t="s">
        <v>94</v>
      </c>
      <c r="C108" s="86">
        <f>[8]С4.3!E16</f>
        <v>0</v>
      </c>
    </row>
    <row r="109" spans="1:3" ht="25.5">
      <c r="A109" s="60" t="s">
        <v>168</v>
      </c>
      <c r="B109" s="54" t="s">
        <v>169</v>
      </c>
      <c r="C109" s="35">
        <f>[8]С4.3!E17</f>
        <v>28.66</v>
      </c>
    </row>
    <row r="110" spans="1:3" ht="38.25">
      <c r="A110" s="60" t="s">
        <v>170</v>
      </c>
      <c r="B110" s="54" t="s">
        <v>106</v>
      </c>
      <c r="C110" s="86">
        <f>[8]С4.3!E18</f>
        <v>0</v>
      </c>
    </row>
    <row r="111" spans="1:3">
      <c r="A111" s="60" t="s">
        <v>171</v>
      </c>
      <c r="B111" s="54" t="s">
        <v>172</v>
      </c>
      <c r="C111" s="35">
        <f>[8]С4.3!E19</f>
        <v>15.93</v>
      </c>
    </row>
    <row r="112" spans="1:3">
      <c r="A112" s="60" t="s">
        <v>173</v>
      </c>
      <c r="B112" s="59" t="s">
        <v>174</v>
      </c>
      <c r="C112" s="35">
        <f>[8]С4.3!E11</f>
        <v>1871</v>
      </c>
    </row>
    <row r="113" spans="1:3">
      <c r="A113" s="60" t="s">
        <v>175</v>
      </c>
      <c r="B113" s="59" t="s">
        <v>176</v>
      </c>
      <c r="C113" s="53">
        <f>[8]С4.3!E12</f>
        <v>1636</v>
      </c>
    </row>
    <row r="114" spans="1:3">
      <c r="A114" s="60" t="s">
        <v>177</v>
      </c>
      <c r="B114" s="59" t="s">
        <v>178</v>
      </c>
      <c r="C114" s="53">
        <f>[8]С4.3!E13</f>
        <v>204</v>
      </c>
    </row>
    <row r="115" spans="1:3" ht="30">
      <c r="A115" s="60" t="s">
        <v>179</v>
      </c>
      <c r="B115" s="34" t="s">
        <v>180</v>
      </c>
      <c r="C115" s="35">
        <f>[8]С4!F27</f>
        <v>2164.8316773434499</v>
      </c>
    </row>
    <row r="116" spans="1:3" ht="25.5">
      <c r="A116" s="60" t="s">
        <v>181</v>
      </c>
      <c r="B116" s="54" t="s">
        <v>182</v>
      </c>
      <c r="C116" s="35">
        <f>[8]С4!F28</f>
        <v>1662.6971408167815</v>
      </c>
    </row>
    <row r="117" spans="1:3" ht="42.75">
      <c r="A117" s="60" t="s">
        <v>183</v>
      </c>
      <c r="B117" s="54" t="s">
        <v>184</v>
      </c>
      <c r="C117" s="35">
        <f>[8]С4!F29</f>
        <v>502.13453652666817</v>
      </c>
    </row>
    <row r="118" spans="1:3" ht="30">
      <c r="A118" s="60" t="s">
        <v>185</v>
      </c>
      <c r="B118" s="40" t="s">
        <v>186</v>
      </c>
      <c r="C118" s="35">
        <f>[8]С4!F30</f>
        <v>2272.1755354273696</v>
      </c>
    </row>
    <row r="119" spans="1:3" ht="42.75">
      <c r="A119" s="60" t="s">
        <v>187</v>
      </c>
      <c r="B119" s="87" t="s">
        <v>188</v>
      </c>
      <c r="C119" s="35">
        <f>[8]С4!F33</f>
        <v>1473.9164433841383</v>
      </c>
    </row>
    <row r="120" spans="1:3" ht="30">
      <c r="A120" s="60" t="s">
        <v>189</v>
      </c>
      <c r="B120" s="88" t="s">
        <v>190</v>
      </c>
      <c r="C120" s="35">
        <f>[8]С4!F35</f>
        <v>17.040680999999999</v>
      </c>
    </row>
    <row r="121" spans="1:3" ht="14.25">
      <c r="A121" s="60" t="s">
        <v>191</v>
      </c>
      <c r="B121" s="57" t="s">
        <v>192</v>
      </c>
      <c r="C121" s="35">
        <f>[8]С4!F36</f>
        <v>14319.9</v>
      </c>
    </row>
    <row r="122" spans="1:3" ht="28.5" thickBot="1">
      <c r="A122" s="73" t="s">
        <v>193</v>
      </c>
      <c r="B122" s="89" t="s">
        <v>194</v>
      </c>
      <c r="C122" s="84">
        <f>[8]С4!F37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[8]С5!F17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[8]С2!F37</f>
        <v>20.818139999999996</v>
      </c>
    </row>
    <row r="136" spans="1:3" ht="14.25">
      <c r="A136" s="60" t="s">
        <v>216</v>
      </c>
      <c r="B136" s="102" t="s">
        <v>217</v>
      </c>
      <c r="C136" s="35">
        <f>[8]С2!F38</f>
        <v>7</v>
      </c>
    </row>
    <row r="137" spans="1:3" ht="17.25">
      <c r="A137" s="60" t="s">
        <v>218</v>
      </c>
      <c r="B137" s="102" t="s">
        <v>219</v>
      </c>
      <c r="C137" s="35">
        <f>[8]С2!F40</f>
        <v>0.97</v>
      </c>
    </row>
    <row r="138" spans="1:3" ht="15" thickBot="1">
      <c r="A138" s="73" t="s">
        <v>220</v>
      </c>
      <c r="B138" s="103" t="s">
        <v>221</v>
      </c>
      <c r="C138" s="47">
        <f>[8]С2!F42</f>
        <v>0.35</v>
      </c>
    </row>
    <row r="139" spans="1:3" s="90" customFormat="1" ht="13.5" thickBot="1">
      <c r="A139" s="48"/>
      <c r="B139" s="76"/>
      <c r="C139" s="15"/>
    </row>
    <row r="140" spans="1:3" ht="30">
      <c r="A140" s="85" t="s">
        <v>222</v>
      </c>
      <c r="B140" s="104" t="s">
        <v>223</v>
      </c>
      <c r="C140" s="105">
        <f>[8]С2!F35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[8]С2.5!$E$11</f>
        <v>-2.9000000000000026E-2</v>
      </c>
    </row>
    <row r="144" spans="1:3">
      <c r="A144" s="107"/>
      <c r="B144" s="112">
        <f>B143+1</f>
        <v>2021</v>
      </c>
      <c r="C144" s="113">
        <f>[8]С2.5!$F$11</f>
        <v>0.245</v>
      </c>
    </row>
    <row r="145" spans="1:3">
      <c r="A145" s="107"/>
      <c r="B145" s="112">
        <f t="shared" ref="B145:B208" si="0">B144+1</f>
        <v>2022</v>
      </c>
      <c r="C145" s="113">
        <f>[8]С2.5!$G$11</f>
        <v>0.121</v>
      </c>
    </row>
    <row r="146" spans="1:3" ht="13.5" thickBot="1">
      <c r="A146" s="107"/>
      <c r="B146" s="114">
        <f t="shared" si="0"/>
        <v>2023</v>
      </c>
      <c r="C146" s="115">
        <f>[8]С2.5!$H$11</f>
        <v>0.02</v>
      </c>
    </row>
    <row r="147" spans="1:3" hidden="1">
      <c r="A147" s="107"/>
      <c r="B147" s="116">
        <f t="shared" si="0"/>
        <v>2024</v>
      </c>
      <c r="C147" s="117">
        <f>[8]С2.5!$I$11</f>
        <v>-2.93E-2</v>
      </c>
    </row>
    <row r="148" spans="1:3" hidden="1">
      <c r="A148" s="107"/>
      <c r="B148" s="112">
        <f t="shared" si="0"/>
        <v>2025</v>
      </c>
      <c r="C148" s="113">
        <f>[8]С2.5!$J$11</f>
        <v>0.21215960863291</v>
      </c>
    </row>
    <row r="149" spans="1:3" hidden="1">
      <c r="A149" s="107"/>
      <c r="B149" s="112">
        <f t="shared" si="0"/>
        <v>2026</v>
      </c>
      <c r="C149" s="113">
        <f>[8]С2.5!$K$11</f>
        <v>3.5813361771260002E-2</v>
      </c>
    </row>
    <row r="150" spans="1:3" hidden="1">
      <c r="A150" s="107"/>
      <c r="B150" s="112">
        <f t="shared" si="0"/>
        <v>2027</v>
      </c>
      <c r="C150" s="113">
        <f>[8]С2.5!$L$11</f>
        <v>3.2682303599220003E-2</v>
      </c>
    </row>
    <row r="151" spans="1:3" hidden="1">
      <c r="A151" s="107"/>
      <c r="B151" s="112">
        <f t="shared" si="0"/>
        <v>2028</v>
      </c>
      <c r="C151" s="113">
        <f>[8]С2.5!$M$11</f>
        <v>0</v>
      </c>
    </row>
    <row r="152" spans="1:3" hidden="1">
      <c r="A152" s="107"/>
      <c r="B152" s="112">
        <f t="shared" si="0"/>
        <v>2029</v>
      </c>
      <c r="C152" s="113">
        <f>[8]С2.5!$N$11</f>
        <v>0</v>
      </c>
    </row>
    <row r="153" spans="1:3" hidden="1">
      <c r="A153" s="107"/>
      <c r="B153" s="112">
        <f t="shared" si="0"/>
        <v>2030</v>
      </c>
      <c r="C153" s="113">
        <f>[8]С2.5!$O$11</f>
        <v>0</v>
      </c>
    </row>
    <row r="154" spans="1:3" hidden="1">
      <c r="A154" s="107"/>
      <c r="B154" s="112">
        <f t="shared" si="0"/>
        <v>2031</v>
      </c>
      <c r="C154" s="113">
        <f>[8]С2.5!$P$11</f>
        <v>0</v>
      </c>
    </row>
    <row r="155" spans="1:3" hidden="1">
      <c r="A155" s="90"/>
      <c r="B155" s="112">
        <f t="shared" si="0"/>
        <v>2032</v>
      </c>
      <c r="C155" s="113">
        <f>[8]С2.5!$Q$11</f>
        <v>0</v>
      </c>
    </row>
    <row r="156" spans="1:3" hidden="1">
      <c r="A156" s="90"/>
      <c r="B156" s="112">
        <f t="shared" si="0"/>
        <v>2033</v>
      </c>
      <c r="C156" s="113">
        <f>[8]С2.5!$R$11</f>
        <v>0</v>
      </c>
    </row>
    <row r="157" spans="1:3" hidden="1">
      <c r="B157" s="112">
        <f t="shared" si="0"/>
        <v>2034</v>
      </c>
      <c r="C157" s="113">
        <f>[8]С2.5!$S$11</f>
        <v>0</v>
      </c>
    </row>
    <row r="158" spans="1:3" hidden="1">
      <c r="B158" s="112">
        <f t="shared" si="0"/>
        <v>2035</v>
      </c>
      <c r="C158" s="113">
        <f>[8]С2.5!$T$11</f>
        <v>0</v>
      </c>
    </row>
    <row r="159" spans="1:3" hidden="1">
      <c r="B159" s="112">
        <f t="shared" si="0"/>
        <v>2036</v>
      </c>
      <c r="C159" s="113">
        <f>[8]С2.5!$U$11</f>
        <v>0</v>
      </c>
    </row>
    <row r="160" spans="1:3" hidden="1">
      <c r="B160" s="112">
        <f t="shared" si="0"/>
        <v>2037</v>
      </c>
      <c r="C160" s="113">
        <f>[8]С2.5!$V$11</f>
        <v>0</v>
      </c>
    </row>
    <row r="161" spans="2:3" hidden="1">
      <c r="B161" s="112">
        <f t="shared" si="0"/>
        <v>2038</v>
      </c>
      <c r="C161" s="113">
        <f>[8]С2.5!$W$11</f>
        <v>0</v>
      </c>
    </row>
    <row r="162" spans="2:3" hidden="1">
      <c r="B162" s="112">
        <f t="shared" si="0"/>
        <v>2039</v>
      </c>
      <c r="C162" s="113">
        <f>[8]С2.5!$X$11</f>
        <v>0</v>
      </c>
    </row>
    <row r="163" spans="2:3" hidden="1">
      <c r="B163" s="112">
        <f t="shared" si="0"/>
        <v>2040</v>
      </c>
      <c r="C163" s="113">
        <f>[8]С2.5!$Y$11</f>
        <v>0</v>
      </c>
    </row>
    <row r="164" spans="2:3" hidden="1">
      <c r="B164" s="112">
        <f t="shared" si="0"/>
        <v>2041</v>
      </c>
      <c r="C164" s="113">
        <f>[8]С2.5!$Z$11</f>
        <v>0</v>
      </c>
    </row>
    <row r="165" spans="2:3" hidden="1">
      <c r="B165" s="112">
        <f t="shared" si="0"/>
        <v>2042</v>
      </c>
      <c r="C165" s="113">
        <f>[8]С2.5!$AA$11</f>
        <v>0</v>
      </c>
    </row>
    <row r="166" spans="2:3" hidden="1">
      <c r="B166" s="112">
        <f t="shared" si="0"/>
        <v>2043</v>
      </c>
      <c r="C166" s="113">
        <f>[8]С2.5!$AB$11</f>
        <v>0</v>
      </c>
    </row>
    <row r="167" spans="2:3" hidden="1">
      <c r="B167" s="112">
        <f t="shared" si="0"/>
        <v>2044</v>
      </c>
      <c r="C167" s="113">
        <f>[8]С2.5!$AC$11</f>
        <v>0</v>
      </c>
    </row>
    <row r="168" spans="2:3" hidden="1">
      <c r="B168" s="112">
        <f t="shared" si="0"/>
        <v>2045</v>
      </c>
      <c r="C168" s="113">
        <f>[8]С2.5!$AD$11</f>
        <v>0</v>
      </c>
    </row>
    <row r="169" spans="2:3" hidden="1">
      <c r="B169" s="112">
        <f t="shared" si="0"/>
        <v>2046</v>
      </c>
      <c r="C169" s="113">
        <f>[8]С2.5!$AE$11</f>
        <v>0</v>
      </c>
    </row>
    <row r="170" spans="2:3" hidden="1">
      <c r="B170" s="112">
        <f t="shared" si="0"/>
        <v>2047</v>
      </c>
      <c r="C170" s="113">
        <f>[8]С2.5!$AF$11</f>
        <v>0</v>
      </c>
    </row>
    <row r="171" spans="2:3" hidden="1">
      <c r="B171" s="112">
        <f t="shared" si="0"/>
        <v>2048</v>
      </c>
      <c r="C171" s="113">
        <f>[8]С2.5!$AG$11</f>
        <v>0</v>
      </c>
    </row>
    <row r="172" spans="2:3" hidden="1">
      <c r="B172" s="112">
        <f t="shared" si="0"/>
        <v>2049</v>
      </c>
      <c r="C172" s="113">
        <f>[8]С2.5!$AH$11</f>
        <v>0</v>
      </c>
    </row>
    <row r="173" spans="2:3" hidden="1">
      <c r="B173" s="112">
        <f t="shared" si="0"/>
        <v>2050</v>
      </c>
      <c r="C173" s="113">
        <f>[8]С2.5!$AI$11</f>
        <v>0</v>
      </c>
    </row>
    <row r="174" spans="2:3" hidden="1">
      <c r="B174" s="112">
        <f t="shared" si="0"/>
        <v>2051</v>
      </c>
      <c r="C174" s="113">
        <f>[8]С2.5!$AJ$11</f>
        <v>0</v>
      </c>
    </row>
    <row r="175" spans="2:3" hidden="1">
      <c r="B175" s="112">
        <f t="shared" si="0"/>
        <v>2052</v>
      </c>
      <c r="C175" s="113">
        <f>[8]С2.5!$AK$11</f>
        <v>0</v>
      </c>
    </row>
    <row r="176" spans="2:3" hidden="1">
      <c r="B176" s="112">
        <f t="shared" si="0"/>
        <v>2053</v>
      </c>
      <c r="C176" s="113">
        <f>[8]С2.5!$AL$11</f>
        <v>0</v>
      </c>
    </row>
    <row r="177" spans="2:3" hidden="1">
      <c r="B177" s="112">
        <f t="shared" si="0"/>
        <v>2054</v>
      </c>
      <c r="C177" s="113">
        <f>[8]С2.5!$AM$11</f>
        <v>0</v>
      </c>
    </row>
    <row r="178" spans="2:3" hidden="1">
      <c r="B178" s="112">
        <f t="shared" si="0"/>
        <v>2055</v>
      </c>
      <c r="C178" s="113">
        <f>[8]С2.5!$AN$11</f>
        <v>0</v>
      </c>
    </row>
    <row r="179" spans="2:3" hidden="1">
      <c r="B179" s="112">
        <f t="shared" si="0"/>
        <v>2056</v>
      </c>
      <c r="C179" s="113">
        <f>[8]С2.5!$AO$11</f>
        <v>0</v>
      </c>
    </row>
    <row r="180" spans="2:3" hidden="1">
      <c r="B180" s="112">
        <f t="shared" si="0"/>
        <v>2057</v>
      </c>
      <c r="C180" s="113">
        <f>[8]С2.5!$AP$11</f>
        <v>0</v>
      </c>
    </row>
    <row r="181" spans="2:3" hidden="1">
      <c r="B181" s="112">
        <f t="shared" si="0"/>
        <v>2058</v>
      </c>
      <c r="C181" s="113">
        <f>[8]С2.5!$AQ$11</f>
        <v>0</v>
      </c>
    </row>
    <row r="182" spans="2:3" hidden="1">
      <c r="B182" s="112">
        <f t="shared" si="0"/>
        <v>2059</v>
      </c>
      <c r="C182" s="113">
        <f>[8]С2.5!$AR$11</f>
        <v>0</v>
      </c>
    </row>
    <row r="183" spans="2:3" hidden="1">
      <c r="B183" s="112">
        <f t="shared" si="0"/>
        <v>2060</v>
      </c>
      <c r="C183" s="113">
        <f>[8]С2.5!$AS$11</f>
        <v>0</v>
      </c>
    </row>
    <row r="184" spans="2:3" hidden="1">
      <c r="B184" s="112">
        <f t="shared" si="0"/>
        <v>2061</v>
      </c>
      <c r="C184" s="113">
        <f>[8]С2.5!$AT$11</f>
        <v>0</v>
      </c>
    </row>
    <row r="185" spans="2:3" hidden="1">
      <c r="B185" s="112">
        <f t="shared" si="0"/>
        <v>2062</v>
      </c>
      <c r="C185" s="113">
        <f>[8]С2.5!$AU$11</f>
        <v>0</v>
      </c>
    </row>
    <row r="186" spans="2:3" hidden="1">
      <c r="B186" s="112">
        <f t="shared" si="0"/>
        <v>2063</v>
      </c>
      <c r="C186" s="113">
        <f>[8]С2.5!$AV$11</f>
        <v>0</v>
      </c>
    </row>
    <row r="187" spans="2:3" hidden="1">
      <c r="B187" s="112">
        <f t="shared" si="0"/>
        <v>2064</v>
      </c>
      <c r="C187" s="113">
        <f>[8]С2.5!$AW$11</f>
        <v>0</v>
      </c>
    </row>
    <row r="188" spans="2:3" hidden="1">
      <c r="B188" s="112">
        <f t="shared" si="0"/>
        <v>2065</v>
      </c>
      <c r="C188" s="113">
        <f>[8]С2.5!$AX$11</f>
        <v>0</v>
      </c>
    </row>
    <row r="189" spans="2:3" hidden="1">
      <c r="B189" s="112">
        <f t="shared" si="0"/>
        <v>2066</v>
      </c>
      <c r="C189" s="113">
        <f>[8]С2.5!$AY$11</f>
        <v>0</v>
      </c>
    </row>
    <row r="190" spans="2:3" hidden="1">
      <c r="B190" s="112">
        <f t="shared" si="0"/>
        <v>2067</v>
      </c>
      <c r="C190" s="113">
        <f>[8]С2.5!$AZ$11</f>
        <v>0</v>
      </c>
    </row>
    <row r="191" spans="2:3" hidden="1">
      <c r="B191" s="112">
        <f t="shared" si="0"/>
        <v>2068</v>
      </c>
      <c r="C191" s="113">
        <f>[8]С2.5!$BA$11</f>
        <v>0</v>
      </c>
    </row>
    <row r="192" spans="2:3" hidden="1">
      <c r="B192" s="112">
        <f t="shared" si="0"/>
        <v>2069</v>
      </c>
      <c r="C192" s="113">
        <f>[8]С2.5!$BB$11</f>
        <v>0</v>
      </c>
    </row>
    <row r="193" spans="2:3" hidden="1">
      <c r="B193" s="112">
        <f t="shared" si="0"/>
        <v>2070</v>
      </c>
      <c r="C193" s="113">
        <f>[8]С2.5!$BC$11</f>
        <v>0</v>
      </c>
    </row>
    <row r="194" spans="2:3" hidden="1">
      <c r="B194" s="112">
        <f t="shared" si="0"/>
        <v>2071</v>
      </c>
      <c r="C194" s="113">
        <f>[8]С2.5!$BD$11</f>
        <v>0</v>
      </c>
    </row>
    <row r="195" spans="2:3" hidden="1">
      <c r="B195" s="112">
        <f t="shared" si="0"/>
        <v>2072</v>
      </c>
      <c r="C195" s="113">
        <f>[8]С2.5!$BE$11</f>
        <v>0</v>
      </c>
    </row>
    <row r="196" spans="2:3" hidden="1">
      <c r="B196" s="112">
        <f t="shared" si="0"/>
        <v>2073</v>
      </c>
      <c r="C196" s="113">
        <f>[8]С2.5!$BF$11</f>
        <v>0</v>
      </c>
    </row>
    <row r="197" spans="2:3" hidden="1">
      <c r="B197" s="112">
        <f t="shared" si="0"/>
        <v>2074</v>
      </c>
      <c r="C197" s="113">
        <f>[8]С2.5!$BG$11</f>
        <v>0</v>
      </c>
    </row>
    <row r="198" spans="2:3" hidden="1">
      <c r="B198" s="112">
        <f t="shared" si="0"/>
        <v>2075</v>
      </c>
      <c r="C198" s="113">
        <f>[8]С2.5!$BH$11</f>
        <v>0</v>
      </c>
    </row>
    <row r="199" spans="2:3" hidden="1">
      <c r="B199" s="112">
        <f t="shared" si="0"/>
        <v>2076</v>
      </c>
      <c r="C199" s="113">
        <f>[8]С2.5!$BI$11</f>
        <v>0</v>
      </c>
    </row>
    <row r="200" spans="2:3" hidden="1">
      <c r="B200" s="112">
        <f t="shared" si="0"/>
        <v>2077</v>
      </c>
      <c r="C200" s="113">
        <f>[8]С2.5!$BJ$11</f>
        <v>0</v>
      </c>
    </row>
    <row r="201" spans="2:3" hidden="1">
      <c r="B201" s="112">
        <f t="shared" si="0"/>
        <v>2078</v>
      </c>
      <c r="C201" s="113">
        <f>[8]С2.5!$BK$11</f>
        <v>0</v>
      </c>
    </row>
    <row r="202" spans="2:3" hidden="1">
      <c r="B202" s="112">
        <f t="shared" si="0"/>
        <v>2079</v>
      </c>
      <c r="C202" s="113">
        <f>[8]С2.5!$BL$11</f>
        <v>0</v>
      </c>
    </row>
    <row r="203" spans="2:3" hidden="1">
      <c r="B203" s="112">
        <f t="shared" si="0"/>
        <v>2080</v>
      </c>
      <c r="C203" s="113">
        <f>[8]С2.5!$BM$11</f>
        <v>0</v>
      </c>
    </row>
    <row r="204" spans="2:3" hidden="1">
      <c r="B204" s="112">
        <f t="shared" si="0"/>
        <v>2081</v>
      </c>
      <c r="C204" s="113">
        <f>[8]С2.5!$BN$11</f>
        <v>0</v>
      </c>
    </row>
    <row r="205" spans="2:3" hidden="1">
      <c r="B205" s="112">
        <f t="shared" si="0"/>
        <v>2082</v>
      </c>
      <c r="C205" s="113">
        <f>[8]С2.5!$BO$11</f>
        <v>0</v>
      </c>
    </row>
    <row r="206" spans="2:3" hidden="1">
      <c r="B206" s="112">
        <f t="shared" si="0"/>
        <v>2083</v>
      </c>
      <c r="C206" s="113">
        <f>[8]С2.5!$BP$11</f>
        <v>0</v>
      </c>
    </row>
    <row r="207" spans="2:3" hidden="1">
      <c r="B207" s="112">
        <f t="shared" si="0"/>
        <v>2084</v>
      </c>
      <c r="C207" s="113">
        <f>[8]С2.5!$BQ$11</f>
        <v>0</v>
      </c>
    </row>
    <row r="208" spans="2:3" hidden="1">
      <c r="B208" s="112">
        <f t="shared" si="0"/>
        <v>2085</v>
      </c>
      <c r="C208" s="113">
        <f>[8]С2.5!$BR$11</f>
        <v>0</v>
      </c>
    </row>
    <row r="209" spans="2:3" hidden="1">
      <c r="B209" s="112">
        <f t="shared" ref="B209:B223" si="1">B208+1</f>
        <v>2086</v>
      </c>
      <c r="C209" s="113">
        <f>[8]С2.5!$BS$11</f>
        <v>0</v>
      </c>
    </row>
    <row r="210" spans="2:3" hidden="1">
      <c r="B210" s="112">
        <f t="shared" si="1"/>
        <v>2087</v>
      </c>
      <c r="C210" s="113">
        <f>[8]С2.5!$BT$11</f>
        <v>0</v>
      </c>
    </row>
    <row r="211" spans="2:3" hidden="1">
      <c r="B211" s="112">
        <f t="shared" si="1"/>
        <v>2088</v>
      </c>
      <c r="C211" s="113">
        <f>[8]С2.5!$BU$11</f>
        <v>0</v>
      </c>
    </row>
    <row r="212" spans="2:3" hidden="1">
      <c r="B212" s="112">
        <f t="shared" si="1"/>
        <v>2089</v>
      </c>
      <c r="C212" s="113">
        <f>[8]С2.5!$BV$11</f>
        <v>0</v>
      </c>
    </row>
    <row r="213" spans="2:3" hidden="1">
      <c r="B213" s="112">
        <f t="shared" si="1"/>
        <v>2090</v>
      </c>
      <c r="C213" s="113">
        <f>[8]С2.5!$BW$11</f>
        <v>0</v>
      </c>
    </row>
    <row r="214" spans="2:3" hidden="1">
      <c r="B214" s="112">
        <f t="shared" si="1"/>
        <v>2091</v>
      </c>
      <c r="C214" s="113">
        <f>[8]С2.5!$BX$11</f>
        <v>0</v>
      </c>
    </row>
    <row r="215" spans="2:3" hidden="1">
      <c r="B215" s="112">
        <f t="shared" si="1"/>
        <v>2092</v>
      </c>
      <c r="C215" s="113">
        <f>[8]С2.5!$BY$11</f>
        <v>0</v>
      </c>
    </row>
    <row r="216" spans="2:3" hidden="1">
      <c r="B216" s="112">
        <f t="shared" si="1"/>
        <v>2093</v>
      </c>
      <c r="C216" s="113">
        <f>[8]С2.5!$BZ$11</f>
        <v>0</v>
      </c>
    </row>
    <row r="217" spans="2:3" hidden="1">
      <c r="B217" s="112">
        <f t="shared" si="1"/>
        <v>2094</v>
      </c>
      <c r="C217" s="113">
        <f>[8]С2.5!$CA$11</f>
        <v>0</v>
      </c>
    </row>
    <row r="218" spans="2:3" hidden="1">
      <c r="B218" s="112">
        <f t="shared" si="1"/>
        <v>2095</v>
      </c>
      <c r="C218" s="113">
        <f>[8]С2.5!$CB$11</f>
        <v>0</v>
      </c>
    </row>
    <row r="219" spans="2:3" hidden="1">
      <c r="B219" s="112">
        <f t="shared" si="1"/>
        <v>2096</v>
      </c>
      <c r="C219" s="113">
        <f>[8]С2.5!$CC$11</f>
        <v>0</v>
      </c>
    </row>
    <row r="220" spans="2:3" hidden="1">
      <c r="B220" s="112">
        <f t="shared" si="1"/>
        <v>2097</v>
      </c>
      <c r="C220" s="113">
        <f>[8]С2.5!$CD$11</f>
        <v>0</v>
      </c>
    </row>
    <row r="221" spans="2:3" hidden="1">
      <c r="B221" s="112">
        <f t="shared" si="1"/>
        <v>2098</v>
      </c>
      <c r="C221" s="113">
        <f>[8]С2.5!$CE$11</f>
        <v>0</v>
      </c>
    </row>
    <row r="222" spans="2:3" hidden="1">
      <c r="B222" s="112">
        <f t="shared" si="1"/>
        <v>2099</v>
      </c>
      <c r="C222" s="113">
        <f>[8]С2.5!$CF$11</f>
        <v>0</v>
      </c>
    </row>
    <row r="223" spans="2:3" ht="13.5" hidden="1" thickBot="1">
      <c r="B223" s="114">
        <f t="shared" si="1"/>
        <v>2100</v>
      </c>
      <c r="C223" s="115">
        <f>[8]С2.5!$CG$11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J1048576"/>
    </sheetView>
  </sheetViews>
  <sheetFormatPr defaultRowHeight="12.75"/>
  <cols>
    <col min="1" max="1" width="9.140625" style="2" customWidth="1"/>
    <col min="2" max="2" width="100.5703125" style="2" customWidth="1"/>
    <col min="3" max="3" width="20.85546875" style="7" customWidth="1"/>
    <col min="4" max="243" width="9.140625" style="2"/>
    <col min="244" max="244" width="3.570312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570312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570312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570312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570312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570312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570312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570312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570312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570312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570312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570312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570312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570312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570312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570312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570312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570312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570312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570312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570312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570312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570312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570312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570312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570312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570312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570312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570312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570312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570312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570312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570312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570312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570312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570312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570312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570312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570312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570312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570312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570312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570312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570312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570312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570312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570312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570312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570312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570312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570312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570312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570312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570312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570312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570312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570312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570312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570312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570312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570312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570312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570312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[9]И1!D13</f>
        <v>Субъект Российской Федерации</v>
      </c>
      <c r="C4" s="10" t="str">
        <f>[9]И1!E13</f>
        <v>Новосибирская область</v>
      </c>
    </row>
    <row r="5" spans="1:3">
      <c r="A5" s="8"/>
      <c r="B5" s="9" t="str">
        <f>[9]И1!D14</f>
        <v>Тип муниципального образования (выберите из списка)</v>
      </c>
      <c r="C5" s="10" t="str">
        <f>[9]И1!E14</f>
        <v>село Веснянка</v>
      </c>
    </row>
    <row r="6" spans="1:3">
      <c r="A6" s="8"/>
      <c r="B6" s="9" t="str">
        <f>IF([9]И1!E15="","",[9]И1!D15)</f>
        <v/>
      </c>
      <c r="C6" s="10" t="str">
        <f>IF([9]И1!E15="","",[9]И1!E15)</f>
        <v/>
      </c>
    </row>
    <row r="7" spans="1:3">
      <c r="A7" s="8"/>
      <c r="B7" s="9" t="str">
        <f>[9]И1!D16</f>
        <v>Код ОКТМО</v>
      </c>
      <c r="C7" s="11" t="str">
        <f>[9]И1!E16</f>
        <v>50630411101</v>
      </c>
    </row>
    <row r="8" spans="1:3">
      <c r="A8" s="8"/>
      <c r="B8" s="12" t="str">
        <f>[9]И1!D17</f>
        <v>Система теплоснабжения</v>
      </c>
      <c r="C8" s="13">
        <f>[9]И1!E17</f>
        <v>0</v>
      </c>
    </row>
    <row r="9" spans="1:3">
      <c r="A9" s="8"/>
      <c r="B9" s="9" t="str">
        <f>[9]И1!D8</f>
        <v>Период регулирования (i)-й</v>
      </c>
      <c r="C9" s="14">
        <f>[9]И1!E8</f>
        <v>2023</v>
      </c>
    </row>
    <row r="10" spans="1:3">
      <c r="A10" s="8"/>
      <c r="B10" s="9" t="str">
        <f>[9]И1!D9</f>
        <v>Период регулирования (i-1)-й</v>
      </c>
      <c r="C10" s="14">
        <f>[9]И1!E9</f>
        <v>2022</v>
      </c>
    </row>
    <row r="11" spans="1:3">
      <c r="A11" s="8"/>
      <c r="B11" s="9" t="str">
        <f>[9]И1!D10</f>
        <v>Период регулирования (i-2)-й</v>
      </c>
      <c r="C11" s="14">
        <f>[9]И1!E10</f>
        <v>2021</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4202.4589822852604</v>
      </c>
    </row>
    <row r="18" spans="1:3" ht="42.75">
      <c r="A18" s="22" t="s">
        <v>8</v>
      </c>
      <c r="B18" s="25" t="s">
        <v>9</v>
      </c>
      <c r="C18" s="26">
        <f>[9]С1!F12</f>
        <v>999.72960558445561</v>
      </c>
    </row>
    <row r="19" spans="1:3" ht="42.75">
      <c r="A19" s="22" t="s">
        <v>10</v>
      </c>
      <c r="B19" s="25" t="s">
        <v>11</v>
      </c>
      <c r="C19" s="26">
        <f>[9]С2!F12</f>
        <v>2116.2031761890698</v>
      </c>
    </row>
    <row r="20" spans="1:3" ht="30">
      <c r="A20" s="22" t="s">
        <v>12</v>
      </c>
      <c r="B20" s="25" t="s">
        <v>13</v>
      </c>
      <c r="C20" s="26">
        <f>[9]С3!F12</f>
        <v>506.5368696227419</v>
      </c>
    </row>
    <row r="21" spans="1:3" ht="42.75">
      <c r="A21" s="22" t="s">
        <v>14</v>
      </c>
      <c r="B21" s="25" t="s">
        <v>15</v>
      </c>
      <c r="C21" s="26">
        <f>[9]С4!F12</f>
        <v>497.58817437359585</v>
      </c>
    </row>
    <row r="22" spans="1:3" ht="30">
      <c r="A22" s="22" t="s">
        <v>16</v>
      </c>
      <c r="B22" s="25" t="s">
        <v>17</v>
      </c>
      <c r="C22" s="26">
        <f>[9]С5!F12</f>
        <v>82.401156515397275</v>
      </c>
    </row>
    <row r="23" spans="1:3" ht="43.5" thickBot="1">
      <c r="A23" s="27" t="s">
        <v>18</v>
      </c>
      <c r="B23" s="28" t="s">
        <v>19</v>
      </c>
      <c r="C23" s="29" t="str">
        <f>[9]С6!F12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[9]С1.1!E16</f>
        <v>5100</v>
      </c>
    </row>
    <row r="29" spans="1:3" ht="42.75">
      <c r="A29" s="22" t="s">
        <v>10</v>
      </c>
      <c r="B29" s="34" t="s">
        <v>22</v>
      </c>
      <c r="C29" s="35">
        <f>[9]С1.1!E27</f>
        <v>2688.1058333333335</v>
      </c>
    </row>
    <row r="30" spans="1:3" ht="17.25">
      <c r="A30" s="22" t="s">
        <v>12</v>
      </c>
      <c r="B30" s="34" t="s">
        <v>23</v>
      </c>
      <c r="C30" s="36">
        <f>[9]С1.1!E19</f>
        <v>0.59499999999999997</v>
      </c>
    </row>
    <row r="31" spans="1:3" ht="17.25">
      <c r="A31" s="22" t="s">
        <v>14</v>
      </c>
      <c r="B31" s="34" t="s">
        <v>24</v>
      </c>
      <c r="C31" s="36">
        <f>[9]С1.1!E20</f>
        <v>-0.113</v>
      </c>
    </row>
    <row r="32" spans="1:3" ht="30">
      <c r="A32" s="22" t="s">
        <v>16</v>
      </c>
      <c r="B32" s="37" t="s">
        <v>25</v>
      </c>
      <c r="C32" s="38">
        <f>[9]С1!F13</f>
        <v>176.4</v>
      </c>
    </row>
    <row r="33" spans="1:3">
      <c r="A33" s="22" t="s">
        <v>18</v>
      </c>
      <c r="B33" s="37" t="s">
        <v>26</v>
      </c>
      <c r="C33" s="39">
        <f>[9]С1!F16</f>
        <v>7000</v>
      </c>
    </row>
    <row r="34" spans="1:3" ht="14.25">
      <c r="A34" s="22" t="s">
        <v>27</v>
      </c>
      <c r="B34" s="40" t="s">
        <v>28</v>
      </c>
      <c r="C34" s="41">
        <f>[9]С1!F17</f>
        <v>0.72857142857142854</v>
      </c>
    </row>
    <row r="35" spans="1:3" ht="15.75">
      <c r="A35" s="42" t="s">
        <v>29</v>
      </c>
      <c r="B35" s="43" t="s">
        <v>30</v>
      </c>
      <c r="C35" s="41">
        <f>[9]С1!F20</f>
        <v>21.588411179999994</v>
      </c>
    </row>
    <row r="36" spans="1:3" ht="15.75">
      <c r="A36" s="42" t="s">
        <v>31</v>
      </c>
      <c r="B36" s="44" t="s">
        <v>32</v>
      </c>
      <c r="C36" s="41">
        <f>[9]С1!F21</f>
        <v>20.818139999999996</v>
      </c>
    </row>
    <row r="37" spans="1:3" ht="14.25">
      <c r="A37" s="42" t="s">
        <v>33</v>
      </c>
      <c r="B37" s="45" t="s">
        <v>34</v>
      </c>
      <c r="C37" s="41">
        <f>[9]С1!F22</f>
        <v>1.0369999999999999</v>
      </c>
    </row>
    <row r="38" spans="1:3" ht="53.25" thickBot="1">
      <c r="A38" s="27" t="s">
        <v>35</v>
      </c>
      <c r="B38" s="46" t="s">
        <v>36</v>
      </c>
      <c r="C38" s="47">
        <f>[9]С1!F23</f>
        <v>1.0469999999999999</v>
      </c>
    </row>
    <row r="39" spans="1:3" ht="13.5" thickBot="1">
      <c r="A39" s="48"/>
      <c r="B39" s="49"/>
      <c r="C39" s="50"/>
    </row>
    <row r="40" spans="1:3" ht="30" customHeight="1">
      <c r="A40" s="51" t="s">
        <v>37</v>
      </c>
      <c r="B40" s="142" t="s">
        <v>38</v>
      </c>
      <c r="C40" s="142"/>
    </row>
    <row r="41" spans="1:3" ht="25.5">
      <c r="A41" s="22" t="s">
        <v>39</v>
      </c>
      <c r="B41" s="37" t="s">
        <v>40</v>
      </c>
      <c r="C41" s="52" t="str">
        <f>[9]С2.1!E12</f>
        <v>V</v>
      </c>
    </row>
    <row r="42" spans="1:3" ht="25.5">
      <c r="A42" s="22" t="s">
        <v>41</v>
      </c>
      <c r="B42" s="34" t="s">
        <v>42</v>
      </c>
      <c r="C42" s="52" t="str">
        <f>[9]С2.1!E13</f>
        <v>6 и менее баллов</v>
      </c>
    </row>
    <row r="43" spans="1:3" ht="25.5">
      <c r="A43" s="22" t="s">
        <v>43</v>
      </c>
      <c r="B43" s="34" t="s">
        <v>44</v>
      </c>
      <c r="C43" s="52" t="str">
        <f>[9]С2.1!E14</f>
        <v>от 200 до 500</v>
      </c>
    </row>
    <row r="44" spans="1:3" ht="25.5">
      <c r="A44" s="22" t="s">
        <v>45</v>
      </c>
      <c r="B44" s="34" t="s">
        <v>46</v>
      </c>
      <c r="C44" s="53" t="str">
        <f>[9]С2.1!E15</f>
        <v>нет</v>
      </c>
    </row>
    <row r="45" spans="1:3" ht="30">
      <c r="A45" s="22" t="s">
        <v>47</v>
      </c>
      <c r="B45" s="34" t="s">
        <v>48</v>
      </c>
      <c r="C45" s="35">
        <f>[9]С2!F18</f>
        <v>32402.627334033532</v>
      </c>
    </row>
    <row r="46" spans="1:3" ht="30">
      <c r="A46" s="22" t="s">
        <v>49</v>
      </c>
      <c r="B46" s="54" t="s">
        <v>50</v>
      </c>
      <c r="C46" s="35">
        <f>IF([9]С2!F19&gt;0,[9]С2!F19,[9]С2!F20)</f>
        <v>23441.524932855718</v>
      </c>
    </row>
    <row r="47" spans="1:3" ht="25.5">
      <c r="A47" s="22" t="s">
        <v>51</v>
      </c>
      <c r="B47" s="55" t="s">
        <v>52</v>
      </c>
      <c r="C47" s="35">
        <f>[9]С2.1!E19</f>
        <v>-38</v>
      </c>
    </row>
    <row r="48" spans="1:3" ht="25.5">
      <c r="A48" s="22" t="s">
        <v>53</v>
      </c>
      <c r="B48" s="55" t="s">
        <v>54</v>
      </c>
      <c r="C48" s="35" t="str">
        <f>[9]С2.1!E22</f>
        <v>нет</v>
      </c>
    </row>
    <row r="49" spans="1:3" ht="38.25">
      <c r="A49" s="22" t="s">
        <v>55</v>
      </c>
      <c r="B49" s="56" t="s">
        <v>56</v>
      </c>
      <c r="C49" s="35">
        <f>[9]С2.2!E10</f>
        <v>1287</v>
      </c>
    </row>
    <row r="50" spans="1:3" ht="25.5">
      <c r="A50" s="22" t="s">
        <v>57</v>
      </c>
      <c r="B50" s="57" t="s">
        <v>58</v>
      </c>
      <c r="C50" s="35">
        <f>[9]С2.2!E12</f>
        <v>5.97</v>
      </c>
    </row>
    <row r="51" spans="1:3" ht="52.5">
      <c r="A51" s="22" t="s">
        <v>59</v>
      </c>
      <c r="B51" s="58" t="s">
        <v>60</v>
      </c>
      <c r="C51" s="35">
        <f>[9]С2.2!E13</f>
        <v>1</v>
      </c>
    </row>
    <row r="52" spans="1:3" ht="27.75">
      <c r="A52" s="22" t="s">
        <v>61</v>
      </c>
      <c r="B52" s="57" t="s">
        <v>62</v>
      </c>
      <c r="C52" s="35">
        <f>[9]С2.2!E14</f>
        <v>12104</v>
      </c>
    </row>
    <row r="53" spans="1:3" ht="25.5">
      <c r="A53" s="22" t="s">
        <v>63</v>
      </c>
      <c r="B53" s="58" t="s">
        <v>64</v>
      </c>
      <c r="C53" s="36">
        <f>[9]С2.2!E15</f>
        <v>4.8000000000000001E-2</v>
      </c>
    </row>
    <row r="54" spans="1:3">
      <c r="A54" s="22" t="s">
        <v>65</v>
      </c>
      <c r="B54" s="58" t="s">
        <v>66</v>
      </c>
      <c r="C54" s="35">
        <f>[9]С2.2!E16</f>
        <v>1</v>
      </c>
    </row>
    <row r="55" spans="1:3" ht="15.75">
      <c r="A55" s="22" t="s">
        <v>67</v>
      </c>
      <c r="B55" s="59" t="s">
        <v>68</v>
      </c>
      <c r="C55" s="35">
        <f>[9]С2!F21</f>
        <v>1</v>
      </c>
    </row>
    <row r="56" spans="1:3" ht="30">
      <c r="A56" s="60" t="s">
        <v>69</v>
      </c>
      <c r="B56" s="34" t="s">
        <v>70</v>
      </c>
      <c r="C56" s="35">
        <f>[9]С2!F13</f>
        <v>169640.22915965237</v>
      </c>
    </row>
    <row r="57" spans="1:3" ht="30">
      <c r="A57" s="60" t="s">
        <v>71</v>
      </c>
      <c r="B57" s="59" t="s">
        <v>72</v>
      </c>
      <c r="C57" s="35">
        <f>[9]С2!F14</f>
        <v>113455</v>
      </c>
    </row>
    <row r="58" spans="1:3" ht="15.75">
      <c r="A58" s="60" t="s">
        <v>73</v>
      </c>
      <c r="B58" s="61" t="s">
        <v>74</v>
      </c>
      <c r="C58" s="41">
        <f>[9]С2!F15</f>
        <v>1.071</v>
      </c>
    </row>
    <row r="59" spans="1:3" ht="15.75">
      <c r="A59" s="60" t="s">
        <v>75</v>
      </c>
      <c r="B59" s="61" t="s">
        <v>76</v>
      </c>
      <c r="C59" s="41">
        <f>[9]С2!F16</f>
        <v>1</v>
      </c>
    </row>
    <row r="60" spans="1:3" ht="17.25">
      <c r="A60" s="60" t="s">
        <v>77</v>
      </c>
      <c r="B60" s="59" t="s">
        <v>78</v>
      </c>
      <c r="C60" s="35">
        <f>[9]С2!F17</f>
        <v>1.01</v>
      </c>
    </row>
    <row r="61" spans="1:3" s="64" customFormat="1" ht="14.25">
      <c r="A61" s="60" t="s">
        <v>79</v>
      </c>
      <c r="B61" s="62" t="s">
        <v>80</v>
      </c>
      <c r="C61" s="63">
        <f>[9]С2!F33</f>
        <v>10</v>
      </c>
    </row>
    <row r="62" spans="1:3" ht="30">
      <c r="A62" s="60" t="s">
        <v>81</v>
      </c>
      <c r="B62" s="65" t="s">
        <v>82</v>
      </c>
      <c r="C62" s="35">
        <f>[9]С2!F26</f>
        <v>2274.3932248182782</v>
      </c>
    </row>
    <row r="63" spans="1:3" ht="17.25">
      <c r="A63" s="60" t="s">
        <v>83</v>
      </c>
      <c r="B63" s="54" t="s">
        <v>84</v>
      </c>
      <c r="C63" s="35">
        <f>[9]С2!F27</f>
        <v>0.391761629</v>
      </c>
    </row>
    <row r="64" spans="1:3" ht="17.25">
      <c r="A64" s="60" t="s">
        <v>85</v>
      </c>
      <c r="B64" s="59" t="s">
        <v>86</v>
      </c>
      <c r="C64" s="63">
        <f>[9]С2!F28</f>
        <v>4200</v>
      </c>
    </row>
    <row r="65" spans="1:3" ht="42.75">
      <c r="A65" s="60" t="s">
        <v>87</v>
      </c>
      <c r="B65" s="34" t="s">
        <v>88</v>
      </c>
      <c r="C65" s="35">
        <f>[9]С2!F22</f>
        <v>35717.748653137714</v>
      </c>
    </row>
    <row r="66" spans="1:3" ht="30">
      <c r="A66" s="60" t="s">
        <v>89</v>
      </c>
      <c r="B66" s="61" t="s">
        <v>90</v>
      </c>
      <c r="C66" s="35">
        <f>[9]С2!F23</f>
        <v>1990</v>
      </c>
    </row>
    <row r="67" spans="1:3" ht="30">
      <c r="A67" s="60" t="s">
        <v>91</v>
      </c>
      <c r="B67" s="54" t="s">
        <v>92</v>
      </c>
      <c r="C67" s="35">
        <f>[9]С2.1!E27</f>
        <v>14307.876789999998</v>
      </c>
    </row>
    <row r="68" spans="1:3" ht="38.25">
      <c r="A68" s="60" t="s">
        <v>93</v>
      </c>
      <c r="B68" s="66" t="s">
        <v>94</v>
      </c>
      <c r="C68" s="53">
        <f>[9]С2.3!E21</f>
        <v>0</v>
      </c>
    </row>
    <row r="69" spans="1:3" ht="25.5">
      <c r="A69" s="60" t="s">
        <v>95</v>
      </c>
      <c r="B69" s="67" t="s">
        <v>96</v>
      </c>
      <c r="C69" s="68">
        <f>[9]С2.3!E11</f>
        <v>9.89</v>
      </c>
    </row>
    <row r="70" spans="1:3" ht="25.5">
      <c r="A70" s="60" t="s">
        <v>97</v>
      </c>
      <c r="B70" s="67" t="s">
        <v>98</v>
      </c>
      <c r="C70" s="63">
        <f>[9]С2.3!E13</f>
        <v>300</v>
      </c>
    </row>
    <row r="71" spans="1:3" ht="25.5">
      <c r="A71" s="60" t="s">
        <v>99</v>
      </c>
      <c r="B71" s="66" t="s">
        <v>100</v>
      </c>
      <c r="C71" s="69">
        <f>IF([9]С2.3!E22&gt;0,[9]С2.3!E22,[9]С2.3!E14)</f>
        <v>61211</v>
      </c>
    </row>
    <row r="72" spans="1:3" ht="38.25">
      <c r="A72" s="60" t="s">
        <v>101</v>
      </c>
      <c r="B72" s="66" t="s">
        <v>102</v>
      </c>
      <c r="C72" s="69">
        <f>IF([9]С2.3!E23&gt;0,[9]С2.3!E23,[9]С2.3!E15)</f>
        <v>45675</v>
      </c>
    </row>
    <row r="73" spans="1:3" ht="30">
      <c r="A73" s="60" t="s">
        <v>103</v>
      </c>
      <c r="B73" s="54" t="s">
        <v>104</v>
      </c>
      <c r="C73" s="35">
        <f>[9]С2.1!E28</f>
        <v>9541.9567200000001</v>
      </c>
    </row>
    <row r="74" spans="1:3" ht="38.25">
      <c r="A74" s="60" t="s">
        <v>105</v>
      </c>
      <c r="B74" s="66" t="s">
        <v>106</v>
      </c>
      <c r="C74" s="53">
        <f>[9]С2.3!E25</f>
        <v>0</v>
      </c>
    </row>
    <row r="75" spans="1:3" ht="25.5">
      <c r="A75" s="60" t="s">
        <v>107</v>
      </c>
      <c r="B75" s="67" t="s">
        <v>108</v>
      </c>
      <c r="C75" s="68">
        <f>[9]С2.3!E12</f>
        <v>0.56000000000000005</v>
      </c>
    </row>
    <row r="76" spans="1:3" ht="25.5">
      <c r="A76" s="60" t="s">
        <v>109</v>
      </c>
      <c r="B76" s="67" t="s">
        <v>98</v>
      </c>
      <c r="C76" s="63">
        <f>[9]С2.3!E13</f>
        <v>300</v>
      </c>
    </row>
    <row r="77" spans="1:3" ht="25.5">
      <c r="A77" s="60" t="s">
        <v>110</v>
      </c>
      <c r="B77" s="70" t="s">
        <v>111</v>
      </c>
      <c r="C77" s="69">
        <f>IF([9]С2.3!E26&gt;0,[9]С2.3!E26,[9]С2.3!E16)</f>
        <v>65637</v>
      </c>
    </row>
    <row r="78" spans="1:3" ht="38.25">
      <c r="A78" s="60" t="s">
        <v>112</v>
      </c>
      <c r="B78" s="70" t="s">
        <v>113</v>
      </c>
      <c r="C78" s="69">
        <f>IF([9]С2.3!E27&gt;0,[9]С2.3!E27,[9]С2.3!E17)</f>
        <v>31684</v>
      </c>
    </row>
    <row r="79" spans="1:3" ht="17.25">
      <c r="A79" s="60" t="s">
        <v>114</v>
      </c>
      <c r="B79" s="34" t="s">
        <v>115</v>
      </c>
      <c r="C79" s="36">
        <f>[9]С2!F29</f>
        <v>0.128978033685065</v>
      </c>
    </row>
    <row r="80" spans="1:3" ht="30">
      <c r="A80" s="60" t="s">
        <v>116</v>
      </c>
      <c r="B80" s="54" t="s">
        <v>117</v>
      </c>
      <c r="C80" s="71">
        <f>[9]С2!F30</f>
        <v>0.11668498168498169</v>
      </c>
    </row>
    <row r="81" spans="1:3" ht="17.25">
      <c r="A81" s="60" t="s">
        <v>118</v>
      </c>
      <c r="B81" s="72" t="s">
        <v>119</v>
      </c>
      <c r="C81" s="36">
        <f>[9]С2!F31</f>
        <v>0.13880000000000001</v>
      </c>
    </row>
    <row r="82" spans="1:3" s="64" customFormat="1" ht="18" thickBot="1">
      <c r="A82" s="73" t="s">
        <v>120</v>
      </c>
      <c r="B82" s="74" t="s">
        <v>121</v>
      </c>
      <c r="C82" s="75">
        <f>[9]С2!F32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[9]С3!F14</f>
        <v>7051.1767451401192</v>
      </c>
    </row>
    <row r="86" spans="1:3" s="64" customFormat="1" ht="42.75">
      <c r="A86" s="78" t="s">
        <v>126</v>
      </c>
      <c r="B86" s="54" t="s">
        <v>127</v>
      </c>
      <c r="C86" s="79">
        <f>[9]С3!F15</f>
        <v>0.2</v>
      </c>
    </row>
    <row r="87" spans="1:3" s="64" customFormat="1" ht="14.25">
      <c r="A87" s="78" t="s">
        <v>128</v>
      </c>
      <c r="B87" s="80" t="s">
        <v>129</v>
      </c>
      <c r="C87" s="63">
        <f>[9]С3!F18</f>
        <v>15</v>
      </c>
    </row>
    <row r="88" spans="1:3" s="64" customFormat="1" ht="17.25">
      <c r="A88" s="78" t="s">
        <v>130</v>
      </c>
      <c r="B88" s="34" t="s">
        <v>131</v>
      </c>
      <c r="C88" s="35">
        <f>[9]С3!F19</f>
        <v>3487.1555421534131</v>
      </c>
    </row>
    <row r="89" spans="1:3" s="64" customFormat="1" ht="55.5">
      <c r="A89" s="78" t="s">
        <v>132</v>
      </c>
      <c r="B89" s="54" t="s">
        <v>133</v>
      </c>
      <c r="C89" s="81">
        <f>[9]С3!F20</f>
        <v>2.1999999999999999E-2</v>
      </c>
    </row>
    <row r="90" spans="1:3" s="64" customFormat="1" ht="14.25">
      <c r="A90" s="78" t="s">
        <v>134</v>
      </c>
      <c r="B90" s="59" t="s">
        <v>80</v>
      </c>
      <c r="C90" s="63">
        <f>[9]С3!F21</f>
        <v>10</v>
      </c>
    </row>
    <row r="91" spans="1:3" s="64" customFormat="1" ht="17.25">
      <c r="A91" s="78" t="s">
        <v>135</v>
      </c>
      <c r="B91" s="34" t="s">
        <v>136</v>
      </c>
      <c r="C91" s="35">
        <f>[9]С3!F22</f>
        <v>6.8231796744548348</v>
      </c>
    </row>
    <row r="92" spans="1:3" s="64" customFormat="1" ht="55.5">
      <c r="A92" s="78" t="s">
        <v>137</v>
      </c>
      <c r="B92" s="54" t="s">
        <v>138</v>
      </c>
      <c r="C92" s="81">
        <f>[9]С3!F23</f>
        <v>3.0000000000000001E-3</v>
      </c>
    </row>
    <row r="93" spans="1:3" s="64" customFormat="1" ht="27.75" thickBot="1">
      <c r="A93" s="82" t="s">
        <v>139</v>
      </c>
      <c r="B93" s="83" t="s">
        <v>140</v>
      </c>
      <c r="C93" s="84">
        <f>[9]С3!F24</f>
        <v>2274.3932248182782</v>
      </c>
    </row>
    <row r="94" spans="1:3" ht="13.5" thickBot="1">
      <c r="A94" s="48"/>
      <c r="B94" s="76"/>
      <c r="C94" s="15"/>
    </row>
    <row r="95" spans="1:3" ht="30" customHeight="1">
      <c r="A95" s="85" t="s">
        <v>141</v>
      </c>
      <c r="B95" s="142" t="s">
        <v>142</v>
      </c>
      <c r="C95" s="142"/>
    </row>
    <row r="96" spans="1:3" ht="30">
      <c r="A96" s="60" t="s">
        <v>143</v>
      </c>
      <c r="B96" s="34" t="s">
        <v>144</v>
      </c>
      <c r="C96" s="35">
        <f>[9]С4!F16</f>
        <v>1652.5</v>
      </c>
    </row>
    <row r="97" spans="1:3" ht="30">
      <c r="A97" s="60" t="s">
        <v>145</v>
      </c>
      <c r="B97" s="59" t="s">
        <v>146</v>
      </c>
      <c r="C97" s="35">
        <f>[9]С4!F17</f>
        <v>73547</v>
      </c>
    </row>
    <row r="98" spans="1:3" ht="17.25">
      <c r="A98" s="60" t="s">
        <v>147</v>
      </c>
      <c r="B98" s="59" t="s">
        <v>148</v>
      </c>
      <c r="C98" s="41">
        <f>[9]С4!F18</f>
        <v>0.02</v>
      </c>
    </row>
    <row r="99" spans="1:3" ht="30">
      <c r="A99" s="60" t="s">
        <v>149</v>
      </c>
      <c r="B99" s="59" t="s">
        <v>150</v>
      </c>
      <c r="C99" s="35">
        <f>[9]С4!F19</f>
        <v>12104</v>
      </c>
    </row>
    <row r="100" spans="1:3" ht="31.5">
      <c r="A100" s="60" t="s">
        <v>151</v>
      </c>
      <c r="B100" s="59" t="s">
        <v>152</v>
      </c>
      <c r="C100" s="41">
        <f>[9]С4!F20</f>
        <v>1.4999999999999999E-2</v>
      </c>
    </row>
    <row r="101" spans="1:3" ht="30">
      <c r="A101" s="60" t="s">
        <v>153</v>
      </c>
      <c r="B101" s="34" t="s">
        <v>154</v>
      </c>
      <c r="C101" s="35">
        <f>[9]С4!F21</f>
        <v>1933.1949342509995</v>
      </c>
    </row>
    <row r="102" spans="1:3" ht="24" customHeight="1">
      <c r="A102" s="60" t="s">
        <v>155</v>
      </c>
      <c r="B102" s="54" t="s">
        <v>156</v>
      </c>
      <c r="C102" s="86">
        <f>IF([9]С4.2!F8="да",[9]С4.2!D21,[9]С4.2!D15)</f>
        <v>0</v>
      </c>
    </row>
    <row r="103" spans="1:3" ht="68.25">
      <c r="A103" s="60" t="s">
        <v>157</v>
      </c>
      <c r="B103" s="54" t="s">
        <v>158</v>
      </c>
      <c r="C103" s="35">
        <f>[9]С4!F22</f>
        <v>3.6112641666666665</v>
      </c>
    </row>
    <row r="104" spans="1:3" ht="30">
      <c r="A104" s="60" t="s">
        <v>159</v>
      </c>
      <c r="B104" s="59" t="s">
        <v>160</v>
      </c>
      <c r="C104" s="35">
        <f>[9]С4!F23</f>
        <v>180</v>
      </c>
    </row>
    <row r="105" spans="1:3" ht="14.25">
      <c r="A105" s="60" t="s">
        <v>161</v>
      </c>
      <c r="B105" s="54" t="s">
        <v>162</v>
      </c>
      <c r="C105" s="35">
        <f>[9]С4!F24</f>
        <v>8497.1999999999989</v>
      </c>
    </row>
    <row r="106" spans="1:3" ht="14.25">
      <c r="A106" s="60" t="s">
        <v>163</v>
      </c>
      <c r="B106" s="59" t="s">
        <v>164</v>
      </c>
      <c r="C106" s="41">
        <f>[9]С4!F25</f>
        <v>0.35</v>
      </c>
    </row>
    <row r="107" spans="1:3" ht="17.25">
      <c r="A107" s="60" t="s">
        <v>165</v>
      </c>
      <c r="B107" s="34" t="s">
        <v>166</v>
      </c>
      <c r="C107" s="35">
        <f>[9]С4!F26</f>
        <v>99.93771000000001</v>
      </c>
    </row>
    <row r="108" spans="1:3" ht="25.5">
      <c r="A108" s="60" t="s">
        <v>167</v>
      </c>
      <c r="B108" s="54" t="s">
        <v>94</v>
      </c>
      <c r="C108" s="86">
        <f>[9]С4.3!E16</f>
        <v>0</v>
      </c>
    </row>
    <row r="109" spans="1:3" ht="25.5">
      <c r="A109" s="60" t="s">
        <v>168</v>
      </c>
      <c r="B109" s="54" t="s">
        <v>169</v>
      </c>
      <c r="C109" s="35">
        <f>[9]С4.3!E17</f>
        <v>27.57</v>
      </c>
    </row>
    <row r="110" spans="1:3" ht="38.25">
      <c r="A110" s="60" t="s">
        <v>170</v>
      </c>
      <c r="B110" s="54" t="s">
        <v>106</v>
      </c>
      <c r="C110" s="86">
        <f>[9]С4.3!E18</f>
        <v>0</v>
      </c>
    </row>
    <row r="111" spans="1:3">
      <c r="A111" s="60" t="s">
        <v>171</v>
      </c>
      <c r="B111" s="54" t="s">
        <v>172</v>
      </c>
      <c r="C111" s="35">
        <f>[9]С4.3!E19</f>
        <v>15.93</v>
      </c>
    </row>
    <row r="112" spans="1:3">
      <c r="A112" s="60" t="s">
        <v>173</v>
      </c>
      <c r="B112" s="59" t="s">
        <v>174</v>
      </c>
      <c r="C112" s="35">
        <f>[9]С4.3!E11</f>
        <v>1871</v>
      </c>
    </row>
    <row r="113" spans="1:3">
      <c r="A113" s="60" t="s">
        <v>175</v>
      </c>
      <c r="B113" s="59" t="s">
        <v>176</v>
      </c>
      <c r="C113" s="53">
        <f>[9]С4.3!E12</f>
        <v>1636</v>
      </c>
    </row>
    <row r="114" spans="1:3">
      <c r="A114" s="60" t="s">
        <v>177</v>
      </c>
      <c r="B114" s="59" t="s">
        <v>178</v>
      </c>
      <c r="C114" s="53">
        <f>[9]С4.3!E13</f>
        <v>204</v>
      </c>
    </row>
    <row r="115" spans="1:3" ht="30">
      <c r="A115" s="60" t="s">
        <v>179</v>
      </c>
      <c r="B115" s="34" t="s">
        <v>180</v>
      </c>
      <c r="C115" s="35">
        <f>[9]С4!F27</f>
        <v>2164.8316773434499</v>
      </c>
    </row>
    <row r="116" spans="1:3" ht="25.5">
      <c r="A116" s="60" t="s">
        <v>181</v>
      </c>
      <c r="B116" s="54" t="s">
        <v>182</v>
      </c>
      <c r="C116" s="35">
        <f>[9]С4!F28</f>
        <v>1662.6971408167815</v>
      </c>
    </row>
    <row r="117" spans="1:3" ht="42.75">
      <c r="A117" s="60" t="s">
        <v>183</v>
      </c>
      <c r="B117" s="54" t="s">
        <v>184</v>
      </c>
      <c r="C117" s="35">
        <f>[9]С4!F29</f>
        <v>502.13453652666817</v>
      </c>
    </row>
    <row r="118" spans="1:3" ht="30">
      <c r="A118" s="60" t="s">
        <v>185</v>
      </c>
      <c r="B118" s="40" t="s">
        <v>186</v>
      </c>
      <c r="C118" s="35">
        <f>[9]С4!F30</f>
        <v>2271.9113391865517</v>
      </c>
    </row>
    <row r="119" spans="1:3" ht="42.75">
      <c r="A119" s="60" t="s">
        <v>187</v>
      </c>
      <c r="B119" s="87" t="s">
        <v>188</v>
      </c>
      <c r="C119" s="35">
        <f>[9]С4!F33</f>
        <v>1473.9164433841383</v>
      </c>
    </row>
    <row r="120" spans="1:3" ht="30">
      <c r="A120" s="60" t="s">
        <v>189</v>
      </c>
      <c r="B120" s="88" t="s">
        <v>190</v>
      </c>
      <c r="C120" s="35">
        <f>[9]С4!F35</f>
        <v>17.040680999999999</v>
      </c>
    </row>
    <row r="121" spans="1:3" ht="14.25">
      <c r="A121" s="60" t="s">
        <v>191</v>
      </c>
      <c r="B121" s="57" t="s">
        <v>192</v>
      </c>
      <c r="C121" s="35">
        <f>[9]С4!F36</f>
        <v>14319.9</v>
      </c>
    </row>
    <row r="122" spans="1:3" ht="28.5" thickBot="1">
      <c r="A122" s="73" t="s">
        <v>193</v>
      </c>
      <c r="B122" s="89" t="s">
        <v>194</v>
      </c>
      <c r="C122" s="84">
        <f>[9]С4!F37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[9]С5!F17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[9]С2!F37</f>
        <v>20.818139999999996</v>
      </c>
    </row>
    <row r="136" spans="1:3" ht="14.25">
      <c r="A136" s="60" t="s">
        <v>216</v>
      </c>
      <c r="B136" s="102" t="s">
        <v>217</v>
      </c>
      <c r="C136" s="35">
        <f>[9]С2!F38</f>
        <v>7</v>
      </c>
    </row>
    <row r="137" spans="1:3" ht="17.25">
      <c r="A137" s="60" t="s">
        <v>218</v>
      </c>
      <c r="B137" s="102" t="s">
        <v>219</v>
      </c>
      <c r="C137" s="35">
        <f>[9]С2!F40</f>
        <v>0.97</v>
      </c>
    </row>
    <row r="138" spans="1:3" ht="15" thickBot="1">
      <c r="A138" s="73" t="s">
        <v>220</v>
      </c>
      <c r="B138" s="103" t="s">
        <v>221</v>
      </c>
      <c r="C138" s="47">
        <f>[9]С2!F42</f>
        <v>0.35</v>
      </c>
    </row>
    <row r="139" spans="1:3" s="90" customFormat="1" ht="13.5" thickBot="1">
      <c r="A139" s="48"/>
      <c r="B139" s="76"/>
      <c r="C139" s="15"/>
    </row>
    <row r="140" spans="1:3" ht="30">
      <c r="A140" s="85" t="s">
        <v>222</v>
      </c>
      <c r="B140" s="104" t="s">
        <v>223</v>
      </c>
      <c r="C140" s="105">
        <f>[9]С2!F35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[9]С2.5!$E$11</f>
        <v>-2.9000000000000026E-2</v>
      </c>
    </row>
    <row r="144" spans="1:3">
      <c r="A144" s="107"/>
      <c r="B144" s="112">
        <f>B143+1</f>
        <v>2021</v>
      </c>
      <c r="C144" s="113">
        <f>[9]С2.5!$F$11</f>
        <v>0.245</v>
      </c>
    </row>
    <row r="145" spans="1:3">
      <c r="A145" s="107"/>
      <c r="B145" s="112">
        <f t="shared" ref="B145:B208" si="0">B144+1</f>
        <v>2022</v>
      </c>
      <c r="C145" s="113">
        <f>[9]С2.5!$G$11</f>
        <v>0.121</v>
      </c>
    </row>
    <row r="146" spans="1:3" ht="13.5" thickBot="1">
      <c r="A146" s="107"/>
      <c r="B146" s="114">
        <f t="shared" si="0"/>
        <v>2023</v>
      </c>
      <c r="C146" s="115">
        <f>[9]С2.5!$H$11</f>
        <v>0.02</v>
      </c>
    </row>
    <row r="147" spans="1:3" hidden="1">
      <c r="A147" s="107"/>
      <c r="B147" s="116">
        <f t="shared" si="0"/>
        <v>2024</v>
      </c>
      <c r="C147" s="117">
        <f>[9]С2.5!$I$11</f>
        <v>-2.93E-2</v>
      </c>
    </row>
    <row r="148" spans="1:3" hidden="1">
      <c r="A148" s="107"/>
      <c r="B148" s="112">
        <f t="shared" si="0"/>
        <v>2025</v>
      </c>
      <c r="C148" s="113">
        <f>[9]С2.5!$J$11</f>
        <v>0.21215960863291</v>
      </c>
    </row>
    <row r="149" spans="1:3" hidden="1">
      <c r="A149" s="107"/>
      <c r="B149" s="112">
        <f t="shared" si="0"/>
        <v>2026</v>
      </c>
      <c r="C149" s="113">
        <f>[9]С2.5!$K$11</f>
        <v>3.5813361771260002E-2</v>
      </c>
    </row>
    <row r="150" spans="1:3" hidden="1">
      <c r="A150" s="107"/>
      <c r="B150" s="112">
        <f t="shared" si="0"/>
        <v>2027</v>
      </c>
      <c r="C150" s="113">
        <f>[9]С2.5!$L$11</f>
        <v>3.2682303599220003E-2</v>
      </c>
    </row>
    <row r="151" spans="1:3" hidden="1">
      <c r="A151" s="107"/>
      <c r="B151" s="112">
        <f t="shared" si="0"/>
        <v>2028</v>
      </c>
      <c r="C151" s="113">
        <f>[9]С2.5!$M$11</f>
        <v>0</v>
      </c>
    </row>
    <row r="152" spans="1:3" hidden="1">
      <c r="A152" s="107"/>
      <c r="B152" s="112">
        <f t="shared" si="0"/>
        <v>2029</v>
      </c>
      <c r="C152" s="113">
        <f>[9]С2.5!$N$11</f>
        <v>0</v>
      </c>
    </row>
    <row r="153" spans="1:3" hidden="1">
      <c r="A153" s="107"/>
      <c r="B153" s="112">
        <f t="shared" si="0"/>
        <v>2030</v>
      </c>
      <c r="C153" s="113">
        <f>[9]С2.5!$O$11</f>
        <v>0</v>
      </c>
    </row>
    <row r="154" spans="1:3" hidden="1">
      <c r="A154" s="107"/>
      <c r="B154" s="112">
        <f t="shared" si="0"/>
        <v>2031</v>
      </c>
      <c r="C154" s="113">
        <f>[9]С2.5!$P$11</f>
        <v>0</v>
      </c>
    </row>
    <row r="155" spans="1:3" hidden="1">
      <c r="A155" s="90"/>
      <c r="B155" s="112">
        <f t="shared" si="0"/>
        <v>2032</v>
      </c>
      <c r="C155" s="113">
        <f>[9]С2.5!$Q$11</f>
        <v>0</v>
      </c>
    </row>
    <row r="156" spans="1:3" hidden="1">
      <c r="A156" s="90"/>
      <c r="B156" s="112">
        <f t="shared" si="0"/>
        <v>2033</v>
      </c>
      <c r="C156" s="113">
        <f>[9]С2.5!$R$11</f>
        <v>0</v>
      </c>
    </row>
    <row r="157" spans="1:3" hidden="1">
      <c r="B157" s="112">
        <f t="shared" si="0"/>
        <v>2034</v>
      </c>
      <c r="C157" s="113">
        <f>[9]С2.5!$S$11</f>
        <v>0</v>
      </c>
    </row>
    <row r="158" spans="1:3" hidden="1">
      <c r="B158" s="112">
        <f t="shared" si="0"/>
        <v>2035</v>
      </c>
      <c r="C158" s="113">
        <f>[9]С2.5!$T$11</f>
        <v>0</v>
      </c>
    </row>
    <row r="159" spans="1:3" hidden="1">
      <c r="B159" s="112">
        <f t="shared" si="0"/>
        <v>2036</v>
      </c>
      <c r="C159" s="113">
        <f>[9]С2.5!$U$11</f>
        <v>0</v>
      </c>
    </row>
    <row r="160" spans="1:3" hidden="1">
      <c r="B160" s="112">
        <f t="shared" si="0"/>
        <v>2037</v>
      </c>
      <c r="C160" s="113">
        <f>[9]С2.5!$V$11</f>
        <v>0</v>
      </c>
    </row>
    <row r="161" spans="2:3" hidden="1">
      <c r="B161" s="112">
        <f t="shared" si="0"/>
        <v>2038</v>
      </c>
      <c r="C161" s="113">
        <f>[9]С2.5!$W$11</f>
        <v>0</v>
      </c>
    </row>
    <row r="162" spans="2:3" hidden="1">
      <c r="B162" s="112">
        <f t="shared" si="0"/>
        <v>2039</v>
      </c>
      <c r="C162" s="113">
        <f>[9]С2.5!$X$11</f>
        <v>0</v>
      </c>
    </row>
    <row r="163" spans="2:3" hidden="1">
      <c r="B163" s="112">
        <f t="shared" si="0"/>
        <v>2040</v>
      </c>
      <c r="C163" s="113">
        <f>[9]С2.5!$Y$11</f>
        <v>0</v>
      </c>
    </row>
    <row r="164" spans="2:3" hidden="1">
      <c r="B164" s="112">
        <f t="shared" si="0"/>
        <v>2041</v>
      </c>
      <c r="C164" s="113">
        <f>[9]С2.5!$Z$11</f>
        <v>0</v>
      </c>
    </row>
    <row r="165" spans="2:3" hidden="1">
      <c r="B165" s="112">
        <f t="shared" si="0"/>
        <v>2042</v>
      </c>
      <c r="C165" s="113">
        <f>[9]С2.5!$AA$11</f>
        <v>0</v>
      </c>
    </row>
    <row r="166" spans="2:3" hidden="1">
      <c r="B166" s="112">
        <f t="shared" si="0"/>
        <v>2043</v>
      </c>
      <c r="C166" s="113">
        <f>[9]С2.5!$AB$11</f>
        <v>0</v>
      </c>
    </row>
    <row r="167" spans="2:3" hidden="1">
      <c r="B167" s="112">
        <f t="shared" si="0"/>
        <v>2044</v>
      </c>
      <c r="C167" s="113">
        <f>[9]С2.5!$AC$11</f>
        <v>0</v>
      </c>
    </row>
    <row r="168" spans="2:3" hidden="1">
      <c r="B168" s="112">
        <f t="shared" si="0"/>
        <v>2045</v>
      </c>
      <c r="C168" s="113">
        <f>[9]С2.5!$AD$11</f>
        <v>0</v>
      </c>
    </row>
    <row r="169" spans="2:3" hidden="1">
      <c r="B169" s="112">
        <f t="shared" si="0"/>
        <v>2046</v>
      </c>
      <c r="C169" s="113">
        <f>[9]С2.5!$AE$11</f>
        <v>0</v>
      </c>
    </row>
    <row r="170" spans="2:3" hidden="1">
      <c r="B170" s="112">
        <f t="shared" si="0"/>
        <v>2047</v>
      </c>
      <c r="C170" s="113">
        <f>[9]С2.5!$AF$11</f>
        <v>0</v>
      </c>
    </row>
    <row r="171" spans="2:3" hidden="1">
      <c r="B171" s="112">
        <f t="shared" si="0"/>
        <v>2048</v>
      </c>
      <c r="C171" s="113">
        <f>[9]С2.5!$AG$11</f>
        <v>0</v>
      </c>
    </row>
    <row r="172" spans="2:3" hidden="1">
      <c r="B172" s="112">
        <f t="shared" si="0"/>
        <v>2049</v>
      </c>
      <c r="C172" s="113">
        <f>[9]С2.5!$AH$11</f>
        <v>0</v>
      </c>
    </row>
    <row r="173" spans="2:3" hidden="1">
      <c r="B173" s="112">
        <f t="shared" si="0"/>
        <v>2050</v>
      </c>
      <c r="C173" s="113">
        <f>[9]С2.5!$AI$11</f>
        <v>0</v>
      </c>
    </row>
    <row r="174" spans="2:3" hidden="1">
      <c r="B174" s="112">
        <f t="shared" si="0"/>
        <v>2051</v>
      </c>
      <c r="C174" s="113">
        <f>[9]С2.5!$AJ$11</f>
        <v>0</v>
      </c>
    </row>
    <row r="175" spans="2:3" hidden="1">
      <c r="B175" s="112">
        <f t="shared" si="0"/>
        <v>2052</v>
      </c>
      <c r="C175" s="113">
        <f>[9]С2.5!$AK$11</f>
        <v>0</v>
      </c>
    </row>
    <row r="176" spans="2:3" hidden="1">
      <c r="B176" s="112">
        <f t="shared" si="0"/>
        <v>2053</v>
      </c>
      <c r="C176" s="113">
        <f>[9]С2.5!$AL$11</f>
        <v>0</v>
      </c>
    </row>
    <row r="177" spans="2:3" hidden="1">
      <c r="B177" s="112">
        <f t="shared" si="0"/>
        <v>2054</v>
      </c>
      <c r="C177" s="113">
        <f>[9]С2.5!$AM$11</f>
        <v>0</v>
      </c>
    </row>
    <row r="178" spans="2:3" hidden="1">
      <c r="B178" s="112">
        <f t="shared" si="0"/>
        <v>2055</v>
      </c>
      <c r="C178" s="113">
        <f>[9]С2.5!$AN$11</f>
        <v>0</v>
      </c>
    </row>
    <row r="179" spans="2:3" hidden="1">
      <c r="B179" s="112">
        <f t="shared" si="0"/>
        <v>2056</v>
      </c>
      <c r="C179" s="113">
        <f>[9]С2.5!$AO$11</f>
        <v>0</v>
      </c>
    </row>
    <row r="180" spans="2:3" hidden="1">
      <c r="B180" s="112">
        <f t="shared" si="0"/>
        <v>2057</v>
      </c>
      <c r="C180" s="113">
        <f>[9]С2.5!$AP$11</f>
        <v>0</v>
      </c>
    </row>
    <row r="181" spans="2:3" hidden="1">
      <c r="B181" s="112">
        <f t="shared" si="0"/>
        <v>2058</v>
      </c>
      <c r="C181" s="113">
        <f>[9]С2.5!$AQ$11</f>
        <v>0</v>
      </c>
    </row>
    <row r="182" spans="2:3" hidden="1">
      <c r="B182" s="112">
        <f t="shared" si="0"/>
        <v>2059</v>
      </c>
      <c r="C182" s="113">
        <f>[9]С2.5!$AR$11</f>
        <v>0</v>
      </c>
    </row>
    <row r="183" spans="2:3" hidden="1">
      <c r="B183" s="112">
        <f t="shared" si="0"/>
        <v>2060</v>
      </c>
      <c r="C183" s="113">
        <f>[9]С2.5!$AS$11</f>
        <v>0</v>
      </c>
    </row>
    <row r="184" spans="2:3" hidden="1">
      <c r="B184" s="112">
        <f t="shared" si="0"/>
        <v>2061</v>
      </c>
      <c r="C184" s="113">
        <f>[9]С2.5!$AT$11</f>
        <v>0</v>
      </c>
    </row>
    <row r="185" spans="2:3" hidden="1">
      <c r="B185" s="112">
        <f t="shared" si="0"/>
        <v>2062</v>
      </c>
      <c r="C185" s="113">
        <f>[9]С2.5!$AU$11</f>
        <v>0</v>
      </c>
    </row>
    <row r="186" spans="2:3" hidden="1">
      <c r="B186" s="112">
        <f t="shared" si="0"/>
        <v>2063</v>
      </c>
      <c r="C186" s="113">
        <f>[9]С2.5!$AV$11</f>
        <v>0</v>
      </c>
    </row>
    <row r="187" spans="2:3" hidden="1">
      <c r="B187" s="112">
        <f t="shared" si="0"/>
        <v>2064</v>
      </c>
      <c r="C187" s="113">
        <f>[9]С2.5!$AW$11</f>
        <v>0</v>
      </c>
    </row>
    <row r="188" spans="2:3" hidden="1">
      <c r="B188" s="112">
        <f t="shared" si="0"/>
        <v>2065</v>
      </c>
      <c r="C188" s="113">
        <f>[9]С2.5!$AX$11</f>
        <v>0</v>
      </c>
    </row>
    <row r="189" spans="2:3" hidden="1">
      <c r="B189" s="112">
        <f t="shared" si="0"/>
        <v>2066</v>
      </c>
      <c r="C189" s="113">
        <f>[9]С2.5!$AY$11</f>
        <v>0</v>
      </c>
    </row>
    <row r="190" spans="2:3" hidden="1">
      <c r="B190" s="112">
        <f t="shared" si="0"/>
        <v>2067</v>
      </c>
      <c r="C190" s="113">
        <f>[9]С2.5!$AZ$11</f>
        <v>0</v>
      </c>
    </row>
    <row r="191" spans="2:3" hidden="1">
      <c r="B191" s="112">
        <f t="shared" si="0"/>
        <v>2068</v>
      </c>
      <c r="C191" s="113">
        <f>[9]С2.5!$BA$11</f>
        <v>0</v>
      </c>
    </row>
    <row r="192" spans="2:3" hidden="1">
      <c r="B192" s="112">
        <f t="shared" si="0"/>
        <v>2069</v>
      </c>
      <c r="C192" s="113">
        <f>[9]С2.5!$BB$11</f>
        <v>0</v>
      </c>
    </row>
    <row r="193" spans="2:3" hidden="1">
      <c r="B193" s="112">
        <f t="shared" si="0"/>
        <v>2070</v>
      </c>
      <c r="C193" s="113">
        <f>[9]С2.5!$BC$11</f>
        <v>0</v>
      </c>
    </row>
    <row r="194" spans="2:3" hidden="1">
      <c r="B194" s="112">
        <f t="shared" si="0"/>
        <v>2071</v>
      </c>
      <c r="C194" s="113">
        <f>[9]С2.5!$BD$11</f>
        <v>0</v>
      </c>
    </row>
    <row r="195" spans="2:3" hidden="1">
      <c r="B195" s="112">
        <f t="shared" si="0"/>
        <v>2072</v>
      </c>
      <c r="C195" s="113">
        <f>[9]С2.5!$BE$11</f>
        <v>0</v>
      </c>
    </row>
    <row r="196" spans="2:3" hidden="1">
      <c r="B196" s="112">
        <f t="shared" si="0"/>
        <v>2073</v>
      </c>
      <c r="C196" s="113">
        <f>[9]С2.5!$BF$11</f>
        <v>0</v>
      </c>
    </row>
    <row r="197" spans="2:3" hidden="1">
      <c r="B197" s="112">
        <f t="shared" si="0"/>
        <v>2074</v>
      </c>
      <c r="C197" s="113">
        <f>[9]С2.5!$BG$11</f>
        <v>0</v>
      </c>
    </row>
    <row r="198" spans="2:3" hidden="1">
      <c r="B198" s="112">
        <f t="shared" si="0"/>
        <v>2075</v>
      </c>
      <c r="C198" s="113">
        <f>[9]С2.5!$BH$11</f>
        <v>0</v>
      </c>
    </row>
    <row r="199" spans="2:3" hidden="1">
      <c r="B199" s="112">
        <f t="shared" si="0"/>
        <v>2076</v>
      </c>
      <c r="C199" s="113">
        <f>[9]С2.5!$BI$11</f>
        <v>0</v>
      </c>
    </row>
    <row r="200" spans="2:3" hidden="1">
      <c r="B200" s="112">
        <f t="shared" si="0"/>
        <v>2077</v>
      </c>
      <c r="C200" s="113">
        <f>[9]С2.5!$BJ$11</f>
        <v>0</v>
      </c>
    </row>
    <row r="201" spans="2:3" hidden="1">
      <c r="B201" s="112">
        <f t="shared" si="0"/>
        <v>2078</v>
      </c>
      <c r="C201" s="113">
        <f>[9]С2.5!$BK$11</f>
        <v>0</v>
      </c>
    </row>
    <row r="202" spans="2:3" hidden="1">
      <c r="B202" s="112">
        <f t="shared" si="0"/>
        <v>2079</v>
      </c>
      <c r="C202" s="113">
        <f>[9]С2.5!$BL$11</f>
        <v>0</v>
      </c>
    </row>
    <row r="203" spans="2:3" hidden="1">
      <c r="B203" s="112">
        <f t="shared" si="0"/>
        <v>2080</v>
      </c>
      <c r="C203" s="113">
        <f>[9]С2.5!$BM$11</f>
        <v>0</v>
      </c>
    </row>
    <row r="204" spans="2:3" hidden="1">
      <c r="B204" s="112">
        <f t="shared" si="0"/>
        <v>2081</v>
      </c>
      <c r="C204" s="113">
        <f>[9]С2.5!$BN$11</f>
        <v>0</v>
      </c>
    </row>
    <row r="205" spans="2:3" hidden="1">
      <c r="B205" s="112">
        <f t="shared" si="0"/>
        <v>2082</v>
      </c>
      <c r="C205" s="113">
        <f>[9]С2.5!$BO$11</f>
        <v>0</v>
      </c>
    </row>
    <row r="206" spans="2:3" hidden="1">
      <c r="B206" s="112">
        <f t="shared" si="0"/>
        <v>2083</v>
      </c>
      <c r="C206" s="113">
        <f>[9]С2.5!$BP$11</f>
        <v>0</v>
      </c>
    </row>
    <row r="207" spans="2:3" hidden="1">
      <c r="B207" s="112">
        <f t="shared" si="0"/>
        <v>2084</v>
      </c>
      <c r="C207" s="113">
        <f>[9]С2.5!$BQ$11</f>
        <v>0</v>
      </c>
    </row>
    <row r="208" spans="2:3" hidden="1">
      <c r="B208" s="112">
        <f t="shared" si="0"/>
        <v>2085</v>
      </c>
      <c r="C208" s="113">
        <f>[9]С2.5!$BR$11</f>
        <v>0</v>
      </c>
    </row>
    <row r="209" spans="2:3" hidden="1">
      <c r="B209" s="112">
        <f t="shared" ref="B209:B223" si="1">B208+1</f>
        <v>2086</v>
      </c>
      <c r="C209" s="113">
        <f>[9]С2.5!$BS$11</f>
        <v>0</v>
      </c>
    </row>
    <row r="210" spans="2:3" hidden="1">
      <c r="B210" s="112">
        <f t="shared" si="1"/>
        <v>2087</v>
      </c>
      <c r="C210" s="113">
        <f>[9]С2.5!$BT$11</f>
        <v>0</v>
      </c>
    </row>
    <row r="211" spans="2:3" hidden="1">
      <c r="B211" s="112">
        <f t="shared" si="1"/>
        <v>2088</v>
      </c>
      <c r="C211" s="113">
        <f>[9]С2.5!$BU$11</f>
        <v>0</v>
      </c>
    </row>
    <row r="212" spans="2:3" hidden="1">
      <c r="B212" s="112">
        <f t="shared" si="1"/>
        <v>2089</v>
      </c>
      <c r="C212" s="113">
        <f>[9]С2.5!$BV$11</f>
        <v>0</v>
      </c>
    </row>
    <row r="213" spans="2:3" hidden="1">
      <c r="B213" s="112">
        <f t="shared" si="1"/>
        <v>2090</v>
      </c>
      <c r="C213" s="113">
        <f>[9]С2.5!$BW$11</f>
        <v>0</v>
      </c>
    </row>
    <row r="214" spans="2:3" hidden="1">
      <c r="B214" s="112">
        <f t="shared" si="1"/>
        <v>2091</v>
      </c>
      <c r="C214" s="113">
        <f>[9]С2.5!$BX$11</f>
        <v>0</v>
      </c>
    </row>
    <row r="215" spans="2:3" hidden="1">
      <c r="B215" s="112">
        <f t="shared" si="1"/>
        <v>2092</v>
      </c>
      <c r="C215" s="113">
        <f>[9]С2.5!$BY$11</f>
        <v>0</v>
      </c>
    </row>
    <row r="216" spans="2:3" hidden="1">
      <c r="B216" s="112">
        <f t="shared" si="1"/>
        <v>2093</v>
      </c>
      <c r="C216" s="113">
        <f>[9]С2.5!$BZ$11</f>
        <v>0</v>
      </c>
    </row>
    <row r="217" spans="2:3" hidden="1">
      <c r="B217" s="112">
        <f t="shared" si="1"/>
        <v>2094</v>
      </c>
      <c r="C217" s="113">
        <f>[9]С2.5!$CA$11</f>
        <v>0</v>
      </c>
    </row>
    <row r="218" spans="2:3" hidden="1">
      <c r="B218" s="112">
        <f t="shared" si="1"/>
        <v>2095</v>
      </c>
      <c r="C218" s="113">
        <f>[9]С2.5!$CB$11</f>
        <v>0</v>
      </c>
    </row>
    <row r="219" spans="2:3" hidden="1">
      <c r="B219" s="112">
        <f t="shared" si="1"/>
        <v>2096</v>
      </c>
      <c r="C219" s="113">
        <f>[9]С2.5!$CC$11</f>
        <v>0</v>
      </c>
    </row>
    <row r="220" spans="2:3" hidden="1">
      <c r="B220" s="112">
        <f t="shared" si="1"/>
        <v>2097</v>
      </c>
      <c r="C220" s="113">
        <f>[9]С2.5!$CD$11</f>
        <v>0</v>
      </c>
    </row>
    <row r="221" spans="2:3" hidden="1">
      <c r="B221" s="112">
        <f t="shared" si="1"/>
        <v>2098</v>
      </c>
      <c r="C221" s="113">
        <f>[9]С2.5!$CE$11</f>
        <v>0</v>
      </c>
    </row>
    <row r="222" spans="2:3" hidden="1">
      <c r="B222" s="112">
        <f t="shared" si="1"/>
        <v>2099</v>
      </c>
      <c r="C222" s="113">
        <f>[9]С2.5!$CF$11</f>
        <v>0</v>
      </c>
    </row>
    <row r="223" spans="2:3" ht="13.5" hidden="1" thickBot="1">
      <c r="B223" s="114">
        <f t="shared" si="1"/>
        <v>2100</v>
      </c>
      <c r="C223" s="115">
        <f>[9]С2.5!$CG$11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I1048576"/>
    </sheetView>
  </sheetViews>
  <sheetFormatPr defaultRowHeight="12.75"/>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[10]И1!D13</f>
        <v>Субъект Российской Федерации</v>
      </c>
      <c r="C4" s="10" t="str">
        <f>[10]И1!E13</f>
        <v>Новосибирская область</v>
      </c>
    </row>
    <row r="5" spans="1:3">
      <c r="A5" s="8"/>
      <c r="B5" s="9" t="str">
        <f>[10]И1!D14</f>
        <v>Тип муниципального образования (выберите из списка)</v>
      </c>
      <c r="C5" s="10" t="str">
        <f>[10]И1!E14</f>
        <v>село Гжатск</v>
      </c>
    </row>
    <row r="6" spans="1:3">
      <c r="A6" s="8"/>
      <c r="B6" s="9" t="str">
        <f>IF([10]И1!E15="","",[10]И1!D15)</f>
        <v/>
      </c>
      <c r="C6" s="10" t="str">
        <f>IF([10]И1!E15="","",[10]И1!E15)</f>
        <v/>
      </c>
    </row>
    <row r="7" spans="1:3">
      <c r="A7" s="8"/>
      <c r="B7" s="9" t="str">
        <f>[10]И1!D16</f>
        <v>Код ОКТМО</v>
      </c>
      <c r="C7" s="11" t="str">
        <f>[10]И1!E16</f>
        <v>50630413101</v>
      </c>
    </row>
    <row r="8" spans="1:3">
      <c r="A8" s="8"/>
      <c r="B8" s="12" t="str">
        <f>[10]И1!D17</f>
        <v>Система теплоснабжения</v>
      </c>
      <c r="C8" s="13">
        <f>[10]И1!E17</f>
        <v>0</v>
      </c>
    </row>
    <row r="9" spans="1:3">
      <c r="A9" s="8"/>
      <c r="B9" s="9" t="str">
        <f>[10]И1!D8</f>
        <v>Период регулирования (i)-й</v>
      </c>
      <c r="C9" s="14">
        <f>[10]И1!E8</f>
        <v>2023</v>
      </c>
    </row>
    <row r="10" spans="1:3">
      <c r="A10" s="8"/>
      <c r="B10" s="9" t="str">
        <f>[10]И1!D9</f>
        <v>Период регулирования (i-1)-й</v>
      </c>
      <c r="C10" s="14">
        <f>[10]И1!E9</f>
        <v>2022</v>
      </c>
    </row>
    <row r="11" spans="1:3">
      <c r="A11" s="8"/>
      <c r="B11" s="9" t="str">
        <f>[10]И1!D10</f>
        <v>Период регулирования (i-2)-й</v>
      </c>
      <c r="C11" s="14">
        <f>[10]И1!E10</f>
        <v>2021</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4202.7620400702235</v>
      </c>
    </row>
    <row r="18" spans="1:3" ht="42.75">
      <c r="A18" s="22" t="s">
        <v>8</v>
      </c>
      <c r="B18" s="25" t="s">
        <v>9</v>
      </c>
      <c r="C18" s="26">
        <f>[10]С1!F12</f>
        <v>1000.9144443145</v>
      </c>
    </row>
    <row r="19" spans="1:3" ht="42.75">
      <c r="A19" s="22" t="s">
        <v>10</v>
      </c>
      <c r="B19" s="25" t="s">
        <v>11</v>
      </c>
      <c r="C19" s="26">
        <f>[10]С2!F12</f>
        <v>2116.2031761890698</v>
      </c>
    </row>
    <row r="20" spans="1:3" ht="30">
      <c r="A20" s="22" t="s">
        <v>12</v>
      </c>
      <c r="B20" s="25" t="s">
        <v>13</v>
      </c>
      <c r="C20" s="26">
        <f>[10]С3!F12</f>
        <v>506.5368696227419</v>
      </c>
    </row>
    <row r="21" spans="1:3" ht="42.75">
      <c r="A21" s="22" t="s">
        <v>14</v>
      </c>
      <c r="B21" s="25" t="s">
        <v>15</v>
      </c>
      <c r="C21" s="26">
        <f>[10]С4!F12</f>
        <v>496.70045111900606</v>
      </c>
    </row>
    <row r="22" spans="1:3" ht="30">
      <c r="A22" s="22" t="s">
        <v>16</v>
      </c>
      <c r="B22" s="25" t="s">
        <v>17</v>
      </c>
      <c r="C22" s="26">
        <f>[10]С5!F12</f>
        <v>82.407098824906356</v>
      </c>
    </row>
    <row r="23" spans="1:3" ht="43.5" thickBot="1">
      <c r="A23" s="27" t="s">
        <v>18</v>
      </c>
      <c r="B23" s="28" t="s">
        <v>19</v>
      </c>
      <c r="C23" s="29" t="str">
        <f>[10]С6!F12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[10]С1.1!E16</f>
        <v>5100</v>
      </c>
    </row>
    <row r="29" spans="1:3" ht="42.75">
      <c r="A29" s="22" t="s">
        <v>10</v>
      </c>
      <c r="B29" s="34" t="s">
        <v>22</v>
      </c>
      <c r="C29" s="35">
        <f>[10]С1.1!E27</f>
        <v>2691.291666666667</v>
      </c>
    </row>
    <row r="30" spans="1:3" ht="17.25">
      <c r="A30" s="22" t="s">
        <v>12</v>
      </c>
      <c r="B30" s="34" t="s">
        <v>23</v>
      </c>
      <c r="C30" s="36">
        <f>[10]С1.1!E19</f>
        <v>0.59499999999999997</v>
      </c>
    </row>
    <row r="31" spans="1:3" ht="17.25">
      <c r="A31" s="22" t="s">
        <v>14</v>
      </c>
      <c r="B31" s="34" t="s">
        <v>24</v>
      </c>
      <c r="C31" s="36">
        <f>[10]С1.1!E20</f>
        <v>-0.113</v>
      </c>
    </row>
    <row r="32" spans="1:3" ht="30">
      <c r="A32" s="22" t="s">
        <v>16</v>
      </c>
      <c r="B32" s="37" t="s">
        <v>25</v>
      </c>
      <c r="C32" s="38">
        <f>[10]С1!F13</f>
        <v>176.4</v>
      </c>
    </row>
    <row r="33" spans="1:3">
      <c r="A33" s="22" t="s">
        <v>18</v>
      </c>
      <c r="B33" s="37" t="s">
        <v>26</v>
      </c>
      <c r="C33" s="39">
        <f>[10]С1!F16</f>
        <v>7000</v>
      </c>
    </row>
    <row r="34" spans="1:3" ht="14.25">
      <c r="A34" s="22" t="s">
        <v>27</v>
      </c>
      <c r="B34" s="40" t="s">
        <v>28</v>
      </c>
      <c r="C34" s="41">
        <f>[10]С1!F17</f>
        <v>0.72857142857142854</v>
      </c>
    </row>
    <row r="35" spans="1:3" ht="15.75">
      <c r="A35" s="42" t="s">
        <v>29</v>
      </c>
      <c r="B35" s="43" t="s">
        <v>30</v>
      </c>
      <c r="C35" s="41">
        <f>[10]С1!F20</f>
        <v>21.588411179999994</v>
      </c>
    </row>
    <row r="36" spans="1:3" ht="15.75">
      <c r="A36" s="42" t="s">
        <v>31</v>
      </c>
      <c r="B36" s="44" t="s">
        <v>32</v>
      </c>
      <c r="C36" s="41">
        <f>[10]С1!F21</f>
        <v>20.818139999999996</v>
      </c>
    </row>
    <row r="37" spans="1:3" ht="14.25">
      <c r="A37" s="42" t="s">
        <v>33</v>
      </c>
      <c r="B37" s="45" t="s">
        <v>34</v>
      </c>
      <c r="C37" s="41">
        <f>[10]С1!F22</f>
        <v>1.0369999999999999</v>
      </c>
    </row>
    <row r="38" spans="1:3" ht="53.25" thickBot="1">
      <c r="A38" s="27" t="s">
        <v>35</v>
      </c>
      <c r="B38" s="46" t="s">
        <v>36</v>
      </c>
      <c r="C38" s="47">
        <f>[10]С1!F23</f>
        <v>1.0469999999999999</v>
      </c>
    </row>
    <row r="39" spans="1:3" ht="13.5" thickBot="1">
      <c r="A39" s="48"/>
      <c r="B39" s="49"/>
      <c r="C39" s="50"/>
    </row>
    <row r="40" spans="1:3" ht="30" customHeight="1">
      <c r="A40" s="51" t="s">
        <v>37</v>
      </c>
      <c r="B40" s="142" t="s">
        <v>38</v>
      </c>
      <c r="C40" s="142"/>
    </row>
    <row r="41" spans="1:3" ht="25.5">
      <c r="A41" s="22" t="s">
        <v>39</v>
      </c>
      <c r="B41" s="37" t="s">
        <v>40</v>
      </c>
      <c r="C41" s="52" t="str">
        <f>[10]С2.1!E12</f>
        <v>V</v>
      </c>
    </row>
    <row r="42" spans="1:3" ht="25.5">
      <c r="A42" s="22" t="s">
        <v>41</v>
      </c>
      <c r="B42" s="34" t="s">
        <v>42</v>
      </c>
      <c r="C42" s="52" t="str">
        <f>[10]С2.1!E13</f>
        <v>6 и менее баллов</v>
      </c>
    </row>
    <row r="43" spans="1:3" ht="25.5">
      <c r="A43" s="22" t="s">
        <v>43</v>
      </c>
      <c r="B43" s="34" t="s">
        <v>44</v>
      </c>
      <c r="C43" s="52" t="str">
        <f>[10]С2.1!E14</f>
        <v>от 200 до 500</v>
      </c>
    </row>
    <row r="44" spans="1:3" ht="25.5">
      <c r="A44" s="22" t="s">
        <v>45</v>
      </c>
      <c r="B44" s="34" t="s">
        <v>46</v>
      </c>
      <c r="C44" s="53" t="str">
        <f>[10]С2.1!E15</f>
        <v>нет</v>
      </c>
    </row>
    <row r="45" spans="1:3" ht="30">
      <c r="A45" s="22" t="s">
        <v>47</v>
      </c>
      <c r="B45" s="34" t="s">
        <v>48</v>
      </c>
      <c r="C45" s="35">
        <f>[10]С2!F18</f>
        <v>32402.627334033532</v>
      </c>
    </row>
    <row r="46" spans="1:3" ht="30">
      <c r="A46" s="22" t="s">
        <v>49</v>
      </c>
      <c r="B46" s="54" t="s">
        <v>50</v>
      </c>
      <c r="C46" s="35">
        <f>IF([10]С2!F19&gt;0,[10]С2!F19,[10]С2!F20)</f>
        <v>23441.524932855718</v>
      </c>
    </row>
    <row r="47" spans="1:3" ht="25.5">
      <c r="A47" s="22" t="s">
        <v>51</v>
      </c>
      <c r="B47" s="55" t="s">
        <v>52</v>
      </c>
      <c r="C47" s="35">
        <f>[10]С2.1!E19</f>
        <v>-38</v>
      </c>
    </row>
    <row r="48" spans="1:3" ht="25.5">
      <c r="A48" s="22" t="s">
        <v>53</v>
      </c>
      <c r="B48" s="55" t="s">
        <v>54</v>
      </c>
      <c r="C48" s="35" t="str">
        <f>[10]С2.1!E22</f>
        <v>нет</v>
      </c>
    </row>
    <row r="49" spans="1:3" ht="38.25">
      <c r="A49" s="22" t="s">
        <v>55</v>
      </c>
      <c r="B49" s="56" t="s">
        <v>56</v>
      </c>
      <c r="C49" s="35">
        <f>[10]С2.2!E10</f>
        <v>1287</v>
      </c>
    </row>
    <row r="50" spans="1:3" ht="25.5">
      <c r="A50" s="22" t="s">
        <v>57</v>
      </c>
      <c r="B50" s="57" t="s">
        <v>58</v>
      </c>
      <c r="C50" s="35">
        <f>[10]С2.2!E12</f>
        <v>5.97</v>
      </c>
    </row>
    <row r="51" spans="1:3" ht="52.5">
      <c r="A51" s="22" t="s">
        <v>59</v>
      </c>
      <c r="B51" s="58" t="s">
        <v>60</v>
      </c>
      <c r="C51" s="35">
        <f>[10]С2.2!E13</f>
        <v>1</v>
      </c>
    </row>
    <row r="52" spans="1:3" ht="27.75">
      <c r="A52" s="22" t="s">
        <v>61</v>
      </c>
      <c r="B52" s="57" t="s">
        <v>62</v>
      </c>
      <c r="C52" s="35">
        <f>[10]С2.2!E14</f>
        <v>12104</v>
      </c>
    </row>
    <row r="53" spans="1:3" ht="25.5">
      <c r="A53" s="22" t="s">
        <v>63</v>
      </c>
      <c r="B53" s="58" t="s">
        <v>64</v>
      </c>
      <c r="C53" s="36">
        <f>[10]С2.2!E15</f>
        <v>4.8000000000000001E-2</v>
      </c>
    </row>
    <row r="54" spans="1:3">
      <c r="A54" s="22" t="s">
        <v>65</v>
      </c>
      <c r="B54" s="58" t="s">
        <v>66</v>
      </c>
      <c r="C54" s="35">
        <f>[10]С2.2!E16</f>
        <v>1</v>
      </c>
    </row>
    <row r="55" spans="1:3" ht="15.75">
      <c r="A55" s="22" t="s">
        <v>67</v>
      </c>
      <c r="B55" s="59" t="s">
        <v>68</v>
      </c>
      <c r="C55" s="35">
        <f>[10]С2!F21</f>
        <v>1</v>
      </c>
    </row>
    <row r="56" spans="1:3" ht="30">
      <c r="A56" s="60" t="s">
        <v>69</v>
      </c>
      <c r="B56" s="34" t="s">
        <v>70</v>
      </c>
      <c r="C56" s="35">
        <f>[10]С2!F13</f>
        <v>169640.22915965237</v>
      </c>
    </row>
    <row r="57" spans="1:3" ht="30">
      <c r="A57" s="60" t="s">
        <v>71</v>
      </c>
      <c r="B57" s="59" t="s">
        <v>72</v>
      </c>
      <c r="C57" s="35">
        <f>[10]С2!F14</f>
        <v>113455</v>
      </c>
    </row>
    <row r="58" spans="1:3" ht="15.75">
      <c r="A58" s="60" t="s">
        <v>73</v>
      </c>
      <c r="B58" s="61" t="s">
        <v>74</v>
      </c>
      <c r="C58" s="41">
        <f>[10]С2!F15</f>
        <v>1.071</v>
      </c>
    </row>
    <row r="59" spans="1:3" ht="15.75">
      <c r="A59" s="60" t="s">
        <v>75</v>
      </c>
      <c r="B59" s="61" t="s">
        <v>76</v>
      </c>
      <c r="C59" s="41">
        <f>[10]С2!F16</f>
        <v>1</v>
      </c>
    </row>
    <row r="60" spans="1:3" ht="17.25">
      <c r="A60" s="60" t="s">
        <v>77</v>
      </c>
      <c r="B60" s="59" t="s">
        <v>78</v>
      </c>
      <c r="C60" s="35">
        <f>[10]С2!F17</f>
        <v>1.01</v>
      </c>
    </row>
    <row r="61" spans="1:3" s="64" customFormat="1" ht="14.25">
      <c r="A61" s="60" t="s">
        <v>79</v>
      </c>
      <c r="B61" s="62" t="s">
        <v>80</v>
      </c>
      <c r="C61" s="63">
        <f>[10]С2!F33</f>
        <v>10</v>
      </c>
    </row>
    <row r="62" spans="1:3" ht="30">
      <c r="A62" s="60" t="s">
        <v>81</v>
      </c>
      <c r="B62" s="65" t="s">
        <v>82</v>
      </c>
      <c r="C62" s="35">
        <f>[10]С2!F26</f>
        <v>2274.3932248182782</v>
      </c>
    </row>
    <row r="63" spans="1:3" ht="17.25">
      <c r="A63" s="60" t="s">
        <v>83</v>
      </c>
      <c r="B63" s="54" t="s">
        <v>84</v>
      </c>
      <c r="C63" s="35">
        <f>[10]С2!F27</f>
        <v>0.391761629</v>
      </c>
    </row>
    <row r="64" spans="1:3" ht="17.25">
      <c r="A64" s="60" t="s">
        <v>85</v>
      </c>
      <c r="B64" s="59" t="s">
        <v>86</v>
      </c>
      <c r="C64" s="63">
        <f>[10]С2!F28</f>
        <v>4200</v>
      </c>
    </row>
    <row r="65" spans="1:3" ht="42.75">
      <c r="A65" s="60" t="s">
        <v>87</v>
      </c>
      <c r="B65" s="34" t="s">
        <v>88</v>
      </c>
      <c r="C65" s="35">
        <f>[10]С2!F22</f>
        <v>35717.748653137714</v>
      </c>
    </row>
    <row r="66" spans="1:3" ht="30">
      <c r="A66" s="60" t="s">
        <v>89</v>
      </c>
      <c r="B66" s="61" t="s">
        <v>90</v>
      </c>
      <c r="C66" s="35">
        <f>[10]С2!F23</f>
        <v>1990</v>
      </c>
    </row>
    <row r="67" spans="1:3" ht="30">
      <c r="A67" s="60" t="s">
        <v>91</v>
      </c>
      <c r="B67" s="54" t="s">
        <v>92</v>
      </c>
      <c r="C67" s="35">
        <f>[10]С2.1!E27</f>
        <v>14307.876789999998</v>
      </c>
    </row>
    <row r="68" spans="1:3" ht="38.25">
      <c r="A68" s="60" t="s">
        <v>93</v>
      </c>
      <c r="B68" s="66" t="s">
        <v>94</v>
      </c>
      <c r="C68" s="53">
        <f>[10]С2.3!E21</f>
        <v>0</v>
      </c>
    </row>
    <row r="69" spans="1:3" ht="25.5">
      <c r="A69" s="60" t="s">
        <v>95</v>
      </c>
      <c r="B69" s="67" t="s">
        <v>96</v>
      </c>
      <c r="C69" s="68">
        <f>[10]С2.3!E11</f>
        <v>9.89</v>
      </c>
    </row>
    <row r="70" spans="1:3" ht="25.5">
      <c r="A70" s="60" t="s">
        <v>97</v>
      </c>
      <c r="B70" s="67" t="s">
        <v>98</v>
      </c>
      <c r="C70" s="63">
        <f>[10]С2.3!E13</f>
        <v>300</v>
      </c>
    </row>
    <row r="71" spans="1:3" ht="25.5">
      <c r="A71" s="60" t="s">
        <v>99</v>
      </c>
      <c r="B71" s="66" t="s">
        <v>100</v>
      </c>
      <c r="C71" s="69">
        <f>IF([10]С2.3!E22&gt;0,[10]С2.3!E22,[10]С2.3!E14)</f>
        <v>61211</v>
      </c>
    </row>
    <row r="72" spans="1:3" ht="38.25">
      <c r="A72" s="60" t="s">
        <v>101</v>
      </c>
      <c r="B72" s="66" t="s">
        <v>102</v>
      </c>
      <c r="C72" s="69">
        <f>IF([10]С2.3!E23&gt;0,[10]С2.3!E23,[10]С2.3!E15)</f>
        <v>45675</v>
      </c>
    </row>
    <row r="73" spans="1:3" ht="30">
      <c r="A73" s="60" t="s">
        <v>103</v>
      </c>
      <c r="B73" s="54" t="s">
        <v>104</v>
      </c>
      <c r="C73" s="35">
        <f>[10]С2.1!E28</f>
        <v>9541.9567200000001</v>
      </c>
    </row>
    <row r="74" spans="1:3" ht="38.25">
      <c r="A74" s="60" t="s">
        <v>105</v>
      </c>
      <c r="B74" s="66" t="s">
        <v>106</v>
      </c>
      <c r="C74" s="53">
        <f>[10]С2.3!E25</f>
        <v>0</v>
      </c>
    </row>
    <row r="75" spans="1:3" ht="25.5">
      <c r="A75" s="60" t="s">
        <v>107</v>
      </c>
      <c r="B75" s="67" t="s">
        <v>108</v>
      </c>
      <c r="C75" s="68">
        <f>[10]С2.3!E12</f>
        <v>0.56000000000000005</v>
      </c>
    </row>
    <row r="76" spans="1:3" ht="25.5">
      <c r="A76" s="60" t="s">
        <v>109</v>
      </c>
      <c r="B76" s="67" t="s">
        <v>98</v>
      </c>
      <c r="C76" s="63">
        <f>[10]С2.3!E13</f>
        <v>300</v>
      </c>
    </row>
    <row r="77" spans="1:3" ht="25.5">
      <c r="A77" s="60" t="s">
        <v>110</v>
      </c>
      <c r="B77" s="70" t="s">
        <v>111</v>
      </c>
      <c r="C77" s="69">
        <f>IF([10]С2.3!E26&gt;0,[10]С2.3!E26,[10]С2.3!E16)</f>
        <v>65637</v>
      </c>
    </row>
    <row r="78" spans="1:3" ht="38.25">
      <c r="A78" s="60" t="s">
        <v>112</v>
      </c>
      <c r="B78" s="70" t="s">
        <v>113</v>
      </c>
      <c r="C78" s="69">
        <f>IF([10]С2.3!E27&gt;0,[10]С2.3!E27,[10]С2.3!E17)</f>
        <v>31684</v>
      </c>
    </row>
    <row r="79" spans="1:3" ht="17.25">
      <c r="A79" s="60" t="s">
        <v>114</v>
      </c>
      <c r="B79" s="34" t="s">
        <v>115</v>
      </c>
      <c r="C79" s="36">
        <f>[10]С2!F29</f>
        <v>0.128978033685065</v>
      </c>
    </row>
    <row r="80" spans="1:3" ht="30">
      <c r="A80" s="60" t="s">
        <v>116</v>
      </c>
      <c r="B80" s="54" t="s">
        <v>117</v>
      </c>
      <c r="C80" s="71">
        <f>[10]С2!F30</f>
        <v>0.11668498168498169</v>
      </c>
    </row>
    <row r="81" spans="1:3" ht="17.25">
      <c r="A81" s="60" t="s">
        <v>118</v>
      </c>
      <c r="B81" s="72" t="s">
        <v>119</v>
      </c>
      <c r="C81" s="36">
        <f>[10]С2!F31</f>
        <v>0.13880000000000001</v>
      </c>
    </row>
    <row r="82" spans="1:3" s="64" customFormat="1" ht="18" thickBot="1">
      <c r="A82" s="73" t="s">
        <v>120</v>
      </c>
      <c r="B82" s="74" t="s">
        <v>121</v>
      </c>
      <c r="C82" s="75">
        <f>[10]С2!F32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[10]С3!F14</f>
        <v>7051.1767451401192</v>
      </c>
    </row>
    <row r="86" spans="1:3" s="64" customFormat="1" ht="42.75">
      <c r="A86" s="78" t="s">
        <v>126</v>
      </c>
      <c r="B86" s="54" t="s">
        <v>127</v>
      </c>
      <c r="C86" s="79">
        <f>[10]С3!F15</f>
        <v>0.2</v>
      </c>
    </row>
    <row r="87" spans="1:3" s="64" customFormat="1" ht="14.25">
      <c r="A87" s="78" t="s">
        <v>128</v>
      </c>
      <c r="B87" s="80" t="s">
        <v>129</v>
      </c>
      <c r="C87" s="63">
        <f>[10]С3!F18</f>
        <v>15</v>
      </c>
    </row>
    <row r="88" spans="1:3" s="64" customFormat="1" ht="17.25">
      <c r="A88" s="78" t="s">
        <v>130</v>
      </c>
      <c r="B88" s="34" t="s">
        <v>131</v>
      </c>
      <c r="C88" s="35">
        <f>[10]С3!F19</f>
        <v>3487.1555421534131</v>
      </c>
    </row>
    <row r="89" spans="1:3" s="64" customFormat="1" ht="55.5">
      <c r="A89" s="78" t="s">
        <v>132</v>
      </c>
      <c r="B89" s="54" t="s">
        <v>133</v>
      </c>
      <c r="C89" s="81">
        <f>[10]С3!F20</f>
        <v>2.1999999999999999E-2</v>
      </c>
    </row>
    <row r="90" spans="1:3" s="64" customFormat="1" ht="14.25">
      <c r="A90" s="78" t="s">
        <v>134</v>
      </c>
      <c r="B90" s="59" t="s">
        <v>80</v>
      </c>
      <c r="C90" s="63">
        <f>[10]С3!F21</f>
        <v>10</v>
      </c>
    </row>
    <row r="91" spans="1:3" s="64" customFormat="1" ht="17.25">
      <c r="A91" s="78" t="s">
        <v>135</v>
      </c>
      <c r="B91" s="34" t="s">
        <v>136</v>
      </c>
      <c r="C91" s="35">
        <f>[10]С3!F22</f>
        <v>6.8231796744548348</v>
      </c>
    </row>
    <row r="92" spans="1:3" s="64" customFormat="1" ht="55.5">
      <c r="A92" s="78" t="s">
        <v>137</v>
      </c>
      <c r="B92" s="54" t="s">
        <v>138</v>
      </c>
      <c r="C92" s="81">
        <f>[10]С3!F23</f>
        <v>3.0000000000000001E-3</v>
      </c>
    </row>
    <row r="93" spans="1:3" s="64" customFormat="1" ht="27.75" thickBot="1">
      <c r="A93" s="82" t="s">
        <v>139</v>
      </c>
      <c r="B93" s="83" t="s">
        <v>140</v>
      </c>
      <c r="C93" s="84">
        <f>[10]С3!F24</f>
        <v>2274.3932248182782</v>
      </c>
    </row>
    <row r="94" spans="1:3" ht="13.5" thickBot="1">
      <c r="A94" s="48"/>
      <c r="B94" s="76"/>
      <c r="C94" s="15"/>
    </row>
    <row r="95" spans="1:3" ht="30" customHeight="1">
      <c r="A95" s="85" t="s">
        <v>141</v>
      </c>
      <c r="B95" s="142" t="s">
        <v>142</v>
      </c>
      <c r="C95" s="142"/>
    </row>
    <row r="96" spans="1:3" ht="30">
      <c r="A96" s="60" t="s">
        <v>143</v>
      </c>
      <c r="B96" s="34" t="s">
        <v>144</v>
      </c>
      <c r="C96" s="35">
        <f>[10]С4!F16</f>
        <v>1652.5</v>
      </c>
    </row>
    <row r="97" spans="1:3" ht="30">
      <c r="A97" s="60" t="s">
        <v>145</v>
      </c>
      <c r="B97" s="59" t="s">
        <v>146</v>
      </c>
      <c r="C97" s="35">
        <f>[10]С4!F17</f>
        <v>73547</v>
      </c>
    </row>
    <row r="98" spans="1:3" ht="17.25">
      <c r="A98" s="60" t="s">
        <v>147</v>
      </c>
      <c r="B98" s="59" t="s">
        <v>148</v>
      </c>
      <c r="C98" s="41">
        <f>[10]С4!F18</f>
        <v>0.02</v>
      </c>
    </row>
    <row r="99" spans="1:3" ht="30">
      <c r="A99" s="60" t="s">
        <v>149</v>
      </c>
      <c r="B99" s="59" t="s">
        <v>150</v>
      </c>
      <c r="C99" s="35">
        <f>[10]С4!F19</f>
        <v>12104</v>
      </c>
    </row>
    <row r="100" spans="1:3" ht="31.5">
      <c r="A100" s="60" t="s">
        <v>151</v>
      </c>
      <c r="B100" s="59" t="s">
        <v>152</v>
      </c>
      <c r="C100" s="41">
        <f>[10]С4!F20</f>
        <v>1.4999999999999999E-2</v>
      </c>
    </row>
    <row r="101" spans="1:3" ht="30">
      <c r="A101" s="60" t="s">
        <v>153</v>
      </c>
      <c r="B101" s="34" t="s">
        <v>154</v>
      </c>
      <c r="C101" s="35">
        <f>[10]С4!F21</f>
        <v>1933.1949342509995</v>
      </c>
    </row>
    <row r="102" spans="1:3" ht="24" customHeight="1">
      <c r="A102" s="60" t="s">
        <v>155</v>
      </c>
      <c r="B102" s="54" t="s">
        <v>156</v>
      </c>
      <c r="C102" s="86">
        <f>IF([10]С4.2!F8="да",[10]С4.2!D21,[10]С4.2!D15)</f>
        <v>0</v>
      </c>
    </row>
    <row r="103" spans="1:3" ht="68.25">
      <c r="A103" s="60" t="s">
        <v>157</v>
      </c>
      <c r="B103" s="54" t="s">
        <v>158</v>
      </c>
      <c r="C103" s="35">
        <f>[10]С4!F22</f>
        <v>3.6112641666666665</v>
      </c>
    </row>
    <row r="104" spans="1:3" ht="30">
      <c r="A104" s="60" t="s">
        <v>159</v>
      </c>
      <c r="B104" s="59" t="s">
        <v>160</v>
      </c>
      <c r="C104" s="35">
        <f>[10]С4!F23</f>
        <v>180</v>
      </c>
    </row>
    <row r="105" spans="1:3" ht="14.25">
      <c r="A105" s="60" t="s">
        <v>161</v>
      </c>
      <c r="B105" s="54" t="s">
        <v>162</v>
      </c>
      <c r="C105" s="35">
        <f>[10]С4!F24</f>
        <v>8497.1999999999989</v>
      </c>
    </row>
    <row r="106" spans="1:3" ht="14.25">
      <c r="A106" s="60" t="s">
        <v>163</v>
      </c>
      <c r="B106" s="59" t="s">
        <v>164</v>
      </c>
      <c r="C106" s="41">
        <f>[10]С4!F25</f>
        <v>0.35</v>
      </c>
    </row>
    <row r="107" spans="1:3" ht="17.25">
      <c r="A107" s="60" t="s">
        <v>165</v>
      </c>
      <c r="B107" s="34" t="s">
        <v>166</v>
      </c>
      <c r="C107" s="35">
        <f>[10]С4!F26</f>
        <v>86.014920000000018</v>
      </c>
    </row>
    <row r="108" spans="1:3" ht="25.5">
      <c r="A108" s="60" t="s">
        <v>167</v>
      </c>
      <c r="B108" s="54" t="s">
        <v>94</v>
      </c>
      <c r="C108" s="86">
        <f>[10]С4.3!E16</f>
        <v>0</v>
      </c>
    </row>
    <row r="109" spans="1:3" ht="25.5">
      <c r="A109" s="60" t="s">
        <v>168</v>
      </c>
      <c r="B109" s="54" t="s">
        <v>169</v>
      </c>
      <c r="C109" s="35">
        <f>[10]С4.3!E17</f>
        <v>23.6</v>
      </c>
    </row>
    <row r="110" spans="1:3" ht="38.25">
      <c r="A110" s="60" t="s">
        <v>170</v>
      </c>
      <c r="B110" s="54" t="s">
        <v>106</v>
      </c>
      <c r="C110" s="86">
        <f>[10]С4.3!E18</f>
        <v>0</v>
      </c>
    </row>
    <row r="111" spans="1:3">
      <c r="A111" s="60" t="s">
        <v>171</v>
      </c>
      <c r="B111" s="54" t="s">
        <v>172</v>
      </c>
      <c r="C111" s="35">
        <f>[10]С4.3!E19</f>
        <v>15.93</v>
      </c>
    </row>
    <row r="112" spans="1:3">
      <c r="A112" s="60" t="s">
        <v>173</v>
      </c>
      <c r="B112" s="59" t="s">
        <v>174</v>
      </c>
      <c r="C112" s="35">
        <f>[10]С4.3!E11</f>
        <v>1871</v>
      </c>
    </row>
    <row r="113" spans="1:3">
      <c r="A113" s="60" t="s">
        <v>175</v>
      </c>
      <c r="B113" s="59" t="s">
        <v>176</v>
      </c>
      <c r="C113" s="53">
        <f>[10]С4.3!E12</f>
        <v>1636</v>
      </c>
    </row>
    <row r="114" spans="1:3">
      <c r="A114" s="60" t="s">
        <v>177</v>
      </c>
      <c r="B114" s="59" t="s">
        <v>178</v>
      </c>
      <c r="C114" s="53">
        <f>[10]С4.3!E13</f>
        <v>204</v>
      </c>
    </row>
    <row r="115" spans="1:3" ht="30">
      <c r="A115" s="60" t="s">
        <v>179</v>
      </c>
      <c r="B115" s="34" t="s">
        <v>180</v>
      </c>
      <c r="C115" s="35">
        <f>[10]С4!F27</f>
        <v>2164.8316773434499</v>
      </c>
    </row>
    <row r="116" spans="1:3" ht="25.5">
      <c r="A116" s="60" t="s">
        <v>181</v>
      </c>
      <c r="B116" s="54" t="s">
        <v>182</v>
      </c>
      <c r="C116" s="35">
        <f>[10]С4!F28</f>
        <v>1662.6971408167815</v>
      </c>
    </row>
    <row r="117" spans="1:3" ht="42.75">
      <c r="A117" s="60" t="s">
        <v>183</v>
      </c>
      <c r="B117" s="54" t="s">
        <v>184</v>
      </c>
      <c r="C117" s="35">
        <f>[10]С4!F29</f>
        <v>502.13453652666817</v>
      </c>
    </row>
    <row r="118" spans="1:3" ht="30">
      <c r="A118" s="60" t="s">
        <v>185</v>
      </c>
      <c r="B118" s="40" t="s">
        <v>186</v>
      </c>
      <c r="C118" s="35">
        <f>[10]С4!F30</f>
        <v>2272.6757128526456</v>
      </c>
    </row>
    <row r="119" spans="1:3" ht="42.75">
      <c r="A119" s="60" t="s">
        <v>187</v>
      </c>
      <c r="B119" s="87" t="s">
        <v>188</v>
      </c>
      <c r="C119" s="35">
        <f>[10]С4!F33</f>
        <v>1475.6430730833022</v>
      </c>
    </row>
    <row r="120" spans="1:3" ht="30">
      <c r="A120" s="60" t="s">
        <v>189</v>
      </c>
      <c r="B120" s="88" t="s">
        <v>190</v>
      </c>
      <c r="C120" s="35">
        <f>[10]С4!F35</f>
        <v>17.040680999999999</v>
      </c>
    </row>
    <row r="121" spans="1:3" ht="14.25">
      <c r="A121" s="60" t="s">
        <v>191</v>
      </c>
      <c r="B121" s="57" t="s">
        <v>192</v>
      </c>
      <c r="C121" s="35">
        <f>[10]С4!F36</f>
        <v>14319.9</v>
      </c>
    </row>
    <row r="122" spans="1:3" ht="28.5" thickBot="1">
      <c r="A122" s="73" t="s">
        <v>193</v>
      </c>
      <c r="B122" s="89" t="s">
        <v>194</v>
      </c>
      <c r="C122" s="84">
        <f>[10]С4!F37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[10]С5!F17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[10]С2!F37</f>
        <v>20.818139999999996</v>
      </c>
    </row>
    <row r="136" spans="1:3" ht="14.25">
      <c r="A136" s="60" t="s">
        <v>216</v>
      </c>
      <c r="B136" s="102" t="s">
        <v>217</v>
      </c>
      <c r="C136" s="35">
        <f>[10]С2!F38</f>
        <v>7</v>
      </c>
    </row>
    <row r="137" spans="1:3" ht="17.25">
      <c r="A137" s="60" t="s">
        <v>218</v>
      </c>
      <c r="B137" s="102" t="s">
        <v>219</v>
      </c>
      <c r="C137" s="35">
        <f>[10]С2!F40</f>
        <v>0.97</v>
      </c>
    </row>
    <row r="138" spans="1:3" ht="15" thickBot="1">
      <c r="A138" s="73" t="s">
        <v>220</v>
      </c>
      <c r="B138" s="103" t="s">
        <v>221</v>
      </c>
      <c r="C138" s="47">
        <f>[10]С2!F42</f>
        <v>0.35</v>
      </c>
    </row>
    <row r="139" spans="1:3" s="90" customFormat="1" ht="13.5" thickBot="1">
      <c r="A139" s="48"/>
      <c r="B139" s="76"/>
      <c r="C139" s="15"/>
    </row>
    <row r="140" spans="1:3" ht="30">
      <c r="A140" s="85" t="s">
        <v>222</v>
      </c>
      <c r="B140" s="104" t="s">
        <v>223</v>
      </c>
      <c r="C140" s="105">
        <f>[10]С2!F35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[10]С2.5!$E$11</f>
        <v>-2.9000000000000026E-2</v>
      </c>
    </row>
    <row r="144" spans="1:3">
      <c r="A144" s="107"/>
      <c r="B144" s="112">
        <f>B143+1</f>
        <v>2021</v>
      </c>
      <c r="C144" s="113">
        <f>[10]С2.5!$F$11</f>
        <v>0.245</v>
      </c>
    </row>
    <row r="145" spans="1:3">
      <c r="A145" s="107"/>
      <c r="B145" s="112">
        <f t="shared" ref="B145:B208" si="0">B144+1</f>
        <v>2022</v>
      </c>
      <c r="C145" s="113">
        <f>[10]С2.5!$G$11</f>
        <v>0.121</v>
      </c>
    </row>
    <row r="146" spans="1:3" ht="13.5" thickBot="1">
      <c r="A146" s="107"/>
      <c r="B146" s="114">
        <f t="shared" si="0"/>
        <v>2023</v>
      </c>
      <c r="C146" s="115">
        <f>[10]С2.5!$H$11</f>
        <v>0.02</v>
      </c>
    </row>
    <row r="147" spans="1:3" hidden="1">
      <c r="A147" s="107"/>
      <c r="B147" s="116">
        <f t="shared" si="0"/>
        <v>2024</v>
      </c>
      <c r="C147" s="117">
        <f>[10]С2.5!$I$11</f>
        <v>-2.93E-2</v>
      </c>
    </row>
    <row r="148" spans="1:3" hidden="1">
      <c r="A148" s="107"/>
      <c r="B148" s="112">
        <f t="shared" si="0"/>
        <v>2025</v>
      </c>
      <c r="C148" s="113">
        <f>[10]С2.5!$J$11</f>
        <v>0.21215960863291</v>
      </c>
    </row>
    <row r="149" spans="1:3" hidden="1">
      <c r="A149" s="107"/>
      <c r="B149" s="112">
        <f t="shared" si="0"/>
        <v>2026</v>
      </c>
      <c r="C149" s="113">
        <f>[10]С2.5!$K$11</f>
        <v>3.5813361771260002E-2</v>
      </c>
    </row>
    <row r="150" spans="1:3" hidden="1">
      <c r="A150" s="107"/>
      <c r="B150" s="112">
        <f t="shared" si="0"/>
        <v>2027</v>
      </c>
      <c r="C150" s="113">
        <f>[10]С2.5!$L$11</f>
        <v>3.2682303599220003E-2</v>
      </c>
    </row>
    <row r="151" spans="1:3" hidden="1">
      <c r="A151" s="107"/>
      <c r="B151" s="112">
        <f t="shared" si="0"/>
        <v>2028</v>
      </c>
      <c r="C151" s="113">
        <f>[10]С2.5!$M$11</f>
        <v>0</v>
      </c>
    </row>
    <row r="152" spans="1:3" hidden="1">
      <c r="A152" s="107"/>
      <c r="B152" s="112">
        <f t="shared" si="0"/>
        <v>2029</v>
      </c>
      <c r="C152" s="113">
        <f>[10]С2.5!$N$11</f>
        <v>0</v>
      </c>
    </row>
    <row r="153" spans="1:3" hidden="1">
      <c r="A153" s="107"/>
      <c r="B153" s="112">
        <f t="shared" si="0"/>
        <v>2030</v>
      </c>
      <c r="C153" s="113">
        <f>[10]С2.5!$O$11</f>
        <v>0</v>
      </c>
    </row>
    <row r="154" spans="1:3" hidden="1">
      <c r="A154" s="107"/>
      <c r="B154" s="112">
        <f t="shared" si="0"/>
        <v>2031</v>
      </c>
      <c r="C154" s="113">
        <f>[10]С2.5!$P$11</f>
        <v>0</v>
      </c>
    </row>
    <row r="155" spans="1:3" hidden="1">
      <c r="A155" s="90"/>
      <c r="B155" s="112">
        <f t="shared" si="0"/>
        <v>2032</v>
      </c>
      <c r="C155" s="113">
        <f>[10]С2.5!$Q$11</f>
        <v>0</v>
      </c>
    </row>
    <row r="156" spans="1:3" hidden="1">
      <c r="A156" s="90"/>
      <c r="B156" s="112">
        <f t="shared" si="0"/>
        <v>2033</v>
      </c>
      <c r="C156" s="113">
        <f>[10]С2.5!$R$11</f>
        <v>0</v>
      </c>
    </row>
    <row r="157" spans="1:3" hidden="1">
      <c r="B157" s="112">
        <f t="shared" si="0"/>
        <v>2034</v>
      </c>
      <c r="C157" s="113">
        <f>[10]С2.5!$S$11</f>
        <v>0</v>
      </c>
    </row>
    <row r="158" spans="1:3" hidden="1">
      <c r="B158" s="112">
        <f t="shared" si="0"/>
        <v>2035</v>
      </c>
      <c r="C158" s="113">
        <f>[10]С2.5!$T$11</f>
        <v>0</v>
      </c>
    </row>
    <row r="159" spans="1:3" hidden="1">
      <c r="B159" s="112">
        <f t="shared" si="0"/>
        <v>2036</v>
      </c>
      <c r="C159" s="113">
        <f>[10]С2.5!$U$11</f>
        <v>0</v>
      </c>
    </row>
    <row r="160" spans="1:3" hidden="1">
      <c r="B160" s="112">
        <f t="shared" si="0"/>
        <v>2037</v>
      </c>
      <c r="C160" s="113">
        <f>[10]С2.5!$V$11</f>
        <v>0</v>
      </c>
    </row>
    <row r="161" spans="2:3" hidden="1">
      <c r="B161" s="112">
        <f t="shared" si="0"/>
        <v>2038</v>
      </c>
      <c r="C161" s="113">
        <f>[10]С2.5!$W$11</f>
        <v>0</v>
      </c>
    </row>
    <row r="162" spans="2:3" hidden="1">
      <c r="B162" s="112">
        <f t="shared" si="0"/>
        <v>2039</v>
      </c>
      <c r="C162" s="113">
        <f>[10]С2.5!$X$11</f>
        <v>0</v>
      </c>
    </row>
    <row r="163" spans="2:3" hidden="1">
      <c r="B163" s="112">
        <f t="shared" si="0"/>
        <v>2040</v>
      </c>
      <c r="C163" s="113">
        <f>[10]С2.5!$Y$11</f>
        <v>0</v>
      </c>
    </row>
    <row r="164" spans="2:3" hidden="1">
      <c r="B164" s="112">
        <f t="shared" si="0"/>
        <v>2041</v>
      </c>
      <c r="C164" s="113">
        <f>[10]С2.5!$Z$11</f>
        <v>0</v>
      </c>
    </row>
    <row r="165" spans="2:3" hidden="1">
      <c r="B165" s="112">
        <f t="shared" si="0"/>
        <v>2042</v>
      </c>
      <c r="C165" s="113">
        <f>[10]С2.5!$AA$11</f>
        <v>0</v>
      </c>
    </row>
    <row r="166" spans="2:3" hidden="1">
      <c r="B166" s="112">
        <f t="shared" si="0"/>
        <v>2043</v>
      </c>
      <c r="C166" s="113">
        <f>[10]С2.5!$AB$11</f>
        <v>0</v>
      </c>
    </row>
    <row r="167" spans="2:3" hidden="1">
      <c r="B167" s="112">
        <f t="shared" si="0"/>
        <v>2044</v>
      </c>
      <c r="C167" s="113">
        <f>[10]С2.5!$AC$11</f>
        <v>0</v>
      </c>
    </row>
    <row r="168" spans="2:3" hidden="1">
      <c r="B168" s="112">
        <f t="shared" si="0"/>
        <v>2045</v>
      </c>
      <c r="C168" s="113">
        <f>[10]С2.5!$AD$11</f>
        <v>0</v>
      </c>
    </row>
    <row r="169" spans="2:3" hidden="1">
      <c r="B169" s="112">
        <f t="shared" si="0"/>
        <v>2046</v>
      </c>
      <c r="C169" s="113">
        <f>[10]С2.5!$AE$11</f>
        <v>0</v>
      </c>
    </row>
    <row r="170" spans="2:3" hidden="1">
      <c r="B170" s="112">
        <f t="shared" si="0"/>
        <v>2047</v>
      </c>
      <c r="C170" s="113">
        <f>[10]С2.5!$AF$11</f>
        <v>0</v>
      </c>
    </row>
    <row r="171" spans="2:3" hidden="1">
      <c r="B171" s="112">
        <f t="shared" si="0"/>
        <v>2048</v>
      </c>
      <c r="C171" s="113">
        <f>[10]С2.5!$AG$11</f>
        <v>0</v>
      </c>
    </row>
    <row r="172" spans="2:3" hidden="1">
      <c r="B172" s="112">
        <f t="shared" si="0"/>
        <v>2049</v>
      </c>
      <c r="C172" s="113">
        <f>[10]С2.5!$AH$11</f>
        <v>0</v>
      </c>
    </row>
    <row r="173" spans="2:3" hidden="1">
      <c r="B173" s="112">
        <f t="shared" si="0"/>
        <v>2050</v>
      </c>
      <c r="C173" s="113">
        <f>[10]С2.5!$AI$11</f>
        <v>0</v>
      </c>
    </row>
    <row r="174" spans="2:3" hidden="1">
      <c r="B174" s="112">
        <f t="shared" si="0"/>
        <v>2051</v>
      </c>
      <c r="C174" s="113">
        <f>[10]С2.5!$AJ$11</f>
        <v>0</v>
      </c>
    </row>
    <row r="175" spans="2:3" hidden="1">
      <c r="B175" s="112">
        <f t="shared" si="0"/>
        <v>2052</v>
      </c>
      <c r="C175" s="113">
        <f>[10]С2.5!$AK$11</f>
        <v>0</v>
      </c>
    </row>
    <row r="176" spans="2:3" hidden="1">
      <c r="B176" s="112">
        <f t="shared" si="0"/>
        <v>2053</v>
      </c>
      <c r="C176" s="113">
        <f>[10]С2.5!$AL$11</f>
        <v>0</v>
      </c>
    </row>
    <row r="177" spans="2:3" hidden="1">
      <c r="B177" s="112">
        <f t="shared" si="0"/>
        <v>2054</v>
      </c>
      <c r="C177" s="113">
        <f>[10]С2.5!$AM$11</f>
        <v>0</v>
      </c>
    </row>
    <row r="178" spans="2:3" hidden="1">
      <c r="B178" s="112">
        <f t="shared" si="0"/>
        <v>2055</v>
      </c>
      <c r="C178" s="113">
        <f>[10]С2.5!$AN$11</f>
        <v>0</v>
      </c>
    </row>
    <row r="179" spans="2:3" hidden="1">
      <c r="B179" s="112">
        <f t="shared" si="0"/>
        <v>2056</v>
      </c>
      <c r="C179" s="113">
        <f>[10]С2.5!$AO$11</f>
        <v>0</v>
      </c>
    </row>
    <row r="180" spans="2:3" hidden="1">
      <c r="B180" s="112">
        <f t="shared" si="0"/>
        <v>2057</v>
      </c>
      <c r="C180" s="113">
        <f>[10]С2.5!$AP$11</f>
        <v>0</v>
      </c>
    </row>
    <row r="181" spans="2:3" hidden="1">
      <c r="B181" s="112">
        <f t="shared" si="0"/>
        <v>2058</v>
      </c>
      <c r="C181" s="113">
        <f>[10]С2.5!$AQ$11</f>
        <v>0</v>
      </c>
    </row>
    <row r="182" spans="2:3" hidden="1">
      <c r="B182" s="112">
        <f t="shared" si="0"/>
        <v>2059</v>
      </c>
      <c r="C182" s="113">
        <f>[10]С2.5!$AR$11</f>
        <v>0</v>
      </c>
    </row>
    <row r="183" spans="2:3" hidden="1">
      <c r="B183" s="112">
        <f t="shared" si="0"/>
        <v>2060</v>
      </c>
      <c r="C183" s="113">
        <f>[10]С2.5!$AS$11</f>
        <v>0</v>
      </c>
    </row>
    <row r="184" spans="2:3" hidden="1">
      <c r="B184" s="112">
        <f t="shared" si="0"/>
        <v>2061</v>
      </c>
      <c r="C184" s="113">
        <f>[10]С2.5!$AT$11</f>
        <v>0</v>
      </c>
    </row>
    <row r="185" spans="2:3" hidden="1">
      <c r="B185" s="112">
        <f t="shared" si="0"/>
        <v>2062</v>
      </c>
      <c r="C185" s="113">
        <f>[10]С2.5!$AU$11</f>
        <v>0</v>
      </c>
    </row>
    <row r="186" spans="2:3" hidden="1">
      <c r="B186" s="112">
        <f t="shared" si="0"/>
        <v>2063</v>
      </c>
      <c r="C186" s="113">
        <f>[10]С2.5!$AV$11</f>
        <v>0</v>
      </c>
    </row>
    <row r="187" spans="2:3" hidden="1">
      <c r="B187" s="112">
        <f t="shared" si="0"/>
        <v>2064</v>
      </c>
      <c r="C187" s="113">
        <f>[10]С2.5!$AW$11</f>
        <v>0</v>
      </c>
    </row>
    <row r="188" spans="2:3" hidden="1">
      <c r="B188" s="112">
        <f t="shared" si="0"/>
        <v>2065</v>
      </c>
      <c r="C188" s="113">
        <f>[10]С2.5!$AX$11</f>
        <v>0</v>
      </c>
    </row>
    <row r="189" spans="2:3" hidden="1">
      <c r="B189" s="112">
        <f t="shared" si="0"/>
        <v>2066</v>
      </c>
      <c r="C189" s="113">
        <f>[10]С2.5!$AY$11</f>
        <v>0</v>
      </c>
    </row>
    <row r="190" spans="2:3" hidden="1">
      <c r="B190" s="112">
        <f t="shared" si="0"/>
        <v>2067</v>
      </c>
      <c r="C190" s="113">
        <f>[10]С2.5!$AZ$11</f>
        <v>0</v>
      </c>
    </row>
    <row r="191" spans="2:3" hidden="1">
      <c r="B191" s="112">
        <f t="shared" si="0"/>
        <v>2068</v>
      </c>
      <c r="C191" s="113">
        <f>[10]С2.5!$BA$11</f>
        <v>0</v>
      </c>
    </row>
    <row r="192" spans="2:3" hidden="1">
      <c r="B192" s="112">
        <f t="shared" si="0"/>
        <v>2069</v>
      </c>
      <c r="C192" s="113">
        <f>[10]С2.5!$BB$11</f>
        <v>0</v>
      </c>
    </row>
    <row r="193" spans="2:3" hidden="1">
      <c r="B193" s="112">
        <f t="shared" si="0"/>
        <v>2070</v>
      </c>
      <c r="C193" s="113">
        <f>[10]С2.5!$BC$11</f>
        <v>0</v>
      </c>
    </row>
    <row r="194" spans="2:3" hidden="1">
      <c r="B194" s="112">
        <f t="shared" si="0"/>
        <v>2071</v>
      </c>
      <c r="C194" s="113">
        <f>[10]С2.5!$BD$11</f>
        <v>0</v>
      </c>
    </row>
    <row r="195" spans="2:3" hidden="1">
      <c r="B195" s="112">
        <f t="shared" si="0"/>
        <v>2072</v>
      </c>
      <c r="C195" s="113">
        <f>[10]С2.5!$BE$11</f>
        <v>0</v>
      </c>
    </row>
    <row r="196" spans="2:3" hidden="1">
      <c r="B196" s="112">
        <f t="shared" si="0"/>
        <v>2073</v>
      </c>
      <c r="C196" s="113">
        <f>[10]С2.5!$BF$11</f>
        <v>0</v>
      </c>
    </row>
    <row r="197" spans="2:3" hidden="1">
      <c r="B197" s="112">
        <f t="shared" si="0"/>
        <v>2074</v>
      </c>
      <c r="C197" s="113">
        <f>[10]С2.5!$BG$11</f>
        <v>0</v>
      </c>
    </row>
    <row r="198" spans="2:3" hidden="1">
      <c r="B198" s="112">
        <f t="shared" si="0"/>
        <v>2075</v>
      </c>
      <c r="C198" s="113">
        <f>[10]С2.5!$BH$11</f>
        <v>0</v>
      </c>
    </row>
    <row r="199" spans="2:3" hidden="1">
      <c r="B199" s="112">
        <f t="shared" si="0"/>
        <v>2076</v>
      </c>
      <c r="C199" s="113">
        <f>[10]С2.5!$BI$11</f>
        <v>0</v>
      </c>
    </row>
    <row r="200" spans="2:3" hidden="1">
      <c r="B200" s="112">
        <f t="shared" si="0"/>
        <v>2077</v>
      </c>
      <c r="C200" s="113">
        <f>[10]С2.5!$BJ$11</f>
        <v>0</v>
      </c>
    </row>
    <row r="201" spans="2:3" hidden="1">
      <c r="B201" s="112">
        <f t="shared" si="0"/>
        <v>2078</v>
      </c>
      <c r="C201" s="113">
        <f>[10]С2.5!$BK$11</f>
        <v>0</v>
      </c>
    </row>
    <row r="202" spans="2:3" hidden="1">
      <c r="B202" s="112">
        <f t="shared" si="0"/>
        <v>2079</v>
      </c>
      <c r="C202" s="113">
        <f>[10]С2.5!$BL$11</f>
        <v>0</v>
      </c>
    </row>
    <row r="203" spans="2:3" hidden="1">
      <c r="B203" s="112">
        <f t="shared" si="0"/>
        <v>2080</v>
      </c>
      <c r="C203" s="113">
        <f>[10]С2.5!$BM$11</f>
        <v>0</v>
      </c>
    </row>
    <row r="204" spans="2:3" hidden="1">
      <c r="B204" s="112">
        <f t="shared" si="0"/>
        <v>2081</v>
      </c>
      <c r="C204" s="113">
        <f>[10]С2.5!$BN$11</f>
        <v>0</v>
      </c>
    </row>
    <row r="205" spans="2:3" hidden="1">
      <c r="B205" s="112">
        <f t="shared" si="0"/>
        <v>2082</v>
      </c>
      <c r="C205" s="113">
        <f>[10]С2.5!$BO$11</f>
        <v>0</v>
      </c>
    </row>
    <row r="206" spans="2:3" hidden="1">
      <c r="B206" s="112">
        <f t="shared" si="0"/>
        <v>2083</v>
      </c>
      <c r="C206" s="113">
        <f>[10]С2.5!$BP$11</f>
        <v>0</v>
      </c>
    </row>
    <row r="207" spans="2:3" hidden="1">
      <c r="B207" s="112">
        <f t="shared" si="0"/>
        <v>2084</v>
      </c>
      <c r="C207" s="113">
        <f>[10]С2.5!$BQ$11</f>
        <v>0</v>
      </c>
    </row>
    <row r="208" spans="2:3" hidden="1">
      <c r="B208" s="112">
        <f t="shared" si="0"/>
        <v>2085</v>
      </c>
      <c r="C208" s="113">
        <f>[10]С2.5!$BR$11</f>
        <v>0</v>
      </c>
    </row>
    <row r="209" spans="2:3" hidden="1">
      <c r="B209" s="112">
        <f t="shared" ref="B209:B223" si="1">B208+1</f>
        <v>2086</v>
      </c>
      <c r="C209" s="113">
        <f>[10]С2.5!$BS$11</f>
        <v>0</v>
      </c>
    </row>
    <row r="210" spans="2:3" hidden="1">
      <c r="B210" s="112">
        <f t="shared" si="1"/>
        <v>2087</v>
      </c>
      <c r="C210" s="113">
        <f>[10]С2.5!$BT$11</f>
        <v>0</v>
      </c>
    </row>
    <row r="211" spans="2:3" hidden="1">
      <c r="B211" s="112">
        <f t="shared" si="1"/>
        <v>2088</v>
      </c>
      <c r="C211" s="113">
        <f>[10]С2.5!$BU$11</f>
        <v>0</v>
      </c>
    </row>
    <row r="212" spans="2:3" hidden="1">
      <c r="B212" s="112">
        <f t="shared" si="1"/>
        <v>2089</v>
      </c>
      <c r="C212" s="113">
        <f>[10]С2.5!$BV$11</f>
        <v>0</v>
      </c>
    </row>
    <row r="213" spans="2:3" hidden="1">
      <c r="B213" s="112">
        <f t="shared" si="1"/>
        <v>2090</v>
      </c>
      <c r="C213" s="113">
        <f>[10]С2.5!$BW$11</f>
        <v>0</v>
      </c>
    </row>
    <row r="214" spans="2:3" hidden="1">
      <c r="B214" s="112">
        <f t="shared" si="1"/>
        <v>2091</v>
      </c>
      <c r="C214" s="113">
        <f>[10]С2.5!$BX$11</f>
        <v>0</v>
      </c>
    </row>
    <row r="215" spans="2:3" hidden="1">
      <c r="B215" s="112">
        <f t="shared" si="1"/>
        <v>2092</v>
      </c>
      <c r="C215" s="113">
        <f>[10]С2.5!$BY$11</f>
        <v>0</v>
      </c>
    </row>
    <row r="216" spans="2:3" hidden="1">
      <c r="B216" s="112">
        <f t="shared" si="1"/>
        <v>2093</v>
      </c>
      <c r="C216" s="113">
        <f>[10]С2.5!$BZ$11</f>
        <v>0</v>
      </c>
    </row>
    <row r="217" spans="2:3" hidden="1">
      <c r="B217" s="112">
        <f t="shared" si="1"/>
        <v>2094</v>
      </c>
      <c r="C217" s="113">
        <f>[10]С2.5!$CA$11</f>
        <v>0</v>
      </c>
    </row>
    <row r="218" spans="2:3" hidden="1">
      <c r="B218" s="112">
        <f t="shared" si="1"/>
        <v>2095</v>
      </c>
      <c r="C218" s="113">
        <f>[10]С2.5!$CB$11</f>
        <v>0</v>
      </c>
    </row>
    <row r="219" spans="2:3" hidden="1">
      <c r="B219" s="112">
        <f t="shared" si="1"/>
        <v>2096</v>
      </c>
      <c r="C219" s="113">
        <f>[10]С2.5!$CC$11</f>
        <v>0</v>
      </c>
    </row>
    <row r="220" spans="2:3" hidden="1">
      <c r="B220" s="112">
        <f t="shared" si="1"/>
        <v>2097</v>
      </c>
      <c r="C220" s="113">
        <f>[10]С2.5!$CD$11</f>
        <v>0</v>
      </c>
    </row>
    <row r="221" spans="2:3" hidden="1">
      <c r="B221" s="112">
        <f t="shared" si="1"/>
        <v>2098</v>
      </c>
      <c r="C221" s="113">
        <f>[10]С2.5!$CE$11</f>
        <v>0</v>
      </c>
    </row>
    <row r="222" spans="2:3" hidden="1">
      <c r="B222" s="112">
        <f t="shared" si="1"/>
        <v>2099</v>
      </c>
      <c r="C222" s="113">
        <f>[10]С2.5!$CF$11</f>
        <v>0</v>
      </c>
    </row>
    <row r="223" spans="2:3" ht="13.5" hidden="1" thickBot="1">
      <c r="B223" s="114">
        <f t="shared" si="1"/>
        <v>2100</v>
      </c>
      <c r="C223" s="115">
        <f>[10]С2.5!$CG$11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I1048576"/>
    </sheetView>
  </sheetViews>
  <sheetFormatPr defaultRowHeight="12.75"/>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[11]И1!D13</f>
        <v>Субъект Российской Федерации</v>
      </c>
      <c r="C4" s="10" t="str">
        <f>[11]И1!E13</f>
        <v>Новосибирская область</v>
      </c>
    </row>
    <row r="5" spans="1:3">
      <c r="A5" s="8"/>
      <c r="B5" s="9" t="str">
        <f>[11]И1!D14</f>
        <v>Тип муниципального образования (выберите из списка)</v>
      </c>
      <c r="C5" s="10" t="str">
        <f>[11]И1!E14</f>
        <v>село Горбуново</v>
      </c>
    </row>
    <row r="6" spans="1:3">
      <c r="A6" s="8"/>
      <c r="B6" s="9" t="str">
        <f>IF([11]И1!E15="","",[11]И1!D15)</f>
        <v/>
      </c>
      <c r="C6" s="10" t="str">
        <f>IF([11]И1!E15="","",[11]И1!E15)</f>
        <v/>
      </c>
    </row>
    <row r="7" spans="1:3">
      <c r="A7" s="8"/>
      <c r="B7" s="9" t="str">
        <f>[11]И1!D16</f>
        <v>Код ОКТМО</v>
      </c>
      <c r="C7" s="11" t="str">
        <f>[11]И1!E16</f>
        <v>50630416101</v>
      </c>
    </row>
    <row r="8" spans="1:3">
      <c r="A8" s="8"/>
      <c r="B8" s="12" t="str">
        <f>[11]И1!D17</f>
        <v>Система теплоснабжения</v>
      </c>
      <c r="C8" s="13">
        <f>[11]И1!E17</f>
        <v>0</v>
      </c>
    </row>
    <row r="9" spans="1:3">
      <c r="A9" s="8"/>
      <c r="B9" s="9" t="str">
        <f>[11]И1!D8</f>
        <v>Период регулирования (i)-й</v>
      </c>
      <c r="C9" s="14">
        <f>[11]И1!E8</f>
        <v>2023</v>
      </c>
    </row>
    <row r="10" spans="1:3">
      <c r="A10" s="8"/>
      <c r="B10" s="9" t="str">
        <f>[11]И1!D9</f>
        <v>Период регулирования (i-1)-й</v>
      </c>
      <c r="C10" s="14">
        <f>[11]И1!E9</f>
        <v>2022</v>
      </c>
    </row>
    <row r="11" spans="1:3">
      <c r="A11" s="8"/>
      <c r="B11" s="9" t="str">
        <f>[11]И1!D10</f>
        <v>Период регулирования (i-2)-й</v>
      </c>
      <c r="C11" s="14">
        <f>[11]И1!E10</f>
        <v>2021</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4171.5588791261798</v>
      </c>
    </row>
    <row r="18" spans="1:3" ht="42.75">
      <c r="A18" s="22" t="s">
        <v>8</v>
      </c>
      <c r="B18" s="25" t="s">
        <v>9</v>
      </c>
      <c r="C18" s="26">
        <f>[11]С1!F12</f>
        <v>974.28269122198071</v>
      </c>
    </row>
    <row r="19" spans="1:3" ht="42.75">
      <c r="A19" s="22" t="s">
        <v>10</v>
      </c>
      <c r="B19" s="25" t="s">
        <v>11</v>
      </c>
      <c r="C19" s="26">
        <f>[11]С2!F12</f>
        <v>2116.2031761890698</v>
      </c>
    </row>
    <row r="20" spans="1:3" ht="30">
      <c r="A20" s="22" t="s">
        <v>12</v>
      </c>
      <c r="B20" s="25" t="s">
        <v>13</v>
      </c>
      <c r="C20" s="26">
        <f>[11]С3!F12</f>
        <v>506.5368696227419</v>
      </c>
    </row>
    <row r="21" spans="1:3" ht="42.75">
      <c r="A21" s="22" t="s">
        <v>14</v>
      </c>
      <c r="B21" s="25" t="s">
        <v>15</v>
      </c>
      <c r="C21" s="26">
        <f>[11]С4!F12</f>
        <v>492.74086995265867</v>
      </c>
    </row>
    <row r="22" spans="1:3" ht="30">
      <c r="A22" s="22" t="s">
        <v>16</v>
      </c>
      <c r="B22" s="25" t="s">
        <v>17</v>
      </c>
      <c r="C22" s="26">
        <f>[11]С5!F12</f>
        <v>81.795272139729022</v>
      </c>
    </row>
    <row r="23" spans="1:3" ht="43.5" thickBot="1">
      <c r="A23" s="27" t="s">
        <v>18</v>
      </c>
      <c r="B23" s="28" t="s">
        <v>19</v>
      </c>
      <c r="C23" s="29" t="str">
        <f>[11]С6!F12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[11]С1.1!E16</f>
        <v>5100</v>
      </c>
    </row>
    <row r="29" spans="1:3" ht="42.75">
      <c r="A29" s="22" t="s">
        <v>10</v>
      </c>
      <c r="B29" s="34" t="s">
        <v>22</v>
      </c>
      <c r="C29" s="35">
        <f>[11]С1.1!E27</f>
        <v>2619.6833333333334</v>
      </c>
    </row>
    <row r="30" spans="1:3" ht="17.25">
      <c r="A30" s="22" t="s">
        <v>12</v>
      </c>
      <c r="B30" s="34" t="s">
        <v>23</v>
      </c>
      <c r="C30" s="36">
        <f>[11]С1.1!E19</f>
        <v>0.59499999999999997</v>
      </c>
    </row>
    <row r="31" spans="1:3" ht="17.25">
      <c r="A31" s="22" t="s">
        <v>14</v>
      </c>
      <c r="B31" s="34" t="s">
        <v>24</v>
      </c>
      <c r="C31" s="36">
        <f>[11]С1.1!E20</f>
        <v>-0.113</v>
      </c>
    </row>
    <row r="32" spans="1:3" ht="30">
      <c r="A32" s="22" t="s">
        <v>16</v>
      </c>
      <c r="B32" s="37" t="s">
        <v>25</v>
      </c>
      <c r="C32" s="38">
        <f>[11]С1!F13</f>
        <v>176.4</v>
      </c>
    </row>
    <row r="33" spans="1:3">
      <c r="A33" s="22" t="s">
        <v>18</v>
      </c>
      <c r="B33" s="37" t="s">
        <v>26</v>
      </c>
      <c r="C33" s="39">
        <f>[11]С1!F16</f>
        <v>7000</v>
      </c>
    </row>
    <row r="34" spans="1:3" ht="14.25">
      <c r="A34" s="22" t="s">
        <v>27</v>
      </c>
      <c r="B34" s="40" t="s">
        <v>28</v>
      </c>
      <c r="C34" s="41">
        <f>[11]С1!F17</f>
        <v>0.72857142857142854</v>
      </c>
    </row>
    <row r="35" spans="1:3" ht="15.75">
      <c r="A35" s="42" t="s">
        <v>29</v>
      </c>
      <c r="B35" s="43" t="s">
        <v>30</v>
      </c>
      <c r="C35" s="41">
        <f>[11]С1!F20</f>
        <v>21.588411179999994</v>
      </c>
    </row>
    <row r="36" spans="1:3" ht="15.75">
      <c r="A36" s="42" t="s">
        <v>31</v>
      </c>
      <c r="B36" s="44" t="s">
        <v>32</v>
      </c>
      <c r="C36" s="41">
        <f>[11]С1!F21</f>
        <v>20.818139999999996</v>
      </c>
    </row>
    <row r="37" spans="1:3" ht="14.25">
      <c r="A37" s="42" t="s">
        <v>33</v>
      </c>
      <c r="B37" s="45" t="s">
        <v>34</v>
      </c>
      <c r="C37" s="41">
        <f>[11]С1!F22</f>
        <v>1.0369999999999999</v>
      </c>
    </row>
    <row r="38" spans="1:3" ht="53.25" thickBot="1">
      <c r="A38" s="27" t="s">
        <v>35</v>
      </c>
      <c r="B38" s="46" t="s">
        <v>36</v>
      </c>
      <c r="C38" s="47">
        <f>[11]С1!F23</f>
        <v>1.0469999999999999</v>
      </c>
    </row>
    <row r="39" spans="1:3" ht="13.5" thickBot="1">
      <c r="A39" s="48"/>
      <c r="B39" s="49"/>
      <c r="C39" s="50"/>
    </row>
    <row r="40" spans="1:3" ht="30" customHeight="1">
      <c r="A40" s="51" t="s">
        <v>37</v>
      </c>
      <c r="B40" s="142" t="s">
        <v>38</v>
      </c>
      <c r="C40" s="142"/>
    </row>
    <row r="41" spans="1:3" ht="25.5">
      <c r="A41" s="22" t="s">
        <v>39</v>
      </c>
      <c r="B41" s="37" t="s">
        <v>40</v>
      </c>
      <c r="C41" s="52" t="str">
        <f>[11]С2.1!E12</f>
        <v>V</v>
      </c>
    </row>
    <row r="42" spans="1:3" ht="25.5">
      <c r="A42" s="22" t="s">
        <v>41</v>
      </c>
      <c r="B42" s="34" t="s">
        <v>42</v>
      </c>
      <c r="C42" s="52" t="str">
        <f>[11]С2.1!E13</f>
        <v>6 и менее баллов</v>
      </c>
    </row>
    <row r="43" spans="1:3" ht="25.5">
      <c r="A43" s="22" t="s">
        <v>43</v>
      </c>
      <c r="B43" s="34" t="s">
        <v>44</v>
      </c>
      <c r="C43" s="52" t="str">
        <f>[11]С2.1!E14</f>
        <v>от 200 до 500</v>
      </c>
    </row>
    <row r="44" spans="1:3" ht="25.5">
      <c r="A44" s="22" t="s">
        <v>45</v>
      </c>
      <c r="B44" s="34" t="s">
        <v>46</v>
      </c>
      <c r="C44" s="53" t="str">
        <f>[11]С2.1!E15</f>
        <v>нет</v>
      </c>
    </row>
    <row r="45" spans="1:3" ht="30">
      <c r="A45" s="22" t="s">
        <v>47</v>
      </c>
      <c r="B45" s="34" t="s">
        <v>48</v>
      </c>
      <c r="C45" s="35">
        <f>[11]С2!F18</f>
        <v>32402.627334033532</v>
      </c>
    </row>
    <row r="46" spans="1:3" ht="30">
      <c r="A46" s="22" t="s">
        <v>49</v>
      </c>
      <c r="B46" s="54" t="s">
        <v>50</v>
      </c>
      <c r="C46" s="35">
        <f>IF([11]С2!F19&gt;0,[11]С2!F19,[11]С2!F20)</f>
        <v>23441.524932855718</v>
      </c>
    </row>
    <row r="47" spans="1:3" ht="25.5">
      <c r="A47" s="22" t="s">
        <v>51</v>
      </c>
      <c r="B47" s="55" t="s">
        <v>52</v>
      </c>
      <c r="C47" s="35">
        <f>[11]С2.1!E19</f>
        <v>-38</v>
      </c>
    </row>
    <row r="48" spans="1:3" ht="25.5">
      <c r="A48" s="22" t="s">
        <v>53</v>
      </c>
      <c r="B48" s="55" t="s">
        <v>54</v>
      </c>
      <c r="C48" s="35" t="str">
        <f>[11]С2.1!E22</f>
        <v>нет</v>
      </c>
    </row>
    <row r="49" spans="1:3" ht="38.25">
      <c r="A49" s="22" t="s">
        <v>55</v>
      </c>
      <c r="B49" s="56" t="s">
        <v>56</v>
      </c>
      <c r="C49" s="35">
        <f>[11]С2.2!E10</f>
        <v>1287</v>
      </c>
    </row>
    <row r="50" spans="1:3" ht="25.5">
      <c r="A50" s="22" t="s">
        <v>57</v>
      </c>
      <c r="B50" s="57" t="s">
        <v>58</v>
      </c>
      <c r="C50" s="35">
        <f>[11]С2.2!E12</f>
        <v>5.97</v>
      </c>
    </row>
    <row r="51" spans="1:3" ht="52.5">
      <c r="A51" s="22" t="s">
        <v>59</v>
      </c>
      <c r="B51" s="58" t="s">
        <v>60</v>
      </c>
      <c r="C51" s="35">
        <f>[11]С2.2!E13</f>
        <v>1</v>
      </c>
    </row>
    <row r="52" spans="1:3" ht="27.75">
      <c r="A52" s="22" t="s">
        <v>61</v>
      </c>
      <c r="B52" s="57" t="s">
        <v>62</v>
      </c>
      <c r="C52" s="35">
        <f>[11]С2.2!E14</f>
        <v>12104</v>
      </c>
    </row>
    <row r="53" spans="1:3" ht="25.5">
      <c r="A53" s="22" t="s">
        <v>63</v>
      </c>
      <c r="B53" s="58" t="s">
        <v>64</v>
      </c>
      <c r="C53" s="36">
        <f>[11]С2.2!E15</f>
        <v>4.8000000000000001E-2</v>
      </c>
    </row>
    <row r="54" spans="1:3">
      <c r="A54" s="22" t="s">
        <v>65</v>
      </c>
      <c r="B54" s="58" t="s">
        <v>66</v>
      </c>
      <c r="C54" s="35">
        <f>[11]С2.2!E16</f>
        <v>1</v>
      </c>
    </row>
    <row r="55" spans="1:3" ht="15.75">
      <c r="A55" s="22" t="s">
        <v>67</v>
      </c>
      <c r="B55" s="59" t="s">
        <v>68</v>
      </c>
      <c r="C55" s="35">
        <f>[11]С2!F21</f>
        <v>1</v>
      </c>
    </row>
    <row r="56" spans="1:3" ht="30">
      <c r="A56" s="60" t="s">
        <v>69</v>
      </c>
      <c r="B56" s="34" t="s">
        <v>70</v>
      </c>
      <c r="C56" s="35">
        <f>[11]С2!F13</f>
        <v>169640.22915965237</v>
      </c>
    </row>
    <row r="57" spans="1:3" ht="30">
      <c r="A57" s="60" t="s">
        <v>71</v>
      </c>
      <c r="B57" s="59" t="s">
        <v>72</v>
      </c>
      <c r="C57" s="35">
        <f>[11]С2!F14</f>
        <v>113455</v>
      </c>
    </row>
    <row r="58" spans="1:3" ht="15.75">
      <c r="A58" s="60" t="s">
        <v>73</v>
      </c>
      <c r="B58" s="61" t="s">
        <v>74</v>
      </c>
      <c r="C58" s="41">
        <f>[11]С2!F15</f>
        <v>1.071</v>
      </c>
    </row>
    <row r="59" spans="1:3" ht="15.75">
      <c r="A59" s="60" t="s">
        <v>75</v>
      </c>
      <c r="B59" s="61" t="s">
        <v>76</v>
      </c>
      <c r="C59" s="41">
        <f>[11]С2!F16</f>
        <v>1</v>
      </c>
    </row>
    <row r="60" spans="1:3" ht="17.25">
      <c r="A60" s="60" t="s">
        <v>77</v>
      </c>
      <c r="B60" s="59" t="s">
        <v>78</v>
      </c>
      <c r="C60" s="35">
        <f>[11]С2!F17</f>
        <v>1.01</v>
      </c>
    </row>
    <row r="61" spans="1:3" s="64" customFormat="1" ht="14.25">
      <c r="A61" s="60" t="s">
        <v>79</v>
      </c>
      <c r="B61" s="62" t="s">
        <v>80</v>
      </c>
      <c r="C61" s="63">
        <f>[11]С2!F33</f>
        <v>10</v>
      </c>
    </row>
    <row r="62" spans="1:3" ht="30">
      <c r="A62" s="60" t="s">
        <v>81</v>
      </c>
      <c r="B62" s="65" t="s">
        <v>82</v>
      </c>
      <c r="C62" s="35">
        <f>[11]С2!F26</f>
        <v>2274.3932248182782</v>
      </c>
    </row>
    <row r="63" spans="1:3" ht="17.25">
      <c r="A63" s="60" t="s">
        <v>83</v>
      </c>
      <c r="B63" s="54" t="s">
        <v>84</v>
      </c>
      <c r="C63" s="35">
        <f>[11]С2!F27</f>
        <v>0.391761629</v>
      </c>
    </row>
    <row r="64" spans="1:3" ht="17.25">
      <c r="A64" s="60" t="s">
        <v>85</v>
      </c>
      <c r="B64" s="59" t="s">
        <v>86</v>
      </c>
      <c r="C64" s="63">
        <f>[11]С2!F28</f>
        <v>4200</v>
      </c>
    </row>
    <row r="65" spans="1:3" ht="42.75">
      <c r="A65" s="60" t="s">
        <v>87</v>
      </c>
      <c r="B65" s="34" t="s">
        <v>88</v>
      </c>
      <c r="C65" s="35">
        <f>[11]С2!F22</f>
        <v>35717.748653137714</v>
      </c>
    </row>
    <row r="66" spans="1:3" ht="30">
      <c r="A66" s="60" t="s">
        <v>89</v>
      </c>
      <c r="B66" s="61" t="s">
        <v>90</v>
      </c>
      <c r="C66" s="35">
        <f>[11]С2!F23</f>
        <v>1990</v>
      </c>
    </row>
    <row r="67" spans="1:3" ht="30">
      <c r="A67" s="60" t="s">
        <v>91</v>
      </c>
      <c r="B67" s="54" t="s">
        <v>92</v>
      </c>
      <c r="C67" s="35">
        <f>[11]С2.1!E27</f>
        <v>14307.876789999998</v>
      </c>
    </row>
    <row r="68" spans="1:3" ht="38.25">
      <c r="A68" s="60" t="s">
        <v>93</v>
      </c>
      <c r="B68" s="66" t="s">
        <v>94</v>
      </c>
      <c r="C68" s="53">
        <f>[11]С2.3!E21</f>
        <v>0</v>
      </c>
    </row>
    <row r="69" spans="1:3" ht="25.5">
      <c r="A69" s="60" t="s">
        <v>95</v>
      </c>
      <c r="B69" s="67" t="s">
        <v>96</v>
      </c>
      <c r="C69" s="68">
        <f>[11]С2.3!E11</f>
        <v>9.89</v>
      </c>
    </row>
    <row r="70" spans="1:3" ht="25.5">
      <c r="A70" s="60" t="s">
        <v>97</v>
      </c>
      <c r="B70" s="67" t="s">
        <v>98</v>
      </c>
      <c r="C70" s="63">
        <f>[11]С2.3!E13</f>
        <v>300</v>
      </c>
    </row>
    <row r="71" spans="1:3" ht="25.5">
      <c r="A71" s="60" t="s">
        <v>99</v>
      </c>
      <c r="B71" s="66" t="s">
        <v>100</v>
      </c>
      <c r="C71" s="69">
        <f>IF([11]С2.3!E22&gt;0,[11]С2.3!E22,[11]С2.3!E14)</f>
        <v>61211</v>
      </c>
    </row>
    <row r="72" spans="1:3" ht="38.25">
      <c r="A72" s="60" t="s">
        <v>101</v>
      </c>
      <c r="B72" s="66" t="s">
        <v>102</v>
      </c>
      <c r="C72" s="69">
        <f>IF([11]С2.3!E23&gt;0,[11]С2.3!E23,[11]С2.3!E15)</f>
        <v>45675</v>
      </c>
    </row>
    <row r="73" spans="1:3" ht="30">
      <c r="A73" s="60" t="s">
        <v>103</v>
      </c>
      <c r="B73" s="54" t="s">
        <v>104</v>
      </c>
      <c r="C73" s="35">
        <f>[11]С2.1!E28</f>
        <v>9541.9567200000001</v>
      </c>
    </row>
    <row r="74" spans="1:3" ht="38.25">
      <c r="A74" s="60" t="s">
        <v>105</v>
      </c>
      <c r="B74" s="66" t="s">
        <v>106</v>
      </c>
      <c r="C74" s="53">
        <f>[11]С2.3!E25</f>
        <v>0</v>
      </c>
    </row>
    <row r="75" spans="1:3" ht="25.5">
      <c r="A75" s="60" t="s">
        <v>107</v>
      </c>
      <c r="B75" s="67" t="s">
        <v>108</v>
      </c>
      <c r="C75" s="68">
        <f>[11]С2.3!E12</f>
        <v>0.56000000000000005</v>
      </c>
    </row>
    <row r="76" spans="1:3" ht="25.5">
      <c r="A76" s="60" t="s">
        <v>109</v>
      </c>
      <c r="B76" s="67" t="s">
        <v>98</v>
      </c>
      <c r="C76" s="63">
        <f>[11]С2.3!E13</f>
        <v>300</v>
      </c>
    </row>
    <row r="77" spans="1:3" ht="25.5">
      <c r="A77" s="60" t="s">
        <v>110</v>
      </c>
      <c r="B77" s="70" t="s">
        <v>111</v>
      </c>
      <c r="C77" s="69">
        <f>IF([11]С2.3!E26&gt;0,[11]С2.3!E26,[11]С2.3!E16)</f>
        <v>65637</v>
      </c>
    </row>
    <row r="78" spans="1:3" ht="38.25">
      <c r="A78" s="60" t="s">
        <v>112</v>
      </c>
      <c r="B78" s="70" t="s">
        <v>113</v>
      </c>
      <c r="C78" s="69">
        <f>IF([11]С2.3!E27&gt;0,[11]С2.3!E27,[11]С2.3!E17)</f>
        <v>31684</v>
      </c>
    </row>
    <row r="79" spans="1:3" ht="17.25">
      <c r="A79" s="60" t="s">
        <v>114</v>
      </c>
      <c r="B79" s="34" t="s">
        <v>115</v>
      </c>
      <c r="C79" s="36">
        <f>[11]С2!F29</f>
        <v>0.128978033685065</v>
      </c>
    </row>
    <row r="80" spans="1:3" ht="30">
      <c r="A80" s="60" t="s">
        <v>116</v>
      </c>
      <c r="B80" s="54" t="s">
        <v>117</v>
      </c>
      <c r="C80" s="71">
        <f>[11]С2!F30</f>
        <v>0.11668498168498169</v>
      </c>
    </row>
    <row r="81" spans="1:3" ht="17.25">
      <c r="A81" s="60" t="s">
        <v>118</v>
      </c>
      <c r="B81" s="72" t="s">
        <v>119</v>
      </c>
      <c r="C81" s="36">
        <f>[11]С2!F31</f>
        <v>0.13880000000000001</v>
      </c>
    </row>
    <row r="82" spans="1:3" s="64" customFormat="1" ht="18" thickBot="1">
      <c r="A82" s="73" t="s">
        <v>120</v>
      </c>
      <c r="B82" s="74" t="s">
        <v>121</v>
      </c>
      <c r="C82" s="75">
        <f>[11]С2!F32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[11]С3!F14</f>
        <v>7051.1767451401192</v>
      </c>
    </row>
    <row r="86" spans="1:3" s="64" customFormat="1" ht="42.75">
      <c r="A86" s="78" t="s">
        <v>126</v>
      </c>
      <c r="B86" s="54" t="s">
        <v>127</v>
      </c>
      <c r="C86" s="79">
        <f>[11]С3!F15</f>
        <v>0.2</v>
      </c>
    </row>
    <row r="87" spans="1:3" s="64" customFormat="1" ht="14.25">
      <c r="A87" s="78" t="s">
        <v>128</v>
      </c>
      <c r="B87" s="80" t="s">
        <v>129</v>
      </c>
      <c r="C87" s="63">
        <f>[11]С3!F18</f>
        <v>15</v>
      </c>
    </row>
    <row r="88" spans="1:3" s="64" customFormat="1" ht="17.25">
      <c r="A88" s="78" t="s">
        <v>130</v>
      </c>
      <c r="B88" s="34" t="s">
        <v>131</v>
      </c>
      <c r="C88" s="35">
        <f>[11]С3!F19</f>
        <v>3487.1555421534131</v>
      </c>
    </row>
    <row r="89" spans="1:3" s="64" customFormat="1" ht="55.5">
      <c r="A89" s="78" t="s">
        <v>132</v>
      </c>
      <c r="B89" s="54" t="s">
        <v>133</v>
      </c>
      <c r="C89" s="81">
        <f>[11]С3!F20</f>
        <v>2.1999999999999999E-2</v>
      </c>
    </row>
    <row r="90" spans="1:3" s="64" customFormat="1" ht="14.25">
      <c r="A90" s="78" t="s">
        <v>134</v>
      </c>
      <c r="B90" s="59" t="s">
        <v>80</v>
      </c>
      <c r="C90" s="63">
        <f>[11]С3!F21</f>
        <v>10</v>
      </c>
    </row>
    <row r="91" spans="1:3" s="64" customFormat="1" ht="17.25">
      <c r="A91" s="78" t="s">
        <v>135</v>
      </c>
      <c r="B91" s="34" t="s">
        <v>136</v>
      </c>
      <c r="C91" s="35">
        <f>[11]С3!F22</f>
        <v>6.8231796744548348</v>
      </c>
    </row>
    <row r="92" spans="1:3" s="64" customFormat="1" ht="55.5">
      <c r="A92" s="78" t="s">
        <v>137</v>
      </c>
      <c r="B92" s="54" t="s">
        <v>138</v>
      </c>
      <c r="C92" s="81">
        <f>[11]С3!F23</f>
        <v>3.0000000000000001E-3</v>
      </c>
    </row>
    <row r="93" spans="1:3" s="64" customFormat="1" ht="27.75" thickBot="1">
      <c r="A93" s="82" t="s">
        <v>139</v>
      </c>
      <c r="B93" s="83" t="s">
        <v>140</v>
      </c>
      <c r="C93" s="84">
        <f>[11]С3!F24</f>
        <v>2274.3932248182782</v>
      </c>
    </row>
    <row r="94" spans="1:3" ht="13.5" thickBot="1">
      <c r="A94" s="48"/>
      <c r="B94" s="76"/>
      <c r="C94" s="15"/>
    </row>
    <row r="95" spans="1:3" ht="30" customHeight="1">
      <c r="A95" s="85" t="s">
        <v>141</v>
      </c>
      <c r="B95" s="142" t="s">
        <v>142</v>
      </c>
      <c r="C95" s="142"/>
    </row>
    <row r="96" spans="1:3" ht="30">
      <c r="A96" s="60" t="s">
        <v>143</v>
      </c>
      <c r="B96" s="34" t="s">
        <v>144</v>
      </c>
      <c r="C96" s="35">
        <f>[11]С4!F16</f>
        <v>1652.5</v>
      </c>
    </row>
    <row r="97" spans="1:3" ht="30">
      <c r="A97" s="60" t="s">
        <v>145</v>
      </c>
      <c r="B97" s="59" t="s">
        <v>146</v>
      </c>
      <c r="C97" s="35">
        <f>[11]С4!F17</f>
        <v>73547</v>
      </c>
    </row>
    <row r="98" spans="1:3" ht="17.25">
      <c r="A98" s="60" t="s">
        <v>147</v>
      </c>
      <c r="B98" s="59" t="s">
        <v>148</v>
      </c>
      <c r="C98" s="41">
        <f>[11]С4!F18</f>
        <v>0.02</v>
      </c>
    </row>
    <row r="99" spans="1:3" ht="30">
      <c r="A99" s="60" t="s">
        <v>149</v>
      </c>
      <c r="B99" s="59" t="s">
        <v>150</v>
      </c>
      <c r="C99" s="35">
        <f>[11]С4!F19</f>
        <v>12104</v>
      </c>
    </row>
    <row r="100" spans="1:3" ht="31.5">
      <c r="A100" s="60" t="s">
        <v>151</v>
      </c>
      <c r="B100" s="59" t="s">
        <v>152</v>
      </c>
      <c r="C100" s="41">
        <f>[11]С4!F20</f>
        <v>1.4999999999999999E-2</v>
      </c>
    </row>
    <row r="101" spans="1:3" ht="30">
      <c r="A101" s="60" t="s">
        <v>153</v>
      </c>
      <c r="B101" s="34" t="s">
        <v>154</v>
      </c>
      <c r="C101" s="35">
        <f>[11]С4!F21</f>
        <v>1933.1949342509995</v>
      </c>
    </row>
    <row r="102" spans="1:3" ht="24" customHeight="1">
      <c r="A102" s="60" t="s">
        <v>155</v>
      </c>
      <c r="B102" s="54" t="s">
        <v>156</v>
      </c>
      <c r="C102" s="86">
        <f>IF([11]С4.2!F8="да",[11]С4.2!D21,[11]С4.2!D15)</f>
        <v>0</v>
      </c>
    </row>
    <row r="103" spans="1:3" ht="68.25">
      <c r="A103" s="60" t="s">
        <v>157</v>
      </c>
      <c r="B103" s="54" t="s">
        <v>158</v>
      </c>
      <c r="C103" s="35">
        <f>[11]С4!F22</f>
        <v>3.6112641666666665</v>
      </c>
    </row>
    <row r="104" spans="1:3" ht="30">
      <c r="A104" s="60" t="s">
        <v>159</v>
      </c>
      <c r="B104" s="59" t="s">
        <v>160</v>
      </c>
      <c r="C104" s="35">
        <f>[11]С4!F23</f>
        <v>180</v>
      </c>
    </row>
    <row r="105" spans="1:3" ht="14.25">
      <c r="A105" s="60" t="s">
        <v>161</v>
      </c>
      <c r="B105" s="54" t="s">
        <v>162</v>
      </c>
      <c r="C105" s="35">
        <f>[11]С4!F24</f>
        <v>8497.1999999999989</v>
      </c>
    </row>
    <row r="106" spans="1:3" ht="14.25">
      <c r="A106" s="60" t="s">
        <v>163</v>
      </c>
      <c r="B106" s="59" t="s">
        <v>164</v>
      </c>
      <c r="C106" s="41">
        <f>[11]С4!F25</f>
        <v>0.35</v>
      </c>
    </row>
    <row r="107" spans="1:3" ht="17.25">
      <c r="A107" s="60" t="s">
        <v>165</v>
      </c>
      <c r="B107" s="34" t="s">
        <v>166</v>
      </c>
      <c r="C107" s="35">
        <f>[11]С4!F26</f>
        <v>55.95993</v>
      </c>
    </row>
    <row r="108" spans="1:3" ht="25.5">
      <c r="A108" s="60" t="s">
        <v>167</v>
      </c>
      <c r="B108" s="54" t="s">
        <v>94</v>
      </c>
      <c r="C108" s="86">
        <f>[11]С4.3!E16</f>
        <v>0</v>
      </c>
    </row>
    <row r="109" spans="1:3" ht="25.5">
      <c r="A109" s="60" t="s">
        <v>168</v>
      </c>
      <c r="B109" s="54" t="s">
        <v>169</v>
      </c>
      <c r="C109" s="35">
        <f>[11]С4.3!E17</f>
        <v>15.03</v>
      </c>
    </row>
    <row r="110" spans="1:3" ht="38.25">
      <c r="A110" s="60" t="s">
        <v>170</v>
      </c>
      <c r="B110" s="54" t="s">
        <v>106</v>
      </c>
      <c r="C110" s="86">
        <f>[11]С4.3!E18</f>
        <v>0</v>
      </c>
    </row>
    <row r="111" spans="1:3">
      <c r="A111" s="60" t="s">
        <v>171</v>
      </c>
      <c r="B111" s="54" t="s">
        <v>172</v>
      </c>
      <c r="C111" s="35">
        <f>[11]С4.3!E19</f>
        <v>15.93</v>
      </c>
    </row>
    <row r="112" spans="1:3">
      <c r="A112" s="60" t="s">
        <v>173</v>
      </c>
      <c r="B112" s="59" t="s">
        <v>174</v>
      </c>
      <c r="C112" s="35">
        <f>[11]С4.3!E11</f>
        <v>1871</v>
      </c>
    </row>
    <row r="113" spans="1:3">
      <c r="A113" s="60" t="s">
        <v>175</v>
      </c>
      <c r="B113" s="59" t="s">
        <v>176</v>
      </c>
      <c r="C113" s="53">
        <f>[11]С4.3!E12</f>
        <v>1636</v>
      </c>
    </row>
    <row r="114" spans="1:3">
      <c r="A114" s="60" t="s">
        <v>177</v>
      </c>
      <c r="B114" s="59" t="s">
        <v>178</v>
      </c>
      <c r="C114" s="53">
        <f>[11]С4.3!E13</f>
        <v>204</v>
      </c>
    </row>
    <row r="115" spans="1:3" ht="30">
      <c r="A115" s="60" t="s">
        <v>179</v>
      </c>
      <c r="B115" s="34" t="s">
        <v>180</v>
      </c>
      <c r="C115" s="35">
        <f>[11]С4!F27</f>
        <v>2164.8316773434499</v>
      </c>
    </row>
    <row r="116" spans="1:3" ht="25.5">
      <c r="A116" s="60" t="s">
        <v>181</v>
      </c>
      <c r="B116" s="54" t="s">
        <v>182</v>
      </c>
      <c r="C116" s="35">
        <f>[11]С4!F28</f>
        <v>1662.6971408167815</v>
      </c>
    </row>
    <row r="117" spans="1:3" ht="42.75">
      <c r="A117" s="60" t="s">
        <v>183</v>
      </c>
      <c r="B117" s="54" t="s">
        <v>184</v>
      </c>
      <c r="C117" s="35">
        <f>[11]С4!F29</f>
        <v>502.13453652666817</v>
      </c>
    </row>
    <row r="118" spans="1:3" ht="30">
      <c r="A118" s="60" t="s">
        <v>185</v>
      </c>
      <c r="B118" s="40" t="s">
        <v>186</v>
      </c>
      <c r="C118" s="35">
        <f>[11]С4!F30</f>
        <v>2231.7888507041657</v>
      </c>
    </row>
    <row r="119" spans="1:3" ht="42.75">
      <c r="A119" s="60" t="s">
        <v>187</v>
      </c>
      <c r="B119" s="87" t="s">
        <v>188</v>
      </c>
      <c r="C119" s="35">
        <f>[11]С4!F33</f>
        <v>1436.8334235805173</v>
      </c>
    </row>
    <row r="120" spans="1:3" ht="30">
      <c r="A120" s="60" t="s">
        <v>189</v>
      </c>
      <c r="B120" s="88" t="s">
        <v>190</v>
      </c>
      <c r="C120" s="35">
        <f>[11]С4!F35</f>
        <v>17.040680999999999</v>
      </c>
    </row>
    <row r="121" spans="1:3" ht="14.25">
      <c r="A121" s="60" t="s">
        <v>191</v>
      </c>
      <c r="B121" s="57" t="s">
        <v>192</v>
      </c>
      <c r="C121" s="35">
        <f>[11]С4!F36</f>
        <v>14319.9</v>
      </c>
    </row>
    <row r="122" spans="1:3" ht="28.5" thickBot="1">
      <c r="A122" s="73" t="s">
        <v>193</v>
      </c>
      <c r="B122" s="89" t="s">
        <v>194</v>
      </c>
      <c r="C122" s="84">
        <f>[11]С4!F37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[11]С5!F17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[11]С2!F37</f>
        <v>20.818139999999996</v>
      </c>
    </row>
    <row r="136" spans="1:3" ht="14.25">
      <c r="A136" s="60" t="s">
        <v>216</v>
      </c>
      <c r="B136" s="102" t="s">
        <v>217</v>
      </c>
      <c r="C136" s="35">
        <f>[11]С2!F38</f>
        <v>7</v>
      </c>
    </row>
    <row r="137" spans="1:3" ht="17.25">
      <c r="A137" s="60" t="s">
        <v>218</v>
      </c>
      <c r="B137" s="102" t="s">
        <v>219</v>
      </c>
      <c r="C137" s="35">
        <f>[11]С2!F40</f>
        <v>0.97</v>
      </c>
    </row>
    <row r="138" spans="1:3" ht="15" thickBot="1">
      <c r="A138" s="73" t="s">
        <v>220</v>
      </c>
      <c r="B138" s="103" t="s">
        <v>221</v>
      </c>
      <c r="C138" s="47">
        <f>[11]С2!F42</f>
        <v>0.35</v>
      </c>
    </row>
    <row r="139" spans="1:3" s="90" customFormat="1" ht="13.5" thickBot="1">
      <c r="A139" s="48"/>
      <c r="B139" s="76"/>
      <c r="C139" s="15"/>
    </row>
    <row r="140" spans="1:3" ht="30">
      <c r="A140" s="85" t="s">
        <v>222</v>
      </c>
      <c r="B140" s="104" t="s">
        <v>223</v>
      </c>
      <c r="C140" s="105">
        <f>[11]С2!F35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[11]С2.5!$E$11</f>
        <v>-2.9000000000000026E-2</v>
      </c>
    </row>
    <row r="144" spans="1:3">
      <c r="A144" s="107"/>
      <c r="B144" s="112">
        <f>B143+1</f>
        <v>2021</v>
      </c>
      <c r="C144" s="113">
        <f>[11]С2.5!$F$11</f>
        <v>0.245</v>
      </c>
    </row>
    <row r="145" spans="1:3">
      <c r="A145" s="107"/>
      <c r="B145" s="112">
        <f t="shared" ref="B145:B208" si="0">B144+1</f>
        <v>2022</v>
      </c>
      <c r="C145" s="113">
        <f>[11]С2.5!$G$11</f>
        <v>0.121</v>
      </c>
    </row>
    <row r="146" spans="1:3" ht="13.5" thickBot="1">
      <c r="A146" s="107"/>
      <c r="B146" s="114">
        <f t="shared" si="0"/>
        <v>2023</v>
      </c>
      <c r="C146" s="115">
        <f>[11]С2.5!$H$11</f>
        <v>0.02</v>
      </c>
    </row>
    <row r="147" spans="1:3" hidden="1">
      <c r="A147" s="107"/>
      <c r="B147" s="116">
        <f t="shared" si="0"/>
        <v>2024</v>
      </c>
      <c r="C147" s="117">
        <f>[11]С2.5!$I$11</f>
        <v>-2.93E-2</v>
      </c>
    </row>
    <row r="148" spans="1:3" hidden="1">
      <c r="A148" s="107"/>
      <c r="B148" s="112">
        <f t="shared" si="0"/>
        <v>2025</v>
      </c>
      <c r="C148" s="113">
        <f>[11]С2.5!$J$11</f>
        <v>0.21215960863291</v>
      </c>
    </row>
    <row r="149" spans="1:3" hidden="1">
      <c r="A149" s="107"/>
      <c r="B149" s="112">
        <f t="shared" si="0"/>
        <v>2026</v>
      </c>
      <c r="C149" s="113">
        <f>[11]С2.5!$K$11</f>
        <v>3.5813361771260002E-2</v>
      </c>
    </row>
    <row r="150" spans="1:3" hidden="1">
      <c r="A150" s="107"/>
      <c r="B150" s="112">
        <f t="shared" si="0"/>
        <v>2027</v>
      </c>
      <c r="C150" s="113">
        <f>[11]С2.5!$L$11</f>
        <v>3.2682303599220003E-2</v>
      </c>
    </row>
    <row r="151" spans="1:3" hidden="1">
      <c r="A151" s="107"/>
      <c r="B151" s="112">
        <f t="shared" si="0"/>
        <v>2028</v>
      </c>
      <c r="C151" s="113">
        <f>[11]С2.5!$M$11</f>
        <v>0</v>
      </c>
    </row>
    <row r="152" spans="1:3" hidden="1">
      <c r="A152" s="107"/>
      <c r="B152" s="112">
        <f t="shared" si="0"/>
        <v>2029</v>
      </c>
      <c r="C152" s="113">
        <f>[11]С2.5!$N$11</f>
        <v>0</v>
      </c>
    </row>
    <row r="153" spans="1:3" hidden="1">
      <c r="A153" s="107"/>
      <c r="B153" s="112">
        <f t="shared" si="0"/>
        <v>2030</v>
      </c>
      <c r="C153" s="113">
        <f>[11]С2.5!$O$11</f>
        <v>0</v>
      </c>
    </row>
    <row r="154" spans="1:3" hidden="1">
      <c r="A154" s="107"/>
      <c r="B154" s="112">
        <f t="shared" si="0"/>
        <v>2031</v>
      </c>
      <c r="C154" s="113">
        <f>[11]С2.5!$P$11</f>
        <v>0</v>
      </c>
    </row>
    <row r="155" spans="1:3" hidden="1">
      <c r="A155" s="90"/>
      <c r="B155" s="112">
        <f t="shared" si="0"/>
        <v>2032</v>
      </c>
      <c r="C155" s="113">
        <f>[11]С2.5!$Q$11</f>
        <v>0</v>
      </c>
    </row>
    <row r="156" spans="1:3" hidden="1">
      <c r="A156" s="90"/>
      <c r="B156" s="112">
        <f t="shared" si="0"/>
        <v>2033</v>
      </c>
      <c r="C156" s="113">
        <f>[11]С2.5!$R$11</f>
        <v>0</v>
      </c>
    </row>
    <row r="157" spans="1:3" hidden="1">
      <c r="B157" s="112">
        <f t="shared" si="0"/>
        <v>2034</v>
      </c>
      <c r="C157" s="113">
        <f>[11]С2.5!$S$11</f>
        <v>0</v>
      </c>
    </row>
    <row r="158" spans="1:3" hidden="1">
      <c r="B158" s="112">
        <f t="shared" si="0"/>
        <v>2035</v>
      </c>
      <c r="C158" s="113">
        <f>[11]С2.5!$T$11</f>
        <v>0</v>
      </c>
    </row>
    <row r="159" spans="1:3" hidden="1">
      <c r="B159" s="112">
        <f t="shared" si="0"/>
        <v>2036</v>
      </c>
      <c r="C159" s="113">
        <f>[11]С2.5!$U$11</f>
        <v>0</v>
      </c>
    </row>
    <row r="160" spans="1:3" hidden="1">
      <c r="B160" s="112">
        <f t="shared" si="0"/>
        <v>2037</v>
      </c>
      <c r="C160" s="113">
        <f>[11]С2.5!$V$11</f>
        <v>0</v>
      </c>
    </row>
    <row r="161" spans="2:3" hidden="1">
      <c r="B161" s="112">
        <f t="shared" si="0"/>
        <v>2038</v>
      </c>
      <c r="C161" s="113">
        <f>[11]С2.5!$W$11</f>
        <v>0</v>
      </c>
    </row>
    <row r="162" spans="2:3" hidden="1">
      <c r="B162" s="112">
        <f t="shared" si="0"/>
        <v>2039</v>
      </c>
      <c r="C162" s="113">
        <f>[11]С2.5!$X$11</f>
        <v>0</v>
      </c>
    </row>
    <row r="163" spans="2:3" hidden="1">
      <c r="B163" s="112">
        <f t="shared" si="0"/>
        <v>2040</v>
      </c>
      <c r="C163" s="113">
        <f>[11]С2.5!$Y$11</f>
        <v>0</v>
      </c>
    </row>
    <row r="164" spans="2:3" hidden="1">
      <c r="B164" s="112">
        <f t="shared" si="0"/>
        <v>2041</v>
      </c>
      <c r="C164" s="113">
        <f>[11]С2.5!$Z$11</f>
        <v>0</v>
      </c>
    </row>
    <row r="165" spans="2:3" hidden="1">
      <c r="B165" s="112">
        <f t="shared" si="0"/>
        <v>2042</v>
      </c>
      <c r="C165" s="113">
        <f>[11]С2.5!$AA$11</f>
        <v>0</v>
      </c>
    </row>
    <row r="166" spans="2:3" hidden="1">
      <c r="B166" s="112">
        <f t="shared" si="0"/>
        <v>2043</v>
      </c>
      <c r="C166" s="113">
        <f>[11]С2.5!$AB$11</f>
        <v>0</v>
      </c>
    </row>
    <row r="167" spans="2:3" hidden="1">
      <c r="B167" s="112">
        <f t="shared" si="0"/>
        <v>2044</v>
      </c>
      <c r="C167" s="113">
        <f>[11]С2.5!$AC$11</f>
        <v>0</v>
      </c>
    </row>
    <row r="168" spans="2:3" hidden="1">
      <c r="B168" s="112">
        <f t="shared" si="0"/>
        <v>2045</v>
      </c>
      <c r="C168" s="113">
        <f>[11]С2.5!$AD$11</f>
        <v>0</v>
      </c>
    </row>
    <row r="169" spans="2:3" hidden="1">
      <c r="B169" s="112">
        <f t="shared" si="0"/>
        <v>2046</v>
      </c>
      <c r="C169" s="113">
        <f>[11]С2.5!$AE$11</f>
        <v>0</v>
      </c>
    </row>
    <row r="170" spans="2:3" hidden="1">
      <c r="B170" s="112">
        <f t="shared" si="0"/>
        <v>2047</v>
      </c>
      <c r="C170" s="113">
        <f>[11]С2.5!$AF$11</f>
        <v>0</v>
      </c>
    </row>
    <row r="171" spans="2:3" hidden="1">
      <c r="B171" s="112">
        <f t="shared" si="0"/>
        <v>2048</v>
      </c>
      <c r="C171" s="113">
        <f>[11]С2.5!$AG$11</f>
        <v>0</v>
      </c>
    </row>
    <row r="172" spans="2:3" hidden="1">
      <c r="B172" s="112">
        <f t="shared" si="0"/>
        <v>2049</v>
      </c>
      <c r="C172" s="113">
        <f>[11]С2.5!$AH$11</f>
        <v>0</v>
      </c>
    </row>
    <row r="173" spans="2:3" hidden="1">
      <c r="B173" s="112">
        <f t="shared" si="0"/>
        <v>2050</v>
      </c>
      <c r="C173" s="113">
        <f>[11]С2.5!$AI$11</f>
        <v>0</v>
      </c>
    </row>
    <row r="174" spans="2:3" hidden="1">
      <c r="B174" s="112">
        <f t="shared" si="0"/>
        <v>2051</v>
      </c>
      <c r="C174" s="113">
        <f>[11]С2.5!$AJ$11</f>
        <v>0</v>
      </c>
    </row>
    <row r="175" spans="2:3" hidden="1">
      <c r="B175" s="112">
        <f t="shared" si="0"/>
        <v>2052</v>
      </c>
      <c r="C175" s="113">
        <f>[11]С2.5!$AK$11</f>
        <v>0</v>
      </c>
    </row>
    <row r="176" spans="2:3" hidden="1">
      <c r="B176" s="112">
        <f t="shared" si="0"/>
        <v>2053</v>
      </c>
      <c r="C176" s="113">
        <f>[11]С2.5!$AL$11</f>
        <v>0</v>
      </c>
    </row>
    <row r="177" spans="2:3" hidden="1">
      <c r="B177" s="112">
        <f t="shared" si="0"/>
        <v>2054</v>
      </c>
      <c r="C177" s="113">
        <f>[11]С2.5!$AM$11</f>
        <v>0</v>
      </c>
    </row>
    <row r="178" spans="2:3" hidden="1">
      <c r="B178" s="112">
        <f t="shared" si="0"/>
        <v>2055</v>
      </c>
      <c r="C178" s="113">
        <f>[11]С2.5!$AN$11</f>
        <v>0</v>
      </c>
    </row>
    <row r="179" spans="2:3" hidden="1">
      <c r="B179" s="112">
        <f t="shared" si="0"/>
        <v>2056</v>
      </c>
      <c r="C179" s="113">
        <f>[11]С2.5!$AO$11</f>
        <v>0</v>
      </c>
    </row>
    <row r="180" spans="2:3" hidden="1">
      <c r="B180" s="112">
        <f t="shared" si="0"/>
        <v>2057</v>
      </c>
      <c r="C180" s="113">
        <f>[11]С2.5!$AP$11</f>
        <v>0</v>
      </c>
    </row>
    <row r="181" spans="2:3" hidden="1">
      <c r="B181" s="112">
        <f t="shared" si="0"/>
        <v>2058</v>
      </c>
      <c r="C181" s="113">
        <f>[11]С2.5!$AQ$11</f>
        <v>0</v>
      </c>
    </row>
    <row r="182" spans="2:3" hidden="1">
      <c r="B182" s="112">
        <f t="shared" si="0"/>
        <v>2059</v>
      </c>
      <c r="C182" s="113">
        <f>[11]С2.5!$AR$11</f>
        <v>0</v>
      </c>
    </row>
    <row r="183" spans="2:3" hidden="1">
      <c r="B183" s="112">
        <f t="shared" si="0"/>
        <v>2060</v>
      </c>
      <c r="C183" s="113">
        <f>[11]С2.5!$AS$11</f>
        <v>0</v>
      </c>
    </row>
    <row r="184" spans="2:3" hidden="1">
      <c r="B184" s="112">
        <f t="shared" si="0"/>
        <v>2061</v>
      </c>
      <c r="C184" s="113">
        <f>[11]С2.5!$AT$11</f>
        <v>0</v>
      </c>
    </row>
    <row r="185" spans="2:3" hidden="1">
      <c r="B185" s="112">
        <f t="shared" si="0"/>
        <v>2062</v>
      </c>
      <c r="C185" s="113">
        <f>[11]С2.5!$AU$11</f>
        <v>0</v>
      </c>
    </row>
    <row r="186" spans="2:3" hidden="1">
      <c r="B186" s="112">
        <f t="shared" si="0"/>
        <v>2063</v>
      </c>
      <c r="C186" s="113">
        <f>[11]С2.5!$AV$11</f>
        <v>0</v>
      </c>
    </row>
    <row r="187" spans="2:3" hidden="1">
      <c r="B187" s="112">
        <f t="shared" si="0"/>
        <v>2064</v>
      </c>
      <c r="C187" s="113">
        <f>[11]С2.5!$AW$11</f>
        <v>0</v>
      </c>
    </row>
    <row r="188" spans="2:3" hidden="1">
      <c r="B188" s="112">
        <f t="shared" si="0"/>
        <v>2065</v>
      </c>
      <c r="C188" s="113">
        <f>[11]С2.5!$AX$11</f>
        <v>0</v>
      </c>
    </row>
    <row r="189" spans="2:3" hidden="1">
      <c r="B189" s="112">
        <f t="shared" si="0"/>
        <v>2066</v>
      </c>
      <c r="C189" s="113">
        <f>[11]С2.5!$AY$11</f>
        <v>0</v>
      </c>
    </row>
    <row r="190" spans="2:3" hidden="1">
      <c r="B190" s="112">
        <f t="shared" si="0"/>
        <v>2067</v>
      </c>
      <c r="C190" s="113">
        <f>[11]С2.5!$AZ$11</f>
        <v>0</v>
      </c>
    </row>
    <row r="191" spans="2:3" hidden="1">
      <c r="B191" s="112">
        <f t="shared" si="0"/>
        <v>2068</v>
      </c>
      <c r="C191" s="113">
        <f>[11]С2.5!$BA$11</f>
        <v>0</v>
      </c>
    </row>
    <row r="192" spans="2:3" hidden="1">
      <c r="B192" s="112">
        <f t="shared" si="0"/>
        <v>2069</v>
      </c>
      <c r="C192" s="113">
        <f>[11]С2.5!$BB$11</f>
        <v>0</v>
      </c>
    </row>
    <row r="193" spans="2:3" hidden="1">
      <c r="B193" s="112">
        <f t="shared" si="0"/>
        <v>2070</v>
      </c>
      <c r="C193" s="113">
        <f>[11]С2.5!$BC$11</f>
        <v>0</v>
      </c>
    </row>
    <row r="194" spans="2:3" hidden="1">
      <c r="B194" s="112">
        <f t="shared" si="0"/>
        <v>2071</v>
      </c>
      <c r="C194" s="113">
        <f>[11]С2.5!$BD$11</f>
        <v>0</v>
      </c>
    </row>
    <row r="195" spans="2:3" hidden="1">
      <c r="B195" s="112">
        <f t="shared" si="0"/>
        <v>2072</v>
      </c>
      <c r="C195" s="113">
        <f>[11]С2.5!$BE$11</f>
        <v>0</v>
      </c>
    </row>
    <row r="196" spans="2:3" hidden="1">
      <c r="B196" s="112">
        <f t="shared" si="0"/>
        <v>2073</v>
      </c>
      <c r="C196" s="113">
        <f>[11]С2.5!$BF$11</f>
        <v>0</v>
      </c>
    </row>
    <row r="197" spans="2:3" hidden="1">
      <c r="B197" s="112">
        <f t="shared" si="0"/>
        <v>2074</v>
      </c>
      <c r="C197" s="113">
        <f>[11]С2.5!$BG$11</f>
        <v>0</v>
      </c>
    </row>
    <row r="198" spans="2:3" hidden="1">
      <c r="B198" s="112">
        <f t="shared" si="0"/>
        <v>2075</v>
      </c>
      <c r="C198" s="113">
        <f>[11]С2.5!$BH$11</f>
        <v>0</v>
      </c>
    </row>
    <row r="199" spans="2:3" hidden="1">
      <c r="B199" s="112">
        <f t="shared" si="0"/>
        <v>2076</v>
      </c>
      <c r="C199" s="113">
        <f>[11]С2.5!$BI$11</f>
        <v>0</v>
      </c>
    </row>
    <row r="200" spans="2:3" hidden="1">
      <c r="B200" s="112">
        <f t="shared" si="0"/>
        <v>2077</v>
      </c>
      <c r="C200" s="113">
        <f>[11]С2.5!$BJ$11</f>
        <v>0</v>
      </c>
    </row>
    <row r="201" spans="2:3" hidden="1">
      <c r="B201" s="112">
        <f t="shared" si="0"/>
        <v>2078</v>
      </c>
      <c r="C201" s="113">
        <f>[11]С2.5!$BK$11</f>
        <v>0</v>
      </c>
    </row>
    <row r="202" spans="2:3" hidden="1">
      <c r="B202" s="112">
        <f t="shared" si="0"/>
        <v>2079</v>
      </c>
      <c r="C202" s="113">
        <f>[11]С2.5!$BL$11</f>
        <v>0</v>
      </c>
    </row>
    <row r="203" spans="2:3" hidden="1">
      <c r="B203" s="112">
        <f t="shared" si="0"/>
        <v>2080</v>
      </c>
      <c r="C203" s="113">
        <f>[11]С2.5!$BM$11</f>
        <v>0</v>
      </c>
    </row>
    <row r="204" spans="2:3" hidden="1">
      <c r="B204" s="112">
        <f t="shared" si="0"/>
        <v>2081</v>
      </c>
      <c r="C204" s="113">
        <f>[11]С2.5!$BN$11</f>
        <v>0</v>
      </c>
    </row>
    <row r="205" spans="2:3" hidden="1">
      <c r="B205" s="112">
        <f t="shared" si="0"/>
        <v>2082</v>
      </c>
      <c r="C205" s="113">
        <f>[11]С2.5!$BO$11</f>
        <v>0</v>
      </c>
    </row>
    <row r="206" spans="2:3" hidden="1">
      <c r="B206" s="112">
        <f t="shared" si="0"/>
        <v>2083</v>
      </c>
      <c r="C206" s="113">
        <f>[11]С2.5!$BP$11</f>
        <v>0</v>
      </c>
    </row>
    <row r="207" spans="2:3" hidden="1">
      <c r="B207" s="112">
        <f t="shared" si="0"/>
        <v>2084</v>
      </c>
      <c r="C207" s="113">
        <f>[11]С2.5!$BQ$11</f>
        <v>0</v>
      </c>
    </row>
    <row r="208" spans="2:3" hidden="1">
      <c r="B208" s="112">
        <f t="shared" si="0"/>
        <v>2085</v>
      </c>
      <c r="C208" s="113">
        <f>[11]С2.5!$BR$11</f>
        <v>0</v>
      </c>
    </row>
    <row r="209" spans="2:3" hidden="1">
      <c r="B209" s="112">
        <f t="shared" ref="B209:B223" si="1">B208+1</f>
        <v>2086</v>
      </c>
      <c r="C209" s="113">
        <f>[11]С2.5!$BS$11</f>
        <v>0</v>
      </c>
    </row>
    <row r="210" spans="2:3" hidden="1">
      <c r="B210" s="112">
        <f t="shared" si="1"/>
        <v>2087</v>
      </c>
      <c r="C210" s="113">
        <f>[11]С2.5!$BT$11</f>
        <v>0</v>
      </c>
    </row>
    <row r="211" spans="2:3" hidden="1">
      <c r="B211" s="112">
        <f t="shared" si="1"/>
        <v>2088</v>
      </c>
      <c r="C211" s="113">
        <f>[11]С2.5!$BU$11</f>
        <v>0</v>
      </c>
    </row>
    <row r="212" spans="2:3" hidden="1">
      <c r="B212" s="112">
        <f t="shared" si="1"/>
        <v>2089</v>
      </c>
      <c r="C212" s="113">
        <f>[11]С2.5!$BV$11</f>
        <v>0</v>
      </c>
    </row>
    <row r="213" spans="2:3" hidden="1">
      <c r="B213" s="112">
        <f t="shared" si="1"/>
        <v>2090</v>
      </c>
      <c r="C213" s="113">
        <f>[11]С2.5!$BW$11</f>
        <v>0</v>
      </c>
    </row>
    <row r="214" spans="2:3" hidden="1">
      <c r="B214" s="112">
        <f t="shared" si="1"/>
        <v>2091</v>
      </c>
      <c r="C214" s="113">
        <f>[11]С2.5!$BX$11</f>
        <v>0</v>
      </c>
    </row>
    <row r="215" spans="2:3" hidden="1">
      <c r="B215" s="112">
        <f t="shared" si="1"/>
        <v>2092</v>
      </c>
      <c r="C215" s="113">
        <f>[11]С2.5!$BY$11</f>
        <v>0</v>
      </c>
    </row>
    <row r="216" spans="2:3" hidden="1">
      <c r="B216" s="112">
        <f t="shared" si="1"/>
        <v>2093</v>
      </c>
      <c r="C216" s="113">
        <f>[11]С2.5!$BZ$11</f>
        <v>0</v>
      </c>
    </row>
    <row r="217" spans="2:3" hidden="1">
      <c r="B217" s="112">
        <f t="shared" si="1"/>
        <v>2094</v>
      </c>
      <c r="C217" s="113">
        <f>[11]С2.5!$CA$11</f>
        <v>0</v>
      </c>
    </row>
    <row r="218" spans="2:3" hidden="1">
      <c r="B218" s="112">
        <f t="shared" si="1"/>
        <v>2095</v>
      </c>
      <c r="C218" s="113">
        <f>[11]С2.5!$CB$11</f>
        <v>0</v>
      </c>
    </row>
    <row r="219" spans="2:3" hidden="1">
      <c r="B219" s="112">
        <f t="shared" si="1"/>
        <v>2096</v>
      </c>
      <c r="C219" s="113">
        <f>[11]С2.5!$CC$11</f>
        <v>0</v>
      </c>
    </row>
    <row r="220" spans="2:3" hidden="1">
      <c r="B220" s="112">
        <f t="shared" si="1"/>
        <v>2097</v>
      </c>
      <c r="C220" s="113">
        <f>[11]С2.5!$CD$11</f>
        <v>0</v>
      </c>
    </row>
    <row r="221" spans="2:3" hidden="1">
      <c r="B221" s="112">
        <f t="shared" si="1"/>
        <v>2098</v>
      </c>
      <c r="C221" s="113">
        <f>[11]С2.5!$CE$11</f>
        <v>0</v>
      </c>
    </row>
    <row r="222" spans="2:3" hidden="1">
      <c r="B222" s="112">
        <f t="shared" si="1"/>
        <v>2099</v>
      </c>
      <c r="C222" s="113">
        <f>[11]С2.5!$CF$11</f>
        <v>0</v>
      </c>
    </row>
    <row r="223" spans="2:3" ht="13.5" hidden="1" thickBot="1">
      <c r="B223" s="114">
        <f t="shared" si="1"/>
        <v>2100</v>
      </c>
      <c r="C223" s="115">
        <f>[11]С2.5!$CG$11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[12]И1!D13</f>
        <v>Субъект Российской Федерации</v>
      </c>
      <c r="C4" s="10" t="str">
        <f>[12]И1!E13</f>
        <v>Новосибирская область</v>
      </c>
    </row>
    <row r="5" spans="1:3">
      <c r="A5" s="8"/>
      <c r="B5" s="9" t="str">
        <f>[12]И1!D14</f>
        <v>Тип муниципального образования (выберите из списка)</v>
      </c>
      <c r="C5" s="10" t="str">
        <f>[12]И1!E14</f>
        <v>село Зоново</v>
      </c>
    </row>
    <row r="6" spans="1:3">
      <c r="A6" s="8"/>
      <c r="B6" s="9" t="str">
        <f>IF([12]И1!E15="","",[12]И1!D15)</f>
        <v/>
      </c>
      <c r="C6" s="10" t="str">
        <f>IF([12]И1!E15="","",[12]И1!E15)</f>
        <v/>
      </c>
    </row>
    <row r="7" spans="1:3">
      <c r="A7" s="8"/>
      <c r="B7" s="9" t="str">
        <f>[12]И1!D16</f>
        <v>Код ОКТМО</v>
      </c>
      <c r="C7" s="11" t="str">
        <f>[12]И1!E16</f>
        <v>50630419101</v>
      </c>
    </row>
    <row r="8" spans="1:3">
      <c r="A8" s="8"/>
      <c r="B8" s="12" t="str">
        <f>[12]И1!D17</f>
        <v>Система теплоснабжения</v>
      </c>
      <c r="C8" s="13">
        <f>[12]И1!E17</f>
        <v>0</v>
      </c>
    </row>
    <row r="9" spans="1:3">
      <c r="A9" s="8"/>
      <c r="B9" s="9" t="str">
        <f>[12]И1!D8</f>
        <v>Период регулирования (i)-й</v>
      </c>
      <c r="C9" s="14">
        <f>[12]И1!E8</f>
        <v>2023</v>
      </c>
    </row>
    <row r="10" spans="1:3">
      <c r="A10" s="8"/>
      <c r="B10" s="9" t="str">
        <f>[12]И1!D9</f>
        <v>Период регулирования (i-1)-й</v>
      </c>
      <c r="C10" s="14">
        <f>[12]И1!E9</f>
        <v>2022</v>
      </c>
    </row>
    <row r="11" spans="1:3">
      <c r="A11" s="8"/>
      <c r="B11" s="9" t="str">
        <f>[12]И1!D10</f>
        <v>Период регулирования (i-2)-й</v>
      </c>
      <c r="C11" s="14">
        <f>[12]И1!E10</f>
        <v>2021</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4171.5470995771102</v>
      </c>
    </row>
    <row r="18" spans="1:3" ht="42.75">
      <c r="A18" s="22" t="s">
        <v>8</v>
      </c>
      <c r="B18" s="25" t="s">
        <v>9</v>
      </c>
      <c r="C18" s="26">
        <f>[12]С1!F12</f>
        <v>973.78061464791028</v>
      </c>
    </row>
    <row r="19" spans="1:3" ht="42.75">
      <c r="A19" s="22" t="s">
        <v>10</v>
      </c>
      <c r="B19" s="25" t="s">
        <v>11</v>
      </c>
      <c r="C19" s="26">
        <f>[12]С2!F12</f>
        <v>2116.2031761890698</v>
      </c>
    </row>
    <row r="20" spans="1:3" ht="30">
      <c r="A20" s="22" t="s">
        <v>12</v>
      </c>
      <c r="B20" s="25" t="s">
        <v>13</v>
      </c>
      <c r="C20" s="26">
        <f>[12]С3!F12</f>
        <v>506.5368696227419</v>
      </c>
    </row>
    <row r="21" spans="1:3" ht="42.75">
      <c r="A21" s="22" t="s">
        <v>14</v>
      </c>
      <c r="B21" s="25" t="s">
        <v>15</v>
      </c>
      <c r="C21" s="26">
        <f>[12]С4!F12</f>
        <v>493.23139794920917</v>
      </c>
    </row>
    <row r="22" spans="1:3" ht="30">
      <c r="A22" s="22" t="s">
        <v>16</v>
      </c>
      <c r="B22" s="25" t="s">
        <v>17</v>
      </c>
      <c r="C22" s="26">
        <f>[12]С5!F12</f>
        <v>81.795041168178628</v>
      </c>
    </row>
    <row r="23" spans="1:3" ht="43.5" thickBot="1">
      <c r="A23" s="27" t="s">
        <v>18</v>
      </c>
      <c r="B23" s="28" t="s">
        <v>19</v>
      </c>
      <c r="C23" s="29" t="str">
        <f>[12]С6!F12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[12]С1.1!E16</f>
        <v>5100</v>
      </c>
    </row>
    <row r="29" spans="1:3" ht="42.75">
      <c r="A29" s="22" t="s">
        <v>10</v>
      </c>
      <c r="B29" s="34" t="s">
        <v>22</v>
      </c>
      <c r="C29" s="35">
        <f>[12]С1.1!E27</f>
        <v>2618.3333333333335</v>
      </c>
    </row>
    <row r="30" spans="1:3" ht="17.25">
      <c r="A30" s="22" t="s">
        <v>12</v>
      </c>
      <c r="B30" s="34" t="s">
        <v>23</v>
      </c>
      <c r="C30" s="36">
        <f>[12]С1.1!E19</f>
        <v>0.59499999999999997</v>
      </c>
    </row>
    <row r="31" spans="1:3" ht="17.25">
      <c r="A31" s="22" t="s">
        <v>14</v>
      </c>
      <c r="B31" s="34" t="s">
        <v>24</v>
      </c>
      <c r="C31" s="36">
        <f>[12]С1.1!E20</f>
        <v>-0.113</v>
      </c>
    </row>
    <row r="32" spans="1:3" ht="30">
      <c r="A32" s="22" t="s">
        <v>16</v>
      </c>
      <c r="B32" s="37" t="s">
        <v>25</v>
      </c>
      <c r="C32" s="38">
        <f>[12]С1!F13</f>
        <v>176.4</v>
      </c>
    </row>
    <row r="33" spans="1:3">
      <c r="A33" s="22" t="s">
        <v>18</v>
      </c>
      <c r="B33" s="37" t="s">
        <v>26</v>
      </c>
      <c r="C33" s="39">
        <f>[12]С1!F16</f>
        <v>7000</v>
      </c>
    </row>
    <row r="34" spans="1:3" ht="14.25">
      <c r="A34" s="22" t="s">
        <v>27</v>
      </c>
      <c r="B34" s="40" t="s">
        <v>28</v>
      </c>
      <c r="C34" s="41">
        <f>[12]С1!F17</f>
        <v>0.72857142857142854</v>
      </c>
    </row>
    <row r="35" spans="1:3" ht="15.75">
      <c r="A35" s="42" t="s">
        <v>29</v>
      </c>
      <c r="B35" s="43" t="s">
        <v>30</v>
      </c>
      <c r="C35" s="41">
        <f>[12]С1!F20</f>
        <v>21.588411179999994</v>
      </c>
    </row>
    <row r="36" spans="1:3" ht="15.75">
      <c r="A36" s="42" t="s">
        <v>31</v>
      </c>
      <c r="B36" s="44" t="s">
        <v>32</v>
      </c>
      <c r="C36" s="41">
        <f>[12]С1!F21</f>
        <v>20.818139999999996</v>
      </c>
    </row>
    <row r="37" spans="1:3" ht="14.25">
      <c r="A37" s="42" t="s">
        <v>33</v>
      </c>
      <c r="B37" s="45" t="s">
        <v>34</v>
      </c>
      <c r="C37" s="41">
        <f>[12]С1!F22</f>
        <v>1.0369999999999999</v>
      </c>
    </row>
    <row r="38" spans="1:3" ht="53.25" thickBot="1">
      <c r="A38" s="27" t="s">
        <v>35</v>
      </c>
      <c r="B38" s="46" t="s">
        <v>36</v>
      </c>
      <c r="C38" s="47">
        <f>[12]С1!F23</f>
        <v>1.0469999999999999</v>
      </c>
    </row>
    <row r="39" spans="1:3" ht="13.5" thickBot="1">
      <c r="A39" s="48"/>
      <c r="B39" s="49"/>
      <c r="C39" s="50"/>
    </row>
    <row r="40" spans="1:3" ht="30" customHeight="1">
      <c r="A40" s="51" t="s">
        <v>37</v>
      </c>
      <c r="B40" s="142" t="s">
        <v>38</v>
      </c>
      <c r="C40" s="142"/>
    </row>
    <row r="41" spans="1:3" ht="25.5">
      <c r="A41" s="22" t="s">
        <v>39</v>
      </c>
      <c r="B41" s="37" t="s">
        <v>40</v>
      </c>
      <c r="C41" s="52" t="str">
        <f>[12]С2.1!E12</f>
        <v>V</v>
      </c>
    </row>
    <row r="42" spans="1:3" ht="25.5">
      <c r="A42" s="22" t="s">
        <v>41</v>
      </c>
      <c r="B42" s="34" t="s">
        <v>42</v>
      </c>
      <c r="C42" s="52" t="str">
        <f>[12]С2.1!E13</f>
        <v>6 и менее баллов</v>
      </c>
    </row>
    <row r="43" spans="1:3" ht="25.5">
      <c r="A43" s="22" t="s">
        <v>43</v>
      </c>
      <c r="B43" s="34" t="s">
        <v>44</v>
      </c>
      <c r="C43" s="52" t="str">
        <f>[12]С2.1!E14</f>
        <v>от 200 до 500</v>
      </c>
    </row>
    <row r="44" spans="1:3" ht="25.5">
      <c r="A44" s="22" t="s">
        <v>45</v>
      </c>
      <c r="B44" s="34" t="s">
        <v>46</v>
      </c>
      <c r="C44" s="53" t="str">
        <f>[12]С2.1!E15</f>
        <v>нет</v>
      </c>
    </row>
    <row r="45" spans="1:3" ht="30">
      <c r="A45" s="22" t="s">
        <v>47</v>
      </c>
      <c r="B45" s="34" t="s">
        <v>48</v>
      </c>
      <c r="C45" s="35">
        <f>[12]С2!F18</f>
        <v>32402.627334033532</v>
      </c>
    </row>
    <row r="46" spans="1:3" ht="30">
      <c r="A46" s="22" t="s">
        <v>49</v>
      </c>
      <c r="B46" s="54" t="s">
        <v>50</v>
      </c>
      <c r="C46" s="35">
        <f>IF([12]С2!F19&gt;0,[12]С2!F19,[12]С2!F20)</f>
        <v>23441.524932855718</v>
      </c>
    </row>
    <row r="47" spans="1:3" ht="25.5">
      <c r="A47" s="22" t="s">
        <v>51</v>
      </c>
      <c r="B47" s="55" t="s">
        <v>52</v>
      </c>
      <c r="C47" s="35">
        <f>[12]С2.1!E19</f>
        <v>-38</v>
      </c>
    </row>
    <row r="48" spans="1:3" ht="25.5">
      <c r="A48" s="22" t="s">
        <v>53</v>
      </c>
      <c r="B48" s="55" t="s">
        <v>54</v>
      </c>
      <c r="C48" s="35" t="str">
        <f>[12]С2.1!E22</f>
        <v>нет</v>
      </c>
    </row>
    <row r="49" spans="1:3" ht="38.25">
      <c r="A49" s="22" t="s">
        <v>55</v>
      </c>
      <c r="B49" s="56" t="s">
        <v>56</v>
      </c>
      <c r="C49" s="35">
        <f>[12]С2.2!E10</f>
        <v>1287</v>
      </c>
    </row>
    <row r="50" spans="1:3" ht="25.5">
      <c r="A50" s="22" t="s">
        <v>57</v>
      </c>
      <c r="B50" s="57" t="s">
        <v>58</v>
      </c>
      <c r="C50" s="35">
        <f>[12]С2.2!E12</f>
        <v>5.97</v>
      </c>
    </row>
    <row r="51" spans="1:3" ht="52.5">
      <c r="A51" s="22" t="s">
        <v>59</v>
      </c>
      <c r="B51" s="58" t="s">
        <v>60</v>
      </c>
      <c r="C51" s="35">
        <f>[12]С2.2!E13</f>
        <v>1</v>
      </c>
    </row>
    <row r="52" spans="1:3" ht="27.75">
      <c r="A52" s="22" t="s">
        <v>61</v>
      </c>
      <c r="B52" s="57" t="s">
        <v>62</v>
      </c>
      <c r="C52" s="35">
        <f>[12]С2.2!E14</f>
        <v>12104</v>
      </c>
    </row>
    <row r="53" spans="1:3" ht="25.5">
      <c r="A53" s="22" t="s">
        <v>63</v>
      </c>
      <c r="B53" s="58" t="s">
        <v>64</v>
      </c>
      <c r="C53" s="36">
        <f>[12]С2.2!E15</f>
        <v>4.8000000000000001E-2</v>
      </c>
    </row>
    <row r="54" spans="1:3">
      <c r="A54" s="22" t="s">
        <v>65</v>
      </c>
      <c r="B54" s="58" t="s">
        <v>66</v>
      </c>
      <c r="C54" s="35">
        <f>[12]С2.2!E16</f>
        <v>1</v>
      </c>
    </row>
    <row r="55" spans="1:3" ht="15.75">
      <c r="A55" s="22" t="s">
        <v>67</v>
      </c>
      <c r="B55" s="59" t="s">
        <v>68</v>
      </c>
      <c r="C55" s="35">
        <f>[12]С2!F21</f>
        <v>1</v>
      </c>
    </row>
    <row r="56" spans="1:3" ht="30">
      <c r="A56" s="60" t="s">
        <v>69</v>
      </c>
      <c r="B56" s="34" t="s">
        <v>70</v>
      </c>
      <c r="C56" s="35">
        <f>[12]С2!F13</f>
        <v>169640.22915965237</v>
      </c>
    </row>
    <row r="57" spans="1:3" ht="30">
      <c r="A57" s="60" t="s">
        <v>71</v>
      </c>
      <c r="B57" s="59" t="s">
        <v>72</v>
      </c>
      <c r="C57" s="35">
        <f>[12]С2!F14</f>
        <v>113455</v>
      </c>
    </row>
    <row r="58" spans="1:3" ht="15.75">
      <c r="A58" s="60" t="s">
        <v>73</v>
      </c>
      <c r="B58" s="61" t="s">
        <v>74</v>
      </c>
      <c r="C58" s="41">
        <f>[12]С2!F15</f>
        <v>1.071</v>
      </c>
    </row>
    <row r="59" spans="1:3" ht="15.75">
      <c r="A59" s="60" t="s">
        <v>75</v>
      </c>
      <c r="B59" s="61" t="s">
        <v>76</v>
      </c>
      <c r="C59" s="41">
        <f>[12]С2!F16</f>
        <v>1</v>
      </c>
    </row>
    <row r="60" spans="1:3" ht="17.25">
      <c r="A60" s="60" t="s">
        <v>77</v>
      </c>
      <c r="B60" s="59" t="s">
        <v>78</v>
      </c>
      <c r="C60" s="35">
        <f>[12]С2!F17</f>
        <v>1.01</v>
      </c>
    </row>
    <row r="61" spans="1:3" s="64" customFormat="1" ht="14.25">
      <c r="A61" s="60" t="s">
        <v>79</v>
      </c>
      <c r="B61" s="62" t="s">
        <v>80</v>
      </c>
      <c r="C61" s="63">
        <f>[12]С2!F33</f>
        <v>10</v>
      </c>
    </row>
    <row r="62" spans="1:3" ht="30">
      <c r="A62" s="60" t="s">
        <v>81</v>
      </c>
      <c r="B62" s="65" t="s">
        <v>82</v>
      </c>
      <c r="C62" s="35">
        <f>[12]С2!F26</f>
        <v>2274.3932248182782</v>
      </c>
    </row>
    <row r="63" spans="1:3" ht="17.25">
      <c r="A63" s="60" t="s">
        <v>83</v>
      </c>
      <c r="B63" s="54" t="s">
        <v>84</v>
      </c>
      <c r="C63" s="35">
        <f>[12]С2!F27</f>
        <v>0.391761629</v>
      </c>
    </row>
    <row r="64" spans="1:3" ht="17.25">
      <c r="A64" s="60" t="s">
        <v>85</v>
      </c>
      <c r="B64" s="59" t="s">
        <v>86</v>
      </c>
      <c r="C64" s="63">
        <f>[12]С2!F28</f>
        <v>4200</v>
      </c>
    </row>
    <row r="65" spans="1:3" ht="42.75">
      <c r="A65" s="60" t="s">
        <v>87</v>
      </c>
      <c r="B65" s="34" t="s">
        <v>88</v>
      </c>
      <c r="C65" s="35">
        <f>[12]С2!F22</f>
        <v>35717.748653137714</v>
      </c>
    </row>
    <row r="66" spans="1:3" ht="30">
      <c r="A66" s="60" t="s">
        <v>89</v>
      </c>
      <c r="B66" s="61" t="s">
        <v>90</v>
      </c>
      <c r="C66" s="35">
        <f>[12]С2!F23</f>
        <v>1990</v>
      </c>
    </row>
    <row r="67" spans="1:3" ht="30">
      <c r="A67" s="60" t="s">
        <v>91</v>
      </c>
      <c r="B67" s="54" t="s">
        <v>92</v>
      </c>
      <c r="C67" s="35">
        <f>[12]С2.1!E27</f>
        <v>14307.876789999998</v>
      </c>
    </row>
    <row r="68" spans="1:3" ht="38.25">
      <c r="A68" s="60" t="s">
        <v>93</v>
      </c>
      <c r="B68" s="66" t="s">
        <v>94</v>
      </c>
      <c r="C68" s="53">
        <f>[12]С2.3!E21</f>
        <v>0</v>
      </c>
    </row>
    <row r="69" spans="1:3" ht="25.5">
      <c r="A69" s="60" t="s">
        <v>95</v>
      </c>
      <c r="B69" s="67" t="s">
        <v>96</v>
      </c>
      <c r="C69" s="68">
        <f>[12]С2.3!E11</f>
        <v>9.89</v>
      </c>
    </row>
    <row r="70" spans="1:3" ht="25.5">
      <c r="A70" s="60" t="s">
        <v>97</v>
      </c>
      <c r="B70" s="67" t="s">
        <v>98</v>
      </c>
      <c r="C70" s="63">
        <f>[12]С2.3!E13</f>
        <v>300</v>
      </c>
    </row>
    <row r="71" spans="1:3" ht="25.5">
      <c r="A71" s="60" t="s">
        <v>99</v>
      </c>
      <c r="B71" s="66" t="s">
        <v>100</v>
      </c>
      <c r="C71" s="69">
        <f>IF([12]С2.3!E22&gt;0,[12]С2.3!E22,[12]С2.3!E14)</f>
        <v>61211</v>
      </c>
    </row>
    <row r="72" spans="1:3" ht="38.25">
      <c r="A72" s="60" t="s">
        <v>101</v>
      </c>
      <c r="B72" s="66" t="s">
        <v>102</v>
      </c>
      <c r="C72" s="69">
        <f>IF([12]С2.3!E23&gt;0,[12]С2.3!E23,[12]С2.3!E15)</f>
        <v>45675</v>
      </c>
    </row>
    <row r="73" spans="1:3" ht="30">
      <c r="A73" s="60" t="s">
        <v>103</v>
      </c>
      <c r="B73" s="54" t="s">
        <v>104</v>
      </c>
      <c r="C73" s="35">
        <f>[12]С2.1!E28</f>
        <v>9541.9567200000001</v>
      </c>
    </row>
    <row r="74" spans="1:3" ht="38.25">
      <c r="A74" s="60" t="s">
        <v>105</v>
      </c>
      <c r="B74" s="66" t="s">
        <v>106</v>
      </c>
      <c r="C74" s="53">
        <f>[12]С2.3!E25</f>
        <v>0</v>
      </c>
    </row>
    <row r="75" spans="1:3" ht="25.5">
      <c r="A75" s="60" t="s">
        <v>107</v>
      </c>
      <c r="B75" s="67" t="s">
        <v>108</v>
      </c>
      <c r="C75" s="68">
        <f>[12]С2.3!E12</f>
        <v>0.56000000000000005</v>
      </c>
    </row>
    <row r="76" spans="1:3" ht="25.5">
      <c r="A76" s="60" t="s">
        <v>109</v>
      </c>
      <c r="B76" s="67" t="s">
        <v>98</v>
      </c>
      <c r="C76" s="63">
        <f>[12]С2.3!E13</f>
        <v>300</v>
      </c>
    </row>
    <row r="77" spans="1:3" ht="25.5">
      <c r="A77" s="60" t="s">
        <v>110</v>
      </c>
      <c r="B77" s="70" t="s">
        <v>111</v>
      </c>
      <c r="C77" s="69">
        <f>IF([12]С2.3!E26&gt;0,[12]С2.3!E26,[12]С2.3!E16)</f>
        <v>65637</v>
      </c>
    </row>
    <row r="78" spans="1:3" ht="38.25">
      <c r="A78" s="60" t="s">
        <v>112</v>
      </c>
      <c r="B78" s="70" t="s">
        <v>113</v>
      </c>
      <c r="C78" s="69">
        <f>IF([12]С2.3!E27&gt;0,[12]С2.3!E27,[12]С2.3!E17)</f>
        <v>31684</v>
      </c>
    </row>
    <row r="79" spans="1:3" ht="17.25">
      <c r="A79" s="60" t="s">
        <v>114</v>
      </c>
      <c r="B79" s="34" t="s">
        <v>115</v>
      </c>
      <c r="C79" s="36">
        <f>[12]С2!F29</f>
        <v>0.128978033685065</v>
      </c>
    </row>
    <row r="80" spans="1:3" ht="30">
      <c r="A80" s="60" t="s">
        <v>116</v>
      </c>
      <c r="B80" s="54" t="s">
        <v>117</v>
      </c>
      <c r="C80" s="71">
        <f>[12]С2!F30</f>
        <v>0.11668498168498169</v>
      </c>
    </row>
    <row r="81" spans="1:3" ht="17.25">
      <c r="A81" s="60" t="s">
        <v>118</v>
      </c>
      <c r="B81" s="72" t="s">
        <v>119</v>
      </c>
      <c r="C81" s="36">
        <f>[12]С2!F31</f>
        <v>0.13880000000000001</v>
      </c>
    </row>
    <row r="82" spans="1:3" s="64" customFormat="1" ht="18" thickBot="1">
      <c r="A82" s="73" t="s">
        <v>120</v>
      </c>
      <c r="B82" s="74" t="s">
        <v>121</v>
      </c>
      <c r="C82" s="75">
        <f>[12]С2!F32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[12]С3!F14</f>
        <v>7051.1767451401192</v>
      </c>
    </row>
    <row r="86" spans="1:3" s="64" customFormat="1" ht="42.75">
      <c r="A86" s="78" t="s">
        <v>126</v>
      </c>
      <c r="B86" s="54" t="s">
        <v>127</v>
      </c>
      <c r="C86" s="79">
        <f>[12]С3!F15</f>
        <v>0.2</v>
      </c>
    </row>
    <row r="87" spans="1:3" s="64" customFormat="1" ht="14.25">
      <c r="A87" s="78" t="s">
        <v>128</v>
      </c>
      <c r="B87" s="80" t="s">
        <v>129</v>
      </c>
      <c r="C87" s="63">
        <f>[12]С3!F18</f>
        <v>15</v>
      </c>
    </row>
    <row r="88" spans="1:3" s="64" customFormat="1" ht="17.25">
      <c r="A88" s="78" t="s">
        <v>130</v>
      </c>
      <c r="B88" s="34" t="s">
        <v>131</v>
      </c>
      <c r="C88" s="35">
        <f>[12]С3!F19</f>
        <v>3487.1555421534131</v>
      </c>
    </row>
    <row r="89" spans="1:3" s="64" customFormat="1" ht="55.5">
      <c r="A89" s="78" t="s">
        <v>132</v>
      </c>
      <c r="B89" s="54" t="s">
        <v>133</v>
      </c>
      <c r="C89" s="81">
        <f>[12]С3!F20</f>
        <v>2.1999999999999999E-2</v>
      </c>
    </row>
    <row r="90" spans="1:3" s="64" customFormat="1" ht="14.25">
      <c r="A90" s="78" t="s">
        <v>134</v>
      </c>
      <c r="B90" s="59" t="s">
        <v>80</v>
      </c>
      <c r="C90" s="63">
        <f>[12]С3!F21</f>
        <v>10</v>
      </c>
    </row>
    <row r="91" spans="1:3" s="64" customFormat="1" ht="17.25">
      <c r="A91" s="78" t="s">
        <v>135</v>
      </c>
      <c r="B91" s="34" t="s">
        <v>136</v>
      </c>
      <c r="C91" s="35">
        <f>[12]С3!F22</f>
        <v>6.8231796744548348</v>
      </c>
    </row>
    <row r="92" spans="1:3" s="64" customFormat="1" ht="55.5">
      <c r="A92" s="78" t="s">
        <v>137</v>
      </c>
      <c r="B92" s="54" t="s">
        <v>138</v>
      </c>
      <c r="C92" s="81">
        <f>[12]С3!F23</f>
        <v>3.0000000000000001E-3</v>
      </c>
    </row>
    <row r="93" spans="1:3" s="64" customFormat="1" ht="27.75" thickBot="1">
      <c r="A93" s="82" t="s">
        <v>139</v>
      </c>
      <c r="B93" s="83" t="s">
        <v>140</v>
      </c>
      <c r="C93" s="84">
        <f>[12]С3!F24</f>
        <v>2274.3932248182782</v>
      </c>
    </row>
    <row r="94" spans="1:3" ht="13.5" thickBot="1">
      <c r="A94" s="48"/>
      <c r="B94" s="76"/>
      <c r="C94" s="15"/>
    </row>
    <row r="95" spans="1:3" ht="30" customHeight="1">
      <c r="A95" s="85" t="s">
        <v>141</v>
      </c>
      <c r="B95" s="142" t="s">
        <v>142</v>
      </c>
      <c r="C95" s="142"/>
    </row>
    <row r="96" spans="1:3" ht="30">
      <c r="A96" s="60" t="s">
        <v>143</v>
      </c>
      <c r="B96" s="34" t="s">
        <v>144</v>
      </c>
      <c r="C96" s="35">
        <f>[12]С4!F16</f>
        <v>1652.5</v>
      </c>
    </row>
    <row r="97" spans="1:3" ht="30">
      <c r="A97" s="60" t="s">
        <v>145</v>
      </c>
      <c r="B97" s="59" t="s">
        <v>146</v>
      </c>
      <c r="C97" s="35">
        <f>[12]С4!F17</f>
        <v>73547</v>
      </c>
    </row>
    <row r="98" spans="1:3" ht="17.25">
      <c r="A98" s="60" t="s">
        <v>147</v>
      </c>
      <c r="B98" s="59" t="s">
        <v>148</v>
      </c>
      <c r="C98" s="41">
        <f>[12]С4!F18</f>
        <v>0.02</v>
      </c>
    </row>
    <row r="99" spans="1:3" ht="30">
      <c r="A99" s="60" t="s">
        <v>149</v>
      </c>
      <c r="B99" s="59" t="s">
        <v>150</v>
      </c>
      <c r="C99" s="35">
        <f>[12]С4!F19</f>
        <v>12104</v>
      </c>
    </row>
    <row r="100" spans="1:3" ht="31.5">
      <c r="A100" s="60" t="s">
        <v>151</v>
      </c>
      <c r="B100" s="59" t="s">
        <v>152</v>
      </c>
      <c r="C100" s="41">
        <f>[12]С4!F20</f>
        <v>1.4999999999999999E-2</v>
      </c>
    </row>
    <row r="101" spans="1:3" ht="30">
      <c r="A101" s="60" t="s">
        <v>153</v>
      </c>
      <c r="B101" s="34" t="s">
        <v>154</v>
      </c>
      <c r="C101" s="35">
        <f>[12]С4!F21</f>
        <v>1933.1949342509995</v>
      </c>
    </row>
    <row r="102" spans="1:3" ht="24" customHeight="1">
      <c r="A102" s="60" t="s">
        <v>155</v>
      </c>
      <c r="B102" s="54" t="s">
        <v>156</v>
      </c>
      <c r="C102" s="86">
        <f>IF([12]С4.2!F8="да",[12]С4.2!D21,[12]С4.2!D15)</f>
        <v>0</v>
      </c>
    </row>
    <row r="103" spans="1:3" ht="68.25">
      <c r="A103" s="60" t="s">
        <v>157</v>
      </c>
      <c r="B103" s="54" t="s">
        <v>158</v>
      </c>
      <c r="C103" s="35">
        <f>[12]С4!F22</f>
        <v>3.6112641666666665</v>
      </c>
    </row>
    <row r="104" spans="1:3" ht="30">
      <c r="A104" s="60" t="s">
        <v>159</v>
      </c>
      <c r="B104" s="59" t="s">
        <v>160</v>
      </c>
      <c r="C104" s="35">
        <f>[12]С4!F23</f>
        <v>180</v>
      </c>
    </row>
    <row r="105" spans="1:3" ht="14.25">
      <c r="A105" s="60" t="s">
        <v>161</v>
      </c>
      <c r="B105" s="54" t="s">
        <v>162</v>
      </c>
      <c r="C105" s="35">
        <f>[12]С4!F24</f>
        <v>8497.1999999999989</v>
      </c>
    </row>
    <row r="106" spans="1:3" ht="14.25">
      <c r="A106" s="60" t="s">
        <v>163</v>
      </c>
      <c r="B106" s="59" t="s">
        <v>164</v>
      </c>
      <c r="C106" s="41">
        <f>[12]С4!F25</f>
        <v>0.35</v>
      </c>
    </row>
    <row r="107" spans="1:3" ht="17.25">
      <c r="A107" s="60" t="s">
        <v>165</v>
      </c>
      <c r="B107" s="34" t="s">
        <v>166</v>
      </c>
      <c r="C107" s="35">
        <f>[12]С4!F26</f>
        <v>63.499980000000001</v>
      </c>
    </row>
    <row r="108" spans="1:3" ht="25.5">
      <c r="A108" s="60" t="s">
        <v>167</v>
      </c>
      <c r="B108" s="54" t="s">
        <v>94</v>
      </c>
      <c r="C108" s="86">
        <f>[12]С4.3!E16</f>
        <v>0</v>
      </c>
    </row>
    <row r="109" spans="1:3" ht="25.5">
      <c r="A109" s="60" t="s">
        <v>168</v>
      </c>
      <c r="B109" s="54" t="s">
        <v>169</v>
      </c>
      <c r="C109" s="35">
        <f>[12]С4.3!E17</f>
        <v>17.18</v>
      </c>
    </row>
    <row r="110" spans="1:3" ht="38.25">
      <c r="A110" s="60" t="s">
        <v>170</v>
      </c>
      <c r="B110" s="54" t="s">
        <v>106</v>
      </c>
      <c r="C110" s="86">
        <f>[12]С4.3!E18</f>
        <v>0</v>
      </c>
    </row>
    <row r="111" spans="1:3">
      <c r="A111" s="60" t="s">
        <v>171</v>
      </c>
      <c r="B111" s="54" t="s">
        <v>172</v>
      </c>
      <c r="C111" s="35">
        <f>[12]С4.3!E19</f>
        <v>15.93</v>
      </c>
    </row>
    <row r="112" spans="1:3">
      <c r="A112" s="60" t="s">
        <v>173</v>
      </c>
      <c r="B112" s="59" t="s">
        <v>174</v>
      </c>
      <c r="C112" s="35">
        <f>[12]С4.3!E11</f>
        <v>1871</v>
      </c>
    </row>
    <row r="113" spans="1:3">
      <c r="A113" s="60" t="s">
        <v>175</v>
      </c>
      <c r="B113" s="59" t="s">
        <v>176</v>
      </c>
      <c r="C113" s="53">
        <f>[12]С4.3!E12</f>
        <v>1636</v>
      </c>
    </row>
    <row r="114" spans="1:3">
      <c r="A114" s="60" t="s">
        <v>177</v>
      </c>
      <c r="B114" s="59" t="s">
        <v>178</v>
      </c>
      <c r="C114" s="53">
        <f>[12]С4.3!E13</f>
        <v>204</v>
      </c>
    </row>
    <row r="115" spans="1:3" ht="30">
      <c r="A115" s="60" t="s">
        <v>179</v>
      </c>
      <c r="B115" s="34" t="s">
        <v>180</v>
      </c>
      <c r="C115" s="35">
        <f>[12]С4!F27</f>
        <v>2164.8316773434499</v>
      </c>
    </row>
    <row r="116" spans="1:3" ht="25.5">
      <c r="A116" s="60" t="s">
        <v>181</v>
      </c>
      <c r="B116" s="54" t="s">
        <v>182</v>
      </c>
      <c r="C116" s="35">
        <f>[12]С4!F28</f>
        <v>1662.6971408167815</v>
      </c>
    </row>
    <row r="117" spans="1:3" ht="42.75">
      <c r="A117" s="60" t="s">
        <v>183</v>
      </c>
      <c r="B117" s="54" t="s">
        <v>184</v>
      </c>
      <c r="C117" s="35">
        <f>[12]С4!F29</f>
        <v>502.13453652666817</v>
      </c>
    </row>
    <row r="118" spans="1:3" ht="30">
      <c r="A118" s="60" t="s">
        <v>185</v>
      </c>
      <c r="B118" s="40" t="s">
        <v>186</v>
      </c>
      <c r="C118" s="35">
        <f>[12]С4!F30</f>
        <v>2231.5783107009515</v>
      </c>
    </row>
    <row r="119" spans="1:3" ht="42.75">
      <c r="A119" s="60" t="s">
        <v>187</v>
      </c>
      <c r="B119" s="87" t="s">
        <v>188</v>
      </c>
      <c r="C119" s="35">
        <f>[12]С4!F33</f>
        <v>1436.1017625518371</v>
      </c>
    </row>
    <row r="120" spans="1:3" ht="30">
      <c r="A120" s="60" t="s">
        <v>189</v>
      </c>
      <c r="B120" s="88" t="s">
        <v>190</v>
      </c>
      <c r="C120" s="35">
        <f>[12]С4!F35</f>
        <v>17.040680999999999</v>
      </c>
    </row>
    <row r="121" spans="1:3" ht="14.25">
      <c r="A121" s="60" t="s">
        <v>191</v>
      </c>
      <c r="B121" s="57" t="s">
        <v>192</v>
      </c>
      <c r="C121" s="35">
        <f>[12]С4!F36</f>
        <v>14319.9</v>
      </c>
    </row>
    <row r="122" spans="1:3" ht="28.5" thickBot="1">
      <c r="A122" s="73" t="s">
        <v>193</v>
      </c>
      <c r="B122" s="89" t="s">
        <v>194</v>
      </c>
      <c r="C122" s="84">
        <f>[12]С4!F37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[12]С5!F17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[12]С2!F37</f>
        <v>20.818139999999996</v>
      </c>
    </row>
    <row r="136" spans="1:3" ht="14.25">
      <c r="A136" s="60" t="s">
        <v>216</v>
      </c>
      <c r="B136" s="102" t="s">
        <v>217</v>
      </c>
      <c r="C136" s="35">
        <f>[12]С2!F38</f>
        <v>7</v>
      </c>
    </row>
    <row r="137" spans="1:3" ht="17.25">
      <c r="A137" s="60" t="s">
        <v>218</v>
      </c>
      <c r="B137" s="102" t="s">
        <v>219</v>
      </c>
      <c r="C137" s="35">
        <f>[12]С2!F40</f>
        <v>0.97</v>
      </c>
    </row>
    <row r="138" spans="1:3" ht="15" thickBot="1">
      <c r="A138" s="73" t="s">
        <v>220</v>
      </c>
      <c r="B138" s="103" t="s">
        <v>221</v>
      </c>
      <c r="C138" s="47">
        <f>[12]С2!F42</f>
        <v>0.35</v>
      </c>
    </row>
    <row r="139" spans="1:3" s="90" customFormat="1" ht="13.5" thickBot="1">
      <c r="A139" s="48"/>
      <c r="B139" s="76"/>
      <c r="C139" s="15"/>
    </row>
    <row r="140" spans="1:3" ht="30">
      <c r="A140" s="85" t="s">
        <v>222</v>
      </c>
      <c r="B140" s="104" t="s">
        <v>223</v>
      </c>
      <c r="C140" s="105">
        <f>[12]С2!F35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[12]С2.5!$E$11</f>
        <v>-2.9000000000000026E-2</v>
      </c>
    </row>
    <row r="144" spans="1:3">
      <c r="A144" s="107"/>
      <c r="B144" s="112">
        <f>B143+1</f>
        <v>2021</v>
      </c>
      <c r="C144" s="113">
        <f>[12]С2.5!$F$11</f>
        <v>0.245</v>
      </c>
    </row>
    <row r="145" spans="1:3">
      <c r="A145" s="107"/>
      <c r="B145" s="112">
        <f t="shared" ref="B145:B208" si="0">B144+1</f>
        <v>2022</v>
      </c>
      <c r="C145" s="113">
        <f>[12]С2.5!$G$11</f>
        <v>0.121</v>
      </c>
    </row>
    <row r="146" spans="1:3" ht="13.5" thickBot="1">
      <c r="A146" s="107"/>
      <c r="B146" s="114">
        <f t="shared" si="0"/>
        <v>2023</v>
      </c>
      <c r="C146" s="115">
        <f>[12]С2.5!$H$11</f>
        <v>0.02</v>
      </c>
    </row>
    <row r="147" spans="1:3" hidden="1">
      <c r="A147" s="107"/>
      <c r="B147" s="116">
        <f t="shared" si="0"/>
        <v>2024</v>
      </c>
      <c r="C147" s="117">
        <f>[12]С2.5!$I$11</f>
        <v>-2.93E-2</v>
      </c>
    </row>
    <row r="148" spans="1:3" hidden="1">
      <c r="A148" s="107"/>
      <c r="B148" s="112">
        <f t="shared" si="0"/>
        <v>2025</v>
      </c>
      <c r="C148" s="113">
        <f>[12]С2.5!$J$11</f>
        <v>0.21215960863291</v>
      </c>
    </row>
    <row r="149" spans="1:3" hidden="1">
      <c r="A149" s="107"/>
      <c r="B149" s="112">
        <f t="shared" si="0"/>
        <v>2026</v>
      </c>
      <c r="C149" s="113">
        <f>[12]С2.5!$K$11</f>
        <v>3.5813361771260002E-2</v>
      </c>
    </row>
    <row r="150" spans="1:3" hidden="1">
      <c r="A150" s="107"/>
      <c r="B150" s="112">
        <f t="shared" si="0"/>
        <v>2027</v>
      </c>
      <c r="C150" s="113">
        <f>[12]С2.5!$L$11</f>
        <v>3.2682303599220003E-2</v>
      </c>
    </row>
    <row r="151" spans="1:3" hidden="1">
      <c r="A151" s="107"/>
      <c r="B151" s="112">
        <f t="shared" si="0"/>
        <v>2028</v>
      </c>
      <c r="C151" s="113">
        <f>[12]С2.5!$M$11</f>
        <v>0</v>
      </c>
    </row>
    <row r="152" spans="1:3" hidden="1">
      <c r="A152" s="107"/>
      <c r="B152" s="112">
        <f t="shared" si="0"/>
        <v>2029</v>
      </c>
      <c r="C152" s="113">
        <f>[12]С2.5!$N$11</f>
        <v>0</v>
      </c>
    </row>
    <row r="153" spans="1:3" hidden="1">
      <c r="A153" s="107"/>
      <c r="B153" s="112">
        <f t="shared" si="0"/>
        <v>2030</v>
      </c>
      <c r="C153" s="113">
        <f>[12]С2.5!$O$11</f>
        <v>0</v>
      </c>
    </row>
    <row r="154" spans="1:3" hidden="1">
      <c r="A154" s="107"/>
      <c r="B154" s="112">
        <f t="shared" si="0"/>
        <v>2031</v>
      </c>
      <c r="C154" s="113">
        <f>[12]С2.5!$P$11</f>
        <v>0</v>
      </c>
    </row>
    <row r="155" spans="1:3" hidden="1">
      <c r="A155" s="90"/>
      <c r="B155" s="112">
        <f t="shared" si="0"/>
        <v>2032</v>
      </c>
      <c r="C155" s="113">
        <f>[12]С2.5!$Q$11</f>
        <v>0</v>
      </c>
    </row>
    <row r="156" spans="1:3" hidden="1">
      <c r="A156" s="90"/>
      <c r="B156" s="112">
        <f t="shared" si="0"/>
        <v>2033</v>
      </c>
      <c r="C156" s="113">
        <f>[12]С2.5!$R$11</f>
        <v>0</v>
      </c>
    </row>
    <row r="157" spans="1:3" hidden="1">
      <c r="B157" s="112">
        <f t="shared" si="0"/>
        <v>2034</v>
      </c>
      <c r="C157" s="113">
        <f>[12]С2.5!$S$11</f>
        <v>0</v>
      </c>
    </row>
    <row r="158" spans="1:3" hidden="1">
      <c r="B158" s="112">
        <f t="shared" si="0"/>
        <v>2035</v>
      </c>
      <c r="C158" s="113">
        <f>[12]С2.5!$T$11</f>
        <v>0</v>
      </c>
    </row>
    <row r="159" spans="1:3" hidden="1">
      <c r="B159" s="112">
        <f t="shared" si="0"/>
        <v>2036</v>
      </c>
      <c r="C159" s="113">
        <f>[12]С2.5!$U$11</f>
        <v>0</v>
      </c>
    </row>
    <row r="160" spans="1:3" hidden="1">
      <c r="B160" s="112">
        <f t="shared" si="0"/>
        <v>2037</v>
      </c>
      <c r="C160" s="113">
        <f>[12]С2.5!$V$11</f>
        <v>0</v>
      </c>
    </row>
    <row r="161" spans="2:3" hidden="1">
      <c r="B161" s="112">
        <f t="shared" si="0"/>
        <v>2038</v>
      </c>
      <c r="C161" s="113">
        <f>[12]С2.5!$W$11</f>
        <v>0</v>
      </c>
    </row>
    <row r="162" spans="2:3" hidden="1">
      <c r="B162" s="112">
        <f t="shared" si="0"/>
        <v>2039</v>
      </c>
      <c r="C162" s="113">
        <f>[12]С2.5!$X$11</f>
        <v>0</v>
      </c>
    </row>
    <row r="163" spans="2:3" hidden="1">
      <c r="B163" s="112">
        <f t="shared" si="0"/>
        <v>2040</v>
      </c>
      <c r="C163" s="113">
        <f>[12]С2.5!$Y$11</f>
        <v>0</v>
      </c>
    </row>
    <row r="164" spans="2:3" hidden="1">
      <c r="B164" s="112">
        <f t="shared" si="0"/>
        <v>2041</v>
      </c>
      <c r="C164" s="113">
        <f>[12]С2.5!$Z$11</f>
        <v>0</v>
      </c>
    </row>
    <row r="165" spans="2:3" hidden="1">
      <c r="B165" s="112">
        <f t="shared" si="0"/>
        <v>2042</v>
      </c>
      <c r="C165" s="113">
        <f>[12]С2.5!$AA$11</f>
        <v>0</v>
      </c>
    </row>
    <row r="166" spans="2:3" hidden="1">
      <c r="B166" s="112">
        <f t="shared" si="0"/>
        <v>2043</v>
      </c>
      <c r="C166" s="113">
        <f>[12]С2.5!$AB$11</f>
        <v>0</v>
      </c>
    </row>
    <row r="167" spans="2:3" hidden="1">
      <c r="B167" s="112">
        <f t="shared" si="0"/>
        <v>2044</v>
      </c>
      <c r="C167" s="113">
        <f>[12]С2.5!$AC$11</f>
        <v>0</v>
      </c>
    </row>
    <row r="168" spans="2:3" hidden="1">
      <c r="B168" s="112">
        <f t="shared" si="0"/>
        <v>2045</v>
      </c>
      <c r="C168" s="113">
        <f>[12]С2.5!$AD$11</f>
        <v>0</v>
      </c>
    </row>
    <row r="169" spans="2:3" hidden="1">
      <c r="B169" s="112">
        <f t="shared" si="0"/>
        <v>2046</v>
      </c>
      <c r="C169" s="113">
        <f>[12]С2.5!$AE$11</f>
        <v>0</v>
      </c>
    </row>
    <row r="170" spans="2:3" hidden="1">
      <c r="B170" s="112">
        <f t="shared" si="0"/>
        <v>2047</v>
      </c>
      <c r="C170" s="113">
        <f>[12]С2.5!$AF$11</f>
        <v>0</v>
      </c>
    </row>
    <row r="171" spans="2:3" hidden="1">
      <c r="B171" s="112">
        <f t="shared" si="0"/>
        <v>2048</v>
      </c>
      <c r="C171" s="113">
        <f>[12]С2.5!$AG$11</f>
        <v>0</v>
      </c>
    </row>
    <row r="172" spans="2:3" hidden="1">
      <c r="B172" s="112">
        <f t="shared" si="0"/>
        <v>2049</v>
      </c>
      <c r="C172" s="113">
        <f>[12]С2.5!$AH$11</f>
        <v>0</v>
      </c>
    </row>
    <row r="173" spans="2:3" hidden="1">
      <c r="B173" s="112">
        <f t="shared" si="0"/>
        <v>2050</v>
      </c>
      <c r="C173" s="113">
        <f>[12]С2.5!$AI$11</f>
        <v>0</v>
      </c>
    </row>
    <row r="174" spans="2:3" hidden="1">
      <c r="B174" s="112">
        <f t="shared" si="0"/>
        <v>2051</v>
      </c>
      <c r="C174" s="113">
        <f>[12]С2.5!$AJ$11</f>
        <v>0</v>
      </c>
    </row>
    <row r="175" spans="2:3" hidden="1">
      <c r="B175" s="112">
        <f t="shared" si="0"/>
        <v>2052</v>
      </c>
      <c r="C175" s="113">
        <f>[12]С2.5!$AK$11</f>
        <v>0</v>
      </c>
    </row>
    <row r="176" spans="2:3" hidden="1">
      <c r="B176" s="112">
        <f t="shared" si="0"/>
        <v>2053</v>
      </c>
      <c r="C176" s="113">
        <f>[12]С2.5!$AL$11</f>
        <v>0</v>
      </c>
    </row>
    <row r="177" spans="2:3" hidden="1">
      <c r="B177" s="112">
        <f t="shared" si="0"/>
        <v>2054</v>
      </c>
      <c r="C177" s="113">
        <f>[12]С2.5!$AM$11</f>
        <v>0</v>
      </c>
    </row>
    <row r="178" spans="2:3" hidden="1">
      <c r="B178" s="112">
        <f t="shared" si="0"/>
        <v>2055</v>
      </c>
      <c r="C178" s="113">
        <f>[12]С2.5!$AN$11</f>
        <v>0</v>
      </c>
    </row>
    <row r="179" spans="2:3" hidden="1">
      <c r="B179" s="112">
        <f t="shared" si="0"/>
        <v>2056</v>
      </c>
      <c r="C179" s="113">
        <f>[12]С2.5!$AO$11</f>
        <v>0</v>
      </c>
    </row>
    <row r="180" spans="2:3" hidden="1">
      <c r="B180" s="112">
        <f t="shared" si="0"/>
        <v>2057</v>
      </c>
      <c r="C180" s="113">
        <f>[12]С2.5!$AP$11</f>
        <v>0</v>
      </c>
    </row>
    <row r="181" spans="2:3" hidden="1">
      <c r="B181" s="112">
        <f t="shared" si="0"/>
        <v>2058</v>
      </c>
      <c r="C181" s="113">
        <f>[12]С2.5!$AQ$11</f>
        <v>0</v>
      </c>
    </row>
    <row r="182" spans="2:3" hidden="1">
      <c r="B182" s="112">
        <f t="shared" si="0"/>
        <v>2059</v>
      </c>
      <c r="C182" s="113">
        <f>[12]С2.5!$AR$11</f>
        <v>0</v>
      </c>
    </row>
    <row r="183" spans="2:3" hidden="1">
      <c r="B183" s="112">
        <f t="shared" si="0"/>
        <v>2060</v>
      </c>
      <c r="C183" s="113">
        <f>[12]С2.5!$AS$11</f>
        <v>0</v>
      </c>
    </row>
    <row r="184" spans="2:3" hidden="1">
      <c r="B184" s="112">
        <f t="shared" si="0"/>
        <v>2061</v>
      </c>
      <c r="C184" s="113">
        <f>[12]С2.5!$AT$11</f>
        <v>0</v>
      </c>
    </row>
    <row r="185" spans="2:3" hidden="1">
      <c r="B185" s="112">
        <f t="shared" si="0"/>
        <v>2062</v>
      </c>
      <c r="C185" s="113">
        <f>[12]С2.5!$AU$11</f>
        <v>0</v>
      </c>
    </row>
    <row r="186" spans="2:3" hidden="1">
      <c r="B186" s="112">
        <f t="shared" si="0"/>
        <v>2063</v>
      </c>
      <c r="C186" s="113">
        <f>[12]С2.5!$AV$11</f>
        <v>0</v>
      </c>
    </row>
    <row r="187" spans="2:3" hidden="1">
      <c r="B187" s="112">
        <f t="shared" si="0"/>
        <v>2064</v>
      </c>
      <c r="C187" s="113">
        <f>[12]С2.5!$AW$11</f>
        <v>0</v>
      </c>
    </row>
    <row r="188" spans="2:3" hidden="1">
      <c r="B188" s="112">
        <f t="shared" si="0"/>
        <v>2065</v>
      </c>
      <c r="C188" s="113">
        <f>[12]С2.5!$AX$11</f>
        <v>0</v>
      </c>
    </row>
    <row r="189" spans="2:3" hidden="1">
      <c r="B189" s="112">
        <f t="shared" si="0"/>
        <v>2066</v>
      </c>
      <c r="C189" s="113">
        <f>[12]С2.5!$AY$11</f>
        <v>0</v>
      </c>
    </row>
    <row r="190" spans="2:3" hidden="1">
      <c r="B190" s="112">
        <f t="shared" si="0"/>
        <v>2067</v>
      </c>
      <c r="C190" s="113">
        <f>[12]С2.5!$AZ$11</f>
        <v>0</v>
      </c>
    </row>
    <row r="191" spans="2:3" hidden="1">
      <c r="B191" s="112">
        <f t="shared" si="0"/>
        <v>2068</v>
      </c>
      <c r="C191" s="113">
        <f>[12]С2.5!$BA$11</f>
        <v>0</v>
      </c>
    </row>
    <row r="192" spans="2:3" hidden="1">
      <c r="B192" s="112">
        <f t="shared" si="0"/>
        <v>2069</v>
      </c>
      <c r="C192" s="113">
        <f>[12]С2.5!$BB$11</f>
        <v>0</v>
      </c>
    </row>
    <row r="193" spans="2:3" hidden="1">
      <c r="B193" s="112">
        <f t="shared" si="0"/>
        <v>2070</v>
      </c>
      <c r="C193" s="113">
        <f>[12]С2.5!$BC$11</f>
        <v>0</v>
      </c>
    </row>
    <row r="194" spans="2:3" hidden="1">
      <c r="B194" s="112">
        <f t="shared" si="0"/>
        <v>2071</v>
      </c>
      <c r="C194" s="113">
        <f>[12]С2.5!$BD$11</f>
        <v>0</v>
      </c>
    </row>
    <row r="195" spans="2:3" hidden="1">
      <c r="B195" s="112">
        <f t="shared" si="0"/>
        <v>2072</v>
      </c>
      <c r="C195" s="113">
        <f>[12]С2.5!$BE$11</f>
        <v>0</v>
      </c>
    </row>
    <row r="196" spans="2:3" hidden="1">
      <c r="B196" s="112">
        <f t="shared" si="0"/>
        <v>2073</v>
      </c>
      <c r="C196" s="113">
        <f>[12]С2.5!$BF$11</f>
        <v>0</v>
      </c>
    </row>
    <row r="197" spans="2:3" hidden="1">
      <c r="B197" s="112">
        <f t="shared" si="0"/>
        <v>2074</v>
      </c>
      <c r="C197" s="113">
        <f>[12]С2.5!$BG$11</f>
        <v>0</v>
      </c>
    </row>
    <row r="198" spans="2:3" hidden="1">
      <c r="B198" s="112">
        <f t="shared" si="0"/>
        <v>2075</v>
      </c>
      <c r="C198" s="113">
        <f>[12]С2.5!$BH$11</f>
        <v>0</v>
      </c>
    </row>
    <row r="199" spans="2:3" hidden="1">
      <c r="B199" s="112">
        <f t="shared" si="0"/>
        <v>2076</v>
      </c>
      <c r="C199" s="113">
        <f>[12]С2.5!$BI$11</f>
        <v>0</v>
      </c>
    </row>
    <row r="200" spans="2:3" hidden="1">
      <c r="B200" s="112">
        <f t="shared" si="0"/>
        <v>2077</v>
      </c>
      <c r="C200" s="113">
        <f>[12]С2.5!$BJ$11</f>
        <v>0</v>
      </c>
    </row>
    <row r="201" spans="2:3" hidden="1">
      <c r="B201" s="112">
        <f t="shared" si="0"/>
        <v>2078</v>
      </c>
      <c r="C201" s="113">
        <f>[12]С2.5!$BK$11</f>
        <v>0</v>
      </c>
    </row>
    <row r="202" spans="2:3" hidden="1">
      <c r="B202" s="112">
        <f t="shared" si="0"/>
        <v>2079</v>
      </c>
      <c r="C202" s="113">
        <f>[12]С2.5!$BL$11</f>
        <v>0</v>
      </c>
    </row>
    <row r="203" spans="2:3" hidden="1">
      <c r="B203" s="112">
        <f t="shared" si="0"/>
        <v>2080</v>
      </c>
      <c r="C203" s="113">
        <f>[12]С2.5!$BM$11</f>
        <v>0</v>
      </c>
    </row>
    <row r="204" spans="2:3" hidden="1">
      <c r="B204" s="112">
        <f t="shared" si="0"/>
        <v>2081</v>
      </c>
      <c r="C204" s="113">
        <f>[12]С2.5!$BN$11</f>
        <v>0</v>
      </c>
    </row>
    <row r="205" spans="2:3" hidden="1">
      <c r="B205" s="112">
        <f t="shared" si="0"/>
        <v>2082</v>
      </c>
      <c r="C205" s="113">
        <f>[12]С2.5!$BO$11</f>
        <v>0</v>
      </c>
    </row>
    <row r="206" spans="2:3" hidden="1">
      <c r="B206" s="112">
        <f t="shared" si="0"/>
        <v>2083</v>
      </c>
      <c r="C206" s="113">
        <f>[12]С2.5!$BP$11</f>
        <v>0</v>
      </c>
    </row>
    <row r="207" spans="2:3" hidden="1">
      <c r="B207" s="112">
        <f t="shared" si="0"/>
        <v>2084</v>
      </c>
      <c r="C207" s="113">
        <f>[12]С2.5!$BQ$11</f>
        <v>0</v>
      </c>
    </row>
    <row r="208" spans="2:3" hidden="1">
      <c r="B208" s="112">
        <f t="shared" si="0"/>
        <v>2085</v>
      </c>
      <c r="C208" s="113">
        <f>[12]С2.5!$BR$11</f>
        <v>0</v>
      </c>
    </row>
    <row r="209" spans="2:3" hidden="1">
      <c r="B209" s="112">
        <f t="shared" ref="B209:B223" si="1">B208+1</f>
        <v>2086</v>
      </c>
      <c r="C209" s="113">
        <f>[12]С2.5!$BS$11</f>
        <v>0</v>
      </c>
    </row>
    <row r="210" spans="2:3" hidden="1">
      <c r="B210" s="112">
        <f t="shared" si="1"/>
        <v>2087</v>
      </c>
      <c r="C210" s="113">
        <f>[12]С2.5!$BT$11</f>
        <v>0</v>
      </c>
    </row>
    <row r="211" spans="2:3" hidden="1">
      <c r="B211" s="112">
        <f t="shared" si="1"/>
        <v>2088</v>
      </c>
      <c r="C211" s="113">
        <f>[12]С2.5!$BU$11</f>
        <v>0</v>
      </c>
    </row>
    <row r="212" spans="2:3" hidden="1">
      <c r="B212" s="112">
        <f t="shared" si="1"/>
        <v>2089</v>
      </c>
      <c r="C212" s="113">
        <f>[12]С2.5!$BV$11</f>
        <v>0</v>
      </c>
    </row>
    <row r="213" spans="2:3" hidden="1">
      <c r="B213" s="112">
        <f t="shared" si="1"/>
        <v>2090</v>
      </c>
      <c r="C213" s="113">
        <f>[12]С2.5!$BW$11</f>
        <v>0</v>
      </c>
    </row>
    <row r="214" spans="2:3" hidden="1">
      <c r="B214" s="112">
        <f t="shared" si="1"/>
        <v>2091</v>
      </c>
      <c r="C214" s="113">
        <f>[12]С2.5!$BX$11</f>
        <v>0</v>
      </c>
    </row>
    <row r="215" spans="2:3" hidden="1">
      <c r="B215" s="112">
        <f t="shared" si="1"/>
        <v>2092</v>
      </c>
      <c r="C215" s="113">
        <f>[12]С2.5!$BY$11</f>
        <v>0</v>
      </c>
    </row>
    <row r="216" spans="2:3" hidden="1">
      <c r="B216" s="112">
        <f t="shared" si="1"/>
        <v>2093</v>
      </c>
      <c r="C216" s="113">
        <f>[12]С2.5!$BZ$11</f>
        <v>0</v>
      </c>
    </row>
    <row r="217" spans="2:3" hidden="1">
      <c r="B217" s="112">
        <f t="shared" si="1"/>
        <v>2094</v>
      </c>
      <c r="C217" s="113">
        <f>[12]С2.5!$CA$11</f>
        <v>0</v>
      </c>
    </row>
    <row r="218" spans="2:3" hidden="1">
      <c r="B218" s="112">
        <f t="shared" si="1"/>
        <v>2095</v>
      </c>
      <c r="C218" s="113">
        <f>[12]С2.5!$CB$11</f>
        <v>0</v>
      </c>
    </row>
    <row r="219" spans="2:3" hidden="1">
      <c r="B219" s="112">
        <f t="shared" si="1"/>
        <v>2096</v>
      </c>
      <c r="C219" s="113">
        <f>[12]С2.5!$CC$11</f>
        <v>0</v>
      </c>
    </row>
    <row r="220" spans="2:3" hidden="1">
      <c r="B220" s="112">
        <f t="shared" si="1"/>
        <v>2097</v>
      </c>
      <c r="C220" s="113">
        <f>[12]С2.5!$CD$11</f>
        <v>0</v>
      </c>
    </row>
    <row r="221" spans="2:3" hidden="1">
      <c r="B221" s="112">
        <f t="shared" si="1"/>
        <v>2098</v>
      </c>
      <c r="C221" s="113">
        <f>[12]С2.5!$CE$11</f>
        <v>0</v>
      </c>
    </row>
    <row r="222" spans="2:3" hidden="1">
      <c r="B222" s="112">
        <f t="shared" si="1"/>
        <v>2099</v>
      </c>
      <c r="C222" s="113">
        <f>[12]С2.5!$CF$11</f>
        <v>0</v>
      </c>
    </row>
    <row r="223" spans="2:3" ht="13.5" hidden="1" thickBot="1">
      <c r="B223" s="114">
        <f t="shared" si="1"/>
        <v>2100</v>
      </c>
      <c r="C223" s="115">
        <f>[12]С2.5!$CG$11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G1048576"/>
    </sheetView>
  </sheetViews>
  <sheetFormatPr defaultRowHeight="12.75"/>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[13]И1!D13</f>
        <v>Субъект Российской Федерации</v>
      </c>
      <c r="C4" s="10" t="str">
        <f>[13]И1!E13</f>
        <v>Новосибирская область</v>
      </c>
    </row>
    <row r="5" spans="1:3">
      <c r="A5" s="8"/>
      <c r="B5" s="9" t="str">
        <f>[13]И1!D14</f>
        <v>Тип муниципального образования (выберите из списка)</v>
      </c>
      <c r="C5" s="10" t="str">
        <f>[13]И1!E14</f>
        <v>село Кама</v>
      </c>
    </row>
    <row r="6" spans="1:3">
      <c r="A6" s="8"/>
      <c r="B6" s="9" t="str">
        <f>IF([13]И1!E15="","",[13]И1!D15)</f>
        <v/>
      </c>
      <c r="C6" s="10" t="str">
        <f>IF([13]И1!E15="","",[13]И1!E15)</f>
        <v/>
      </c>
    </row>
    <row r="7" spans="1:3">
      <c r="A7" s="8"/>
      <c r="B7" s="9" t="str">
        <f>[13]И1!D16</f>
        <v>Код ОКТМО</v>
      </c>
      <c r="C7" s="11" t="str">
        <f>[13]И1!E16</f>
        <v>50630422101</v>
      </c>
    </row>
    <row r="8" spans="1:3">
      <c r="A8" s="8"/>
      <c r="B8" s="12" t="str">
        <f>[13]И1!D17</f>
        <v>Система теплоснабжения</v>
      </c>
      <c r="C8" s="13">
        <f>[13]И1!E17</f>
        <v>0</v>
      </c>
    </row>
    <row r="9" spans="1:3">
      <c r="A9" s="8"/>
      <c r="B9" s="9" t="str">
        <f>[13]И1!D8</f>
        <v>Период регулирования (i)-й</v>
      </c>
      <c r="C9" s="14">
        <f>[13]И1!E8</f>
        <v>2023</v>
      </c>
    </row>
    <row r="10" spans="1:3">
      <c r="A10" s="8"/>
      <c r="B10" s="9" t="str">
        <f>[13]И1!D9</f>
        <v>Период регулирования (i-1)-й</v>
      </c>
      <c r="C10" s="14">
        <f>[13]И1!E9</f>
        <v>2022</v>
      </c>
    </row>
    <row r="11" spans="1:3">
      <c r="A11" s="8"/>
      <c r="B11" s="9" t="str">
        <f>[13]И1!D10</f>
        <v>Период регулирования (i-2)-й</v>
      </c>
      <c r="C11" s="14">
        <f>[13]И1!E10</f>
        <v>2021</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4203.719694676578</v>
      </c>
    </row>
    <row r="18" spans="1:3" ht="42.75">
      <c r="A18" s="22" t="s">
        <v>8</v>
      </c>
      <c r="B18" s="25" t="s">
        <v>9</v>
      </c>
      <c r="C18" s="26">
        <f>[13]С1!F12</f>
        <v>1000.9144443145</v>
      </c>
    </row>
    <row r="19" spans="1:3" ht="42.75">
      <c r="A19" s="22" t="s">
        <v>10</v>
      </c>
      <c r="B19" s="25" t="s">
        <v>11</v>
      </c>
      <c r="C19" s="26">
        <f>[13]С2!F12</f>
        <v>2116.2031761890698</v>
      </c>
    </row>
    <row r="20" spans="1:3" ht="30">
      <c r="A20" s="22" t="s">
        <v>12</v>
      </c>
      <c r="B20" s="25" t="s">
        <v>13</v>
      </c>
      <c r="C20" s="26">
        <f>[13]С3!F12</f>
        <v>506.5368696227419</v>
      </c>
    </row>
    <row r="21" spans="1:3" ht="42.75">
      <c r="A21" s="22" t="s">
        <v>14</v>
      </c>
      <c r="B21" s="25" t="s">
        <v>15</v>
      </c>
      <c r="C21" s="26">
        <f>[13]С4!F12</f>
        <v>497.63932818405914</v>
      </c>
    </row>
    <row r="22" spans="1:3" ht="30">
      <c r="A22" s="22" t="s">
        <v>16</v>
      </c>
      <c r="B22" s="25" t="s">
        <v>17</v>
      </c>
      <c r="C22" s="26">
        <f>[13]С5!F12</f>
        <v>82.425876366207419</v>
      </c>
    </row>
    <row r="23" spans="1:3" ht="43.5" thickBot="1">
      <c r="A23" s="27" t="s">
        <v>18</v>
      </c>
      <c r="B23" s="28" t="s">
        <v>19</v>
      </c>
      <c r="C23" s="29" t="str">
        <f>[13]С6!F12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[13]С1.1!E16</f>
        <v>5100</v>
      </c>
    </row>
    <row r="29" spans="1:3" ht="42.75">
      <c r="A29" s="22" t="s">
        <v>10</v>
      </c>
      <c r="B29" s="34" t="s">
        <v>22</v>
      </c>
      <c r="C29" s="35">
        <f>[13]С1.1!E27</f>
        <v>2691.291666666667</v>
      </c>
    </row>
    <row r="30" spans="1:3" ht="17.25">
      <c r="A30" s="22" t="s">
        <v>12</v>
      </c>
      <c r="B30" s="34" t="s">
        <v>23</v>
      </c>
      <c r="C30" s="36">
        <f>[13]С1.1!E19</f>
        <v>0.59499999999999997</v>
      </c>
    </row>
    <row r="31" spans="1:3" ht="17.25">
      <c r="A31" s="22" t="s">
        <v>14</v>
      </c>
      <c r="B31" s="34" t="s">
        <v>24</v>
      </c>
      <c r="C31" s="36">
        <f>[13]С1.1!E20</f>
        <v>-0.113</v>
      </c>
    </row>
    <row r="32" spans="1:3" ht="30">
      <c r="A32" s="22" t="s">
        <v>16</v>
      </c>
      <c r="B32" s="37" t="s">
        <v>25</v>
      </c>
      <c r="C32" s="38">
        <f>[13]С1!F13</f>
        <v>176.4</v>
      </c>
    </row>
    <row r="33" spans="1:3">
      <c r="A33" s="22" t="s">
        <v>18</v>
      </c>
      <c r="B33" s="37" t="s">
        <v>26</v>
      </c>
      <c r="C33" s="39">
        <f>[13]С1!F16</f>
        <v>7000</v>
      </c>
    </row>
    <row r="34" spans="1:3" ht="14.25">
      <c r="A34" s="22" t="s">
        <v>27</v>
      </c>
      <c r="B34" s="40" t="s">
        <v>28</v>
      </c>
      <c r="C34" s="41">
        <f>[13]С1!F17</f>
        <v>0.72857142857142854</v>
      </c>
    </row>
    <row r="35" spans="1:3" ht="15.75">
      <c r="A35" s="42" t="s">
        <v>29</v>
      </c>
      <c r="B35" s="43" t="s">
        <v>30</v>
      </c>
      <c r="C35" s="41">
        <f>[13]С1!F20</f>
        <v>21.588411179999994</v>
      </c>
    </row>
    <row r="36" spans="1:3" ht="15.75">
      <c r="A36" s="42" t="s">
        <v>31</v>
      </c>
      <c r="B36" s="44" t="s">
        <v>32</v>
      </c>
      <c r="C36" s="41">
        <f>[13]С1!F21</f>
        <v>20.818139999999996</v>
      </c>
    </row>
    <row r="37" spans="1:3" ht="14.25">
      <c r="A37" s="42" t="s">
        <v>33</v>
      </c>
      <c r="B37" s="45" t="s">
        <v>34</v>
      </c>
      <c r="C37" s="41">
        <f>[13]С1!F22</f>
        <v>1.0369999999999999</v>
      </c>
    </row>
    <row r="38" spans="1:3" ht="53.25" thickBot="1">
      <c r="A38" s="27" t="s">
        <v>35</v>
      </c>
      <c r="B38" s="46" t="s">
        <v>36</v>
      </c>
      <c r="C38" s="47">
        <f>[13]С1!F23</f>
        <v>1.0469999999999999</v>
      </c>
    </row>
    <row r="39" spans="1:3" ht="13.5" thickBot="1">
      <c r="A39" s="48"/>
      <c r="B39" s="49"/>
      <c r="C39" s="50"/>
    </row>
    <row r="40" spans="1:3" ht="30" customHeight="1">
      <c r="A40" s="51" t="s">
        <v>37</v>
      </c>
      <c r="B40" s="142" t="s">
        <v>38</v>
      </c>
      <c r="C40" s="142"/>
    </row>
    <row r="41" spans="1:3" ht="25.5">
      <c r="A41" s="22" t="s">
        <v>39</v>
      </c>
      <c r="B41" s="37" t="s">
        <v>40</v>
      </c>
      <c r="C41" s="52" t="str">
        <f>[13]С2.1!E12</f>
        <v>V</v>
      </c>
    </row>
    <row r="42" spans="1:3" ht="25.5">
      <c r="A42" s="22" t="s">
        <v>41</v>
      </c>
      <c r="B42" s="34" t="s">
        <v>42</v>
      </c>
      <c r="C42" s="52" t="str">
        <f>[13]С2.1!E13</f>
        <v>6 и менее баллов</v>
      </c>
    </row>
    <row r="43" spans="1:3" ht="25.5">
      <c r="A43" s="22" t="s">
        <v>43</v>
      </c>
      <c r="B43" s="34" t="s">
        <v>44</v>
      </c>
      <c r="C43" s="52" t="str">
        <f>[13]С2.1!E14</f>
        <v>от 200 до 500</v>
      </c>
    </row>
    <row r="44" spans="1:3" ht="25.5">
      <c r="A44" s="22" t="s">
        <v>45</v>
      </c>
      <c r="B44" s="34" t="s">
        <v>46</v>
      </c>
      <c r="C44" s="53" t="str">
        <f>[13]С2.1!E15</f>
        <v>нет</v>
      </c>
    </row>
    <row r="45" spans="1:3" ht="30">
      <c r="A45" s="22" t="s">
        <v>47</v>
      </c>
      <c r="B45" s="34" t="s">
        <v>48</v>
      </c>
      <c r="C45" s="35">
        <f>[13]С2!F18</f>
        <v>32402.627334033532</v>
      </c>
    </row>
    <row r="46" spans="1:3" ht="30">
      <c r="A46" s="22" t="s">
        <v>49</v>
      </c>
      <c r="B46" s="54" t="s">
        <v>50</v>
      </c>
      <c r="C46" s="35">
        <f>IF([13]С2!F19&gt;0,[13]С2!F19,[13]С2!F20)</f>
        <v>23441.524932855718</v>
      </c>
    </row>
    <row r="47" spans="1:3" ht="25.5">
      <c r="A47" s="22" t="s">
        <v>51</v>
      </c>
      <c r="B47" s="55" t="s">
        <v>52</v>
      </c>
      <c r="C47" s="35">
        <f>[13]С2.1!E19</f>
        <v>-38</v>
      </c>
    </row>
    <row r="48" spans="1:3" ht="25.5">
      <c r="A48" s="22" t="s">
        <v>53</v>
      </c>
      <c r="B48" s="55" t="s">
        <v>54</v>
      </c>
      <c r="C48" s="35" t="str">
        <f>[13]С2.1!E22</f>
        <v>нет</v>
      </c>
    </row>
    <row r="49" spans="1:3" ht="38.25">
      <c r="A49" s="22" t="s">
        <v>55</v>
      </c>
      <c r="B49" s="56" t="s">
        <v>56</v>
      </c>
      <c r="C49" s="35">
        <f>[13]С2.2!E10</f>
        <v>1287</v>
      </c>
    </row>
    <row r="50" spans="1:3" ht="25.5">
      <c r="A50" s="22" t="s">
        <v>57</v>
      </c>
      <c r="B50" s="57" t="s">
        <v>58</v>
      </c>
      <c r="C50" s="35">
        <f>[13]С2.2!E12</f>
        <v>5.97</v>
      </c>
    </row>
    <row r="51" spans="1:3" ht="52.5">
      <c r="A51" s="22" t="s">
        <v>59</v>
      </c>
      <c r="B51" s="58" t="s">
        <v>60</v>
      </c>
      <c r="C51" s="35">
        <f>[13]С2.2!E13</f>
        <v>1</v>
      </c>
    </row>
    <row r="52" spans="1:3" ht="27.75">
      <c r="A52" s="22" t="s">
        <v>61</v>
      </c>
      <c r="B52" s="57" t="s">
        <v>62</v>
      </c>
      <c r="C52" s="35">
        <f>[13]С2.2!E14</f>
        <v>12104</v>
      </c>
    </row>
    <row r="53" spans="1:3" ht="25.5">
      <c r="A53" s="22" t="s">
        <v>63</v>
      </c>
      <c r="B53" s="58" t="s">
        <v>64</v>
      </c>
      <c r="C53" s="36">
        <f>[13]С2.2!E15</f>
        <v>4.8000000000000001E-2</v>
      </c>
    </row>
    <row r="54" spans="1:3">
      <c r="A54" s="22" t="s">
        <v>65</v>
      </c>
      <c r="B54" s="58" t="s">
        <v>66</v>
      </c>
      <c r="C54" s="35">
        <f>[13]С2.2!E16</f>
        <v>1</v>
      </c>
    </row>
    <row r="55" spans="1:3" ht="15.75">
      <c r="A55" s="22" t="s">
        <v>67</v>
      </c>
      <c r="B55" s="59" t="s">
        <v>68</v>
      </c>
      <c r="C55" s="35">
        <f>[13]С2!F21</f>
        <v>1</v>
      </c>
    </row>
    <row r="56" spans="1:3" ht="30">
      <c r="A56" s="60" t="s">
        <v>69</v>
      </c>
      <c r="B56" s="34" t="s">
        <v>70</v>
      </c>
      <c r="C56" s="35">
        <f>[13]С2!F13</f>
        <v>169640.22915965237</v>
      </c>
    </row>
    <row r="57" spans="1:3" ht="30">
      <c r="A57" s="60" t="s">
        <v>71</v>
      </c>
      <c r="B57" s="59" t="s">
        <v>72</v>
      </c>
      <c r="C57" s="35">
        <f>[13]С2!F14</f>
        <v>113455</v>
      </c>
    </row>
    <row r="58" spans="1:3" ht="15.75">
      <c r="A58" s="60" t="s">
        <v>73</v>
      </c>
      <c r="B58" s="61" t="s">
        <v>74</v>
      </c>
      <c r="C58" s="41">
        <f>[13]С2!F15</f>
        <v>1.071</v>
      </c>
    </row>
    <row r="59" spans="1:3" ht="15.75">
      <c r="A59" s="60" t="s">
        <v>75</v>
      </c>
      <c r="B59" s="61" t="s">
        <v>76</v>
      </c>
      <c r="C59" s="41">
        <f>[13]С2!F16</f>
        <v>1</v>
      </c>
    </row>
    <row r="60" spans="1:3" ht="17.25">
      <c r="A60" s="60" t="s">
        <v>77</v>
      </c>
      <c r="B60" s="59" t="s">
        <v>78</v>
      </c>
      <c r="C60" s="35">
        <f>[13]С2!F17</f>
        <v>1.01</v>
      </c>
    </row>
    <row r="61" spans="1:3" s="64" customFormat="1" ht="14.25">
      <c r="A61" s="60" t="s">
        <v>79</v>
      </c>
      <c r="B61" s="62" t="s">
        <v>80</v>
      </c>
      <c r="C61" s="63">
        <f>[13]С2!F33</f>
        <v>10</v>
      </c>
    </row>
    <row r="62" spans="1:3" ht="30">
      <c r="A62" s="60" t="s">
        <v>81</v>
      </c>
      <c r="B62" s="65" t="s">
        <v>82</v>
      </c>
      <c r="C62" s="35">
        <f>[13]С2!F26</f>
        <v>2274.3932248182782</v>
      </c>
    </row>
    <row r="63" spans="1:3" ht="17.25">
      <c r="A63" s="60" t="s">
        <v>83</v>
      </c>
      <c r="B63" s="54" t="s">
        <v>84</v>
      </c>
      <c r="C63" s="35">
        <f>[13]С2!F27</f>
        <v>0.391761629</v>
      </c>
    </row>
    <row r="64" spans="1:3" ht="17.25">
      <c r="A64" s="60" t="s">
        <v>85</v>
      </c>
      <c r="B64" s="59" t="s">
        <v>86</v>
      </c>
      <c r="C64" s="63">
        <f>[13]С2!F28</f>
        <v>4200</v>
      </c>
    </row>
    <row r="65" spans="1:3" ht="42.75">
      <c r="A65" s="60" t="s">
        <v>87</v>
      </c>
      <c r="B65" s="34" t="s">
        <v>88</v>
      </c>
      <c r="C65" s="35">
        <f>[13]С2!F22</f>
        <v>35717.748653137714</v>
      </c>
    </row>
    <row r="66" spans="1:3" ht="30">
      <c r="A66" s="60" t="s">
        <v>89</v>
      </c>
      <c r="B66" s="61" t="s">
        <v>90</v>
      </c>
      <c r="C66" s="35">
        <f>[13]С2!F23</f>
        <v>1990</v>
      </c>
    </row>
    <row r="67" spans="1:3" ht="30">
      <c r="A67" s="60" t="s">
        <v>91</v>
      </c>
      <c r="B67" s="54" t="s">
        <v>92</v>
      </c>
      <c r="C67" s="35">
        <f>[13]С2.1!E27</f>
        <v>14307.876789999998</v>
      </c>
    </row>
    <row r="68" spans="1:3" ht="38.25">
      <c r="A68" s="60" t="s">
        <v>93</v>
      </c>
      <c r="B68" s="66" t="s">
        <v>94</v>
      </c>
      <c r="C68" s="53">
        <f>[13]С2.3!E21</f>
        <v>0</v>
      </c>
    </row>
    <row r="69" spans="1:3" ht="25.5">
      <c r="A69" s="60" t="s">
        <v>95</v>
      </c>
      <c r="B69" s="67" t="s">
        <v>96</v>
      </c>
      <c r="C69" s="68">
        <f>[13]С2.3!E11</f>
        <v>9.89</v>
      </c>
    </row>
    <row r="70" spans="1:3" ht="25.5">
      <c r="A70" s="60" t="s">
        <v>97</v>
      </c>
      <c r="B70" s="67" t="s">
        <v>98</v>
      </c>
      <c r="C70" s="63">
        <f>[13]С2.3!E13</f>
        <v>300</v>
      </c>
    </row>
    <row r="71" spans="1:3" ht="25.5">
      <c r="A71" s="60" t="s">
        <v>99</v>
      </c>
      <c r="B71" s="66" t="s">
        <v>100</v>
      </c>
      <c r="C71" s="69">
        <f>IF([13]С2.3!E22&gt;0,[13]С2.3!E22,[13]С2.3!E14)</f>
        <v>61211</v>
      </c>
    </row>
    <row r="72" spans="1:3" ht="38.25">
      <c r="A72" s="60" t="s">
        <v>101</v>
      </c>
      <c r="B72" s="66" t="s">
        <v>102</v>
      </c>
      <c r="C72" s="69">
        <f>IF([13]С2.3!E23&gt;0,[13]С2.3!E23,[13]С2.3!E15)</f>
        <v>45675</v>
      </c>
    </row>
    <row r="73" spans="1:3" ht="30">
      <c r="A73" s="60" t="s">
        <v>103</v>
      </c>
      <c r="B73" s="54" t="s">
        <v>104</v>
      </c>
      <c r="C73" s="35">
        <f>[13]С2.1!E28</f>
        <v>9541.9567200000001</v>
      </c>
    </row>
    <row r="74" spans="1:3" ht="38.25">
      <c r="A74" s="60" t="s">
        <v>105</v>
      </c>
      <c r="B74" s="66" t="s">
        <v>106</v>
      </c>
      <c r="C74" s="53">
        <f>[13]С2.3!E25</f>
        <v>0</v>
      </c>
    </row>
    <row r="75" spans="1:3" ht="25.5">
      <c r="A75" s="60" t="s">
        <v>107</v>
      </c>
      <c r="B75" s="67" t="s">
        <v>108</v>
      </c>
      <c r="C75" s="68">
        <f>[13]С2.3!E12</f>
        <v>0.56000000000000005</v>
      </c>
    </row>
    <row r="76" spans="1:3" ht="25.5">
      <c r="A76" s="60" t="s">
        <v>109</v>
      </c>
      <c r="B76" s="67" t="s">
        <v>98</v>
      </c>
      <c r="C76" s="63">
        <f>[13]С2.3!E13</f>
        <v>300</v>
      </c>
    </row>
    <row r="77" spans="1:3" ht="25.5">
      <c r="A77" s="60" t="s">
        <v>110</v>
      </c>
      <c r="B77" s="70" t="s">
        <v>111</v>
      </c>
      <c r="C77" s="69">
        <f>IF([13]С2.3!E26&gt;0,[13]С2.3!E26,[13]С2.3!E16)</f>
        <v>65637</v>
      </c>
    </row>
    <row r="78" spans="1:3" ht="38.25">
      <c r="A78" s="60" t="s">
        <v>112</v>
      </c>
      <c r="B78" s="70" t="s">
        <v>113</v>
      </c>
      <c r="C78" s="69">
        <f>IF([13]С2.3!E27&gt;0,[13]С2.3!E27,[13]С2.3!E17)</f>
        <v>31684</v>
      </c>
    </row>
    <row r="79" spans="1:3" ht="17.25">
      <c r="A79" s="60" t="s">
        <v>114</v>
      </c>
      <c r="B79" s="34" t="s">
        <v>115</v>
      </c>
      <c r="C79" s="36">
        <f>[13]С2!F29</f>
        <v>0.128978033685065</v>
      </c>
    </row>
    <row r="80" spans="1:3" ht="30">
      <c r="A80" s="60" t="s">
        <v>116</v>
      </c>
      <c r="B80" s="54" t="s">
        <v>117</v>
      </c>
      <c r="C80" s="71">
        <f>[13]С2!F30</f>
        <v>0.11668498168498169</v>
      </c>
    </row>
    <row r="81" spans="1:3" ht="17.25">
      <c r="A81" s="60" t="s">
        <v>118</v>
      </c>
      <c r="B81" s="72" t="s">
        <v>119</v>
      </c>
      <c r="C81" s="36">
        <f>[13]С2!F31</f>
        <v>0.13880000000000001</v>
      </c>
    </row>
    <row r="82" spans="1:3" s="64" customFormat="1" ht="18" thickBot="1">
      <c r="A82" s="73" t="s">
        <v>120</v>
      </c>
      <c r="B82" s="74" t="s">
        <v>121</v>
      </c>
      <c r="C82" s="75">
        <f>[13]С2!F32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[13]С3!F14</f>
        <v>7051.1767451401192</v>
      </c>
    </row>
    <row r="86" spans="1:3" s="64" customFormat="1" ht="42.75">
      <c r="A86" s="78" t="s">
        <v>126</v>
      </c>
      <c r="B86" s="54" t="s">
        <v>127</v>
      </c>
      <c r="C86" s="79">
        <f>[13]С3!F15</f>
        <v>0.2</v>
      </c>
    </row>
    <row r="87" spans="1:3" s="64" customFormat="1" ht="14.25">
      <c r="A87" s="78" t="s">
        <v>128</v>
      </c>
      <c r="B87" s="80" t="s">
        <v>129</v>
      </c>
      <c r="C87" s="63">
        <f>[13]С3!F18</f>
        <v>15</v>
      </c>
    </row>
    <row r="88" spans="1:3" s="64" customFormat="1" ht="17.25">
      <c r="A88" s="78" t="s">
        <v>130</v>
      </c>
      <c r="B88" s="34" t="s">
        <v>131</v>
      </c>
      <c r="C88" s="35">
        <f>[13]С3!F19</f>
        <v>3487.1555421534131</v>
      </c>
    </row>
    <row r="89" spans="1:3" s="64" customFormat="1" ht="55.5">
      <c r="A89" s="78" t="s">
        <v>132</v>
      </c>
      <c r="B89" s="54" t="s">
        <v>133</v>
      </c>
      <c r="C89" s="81">
        <f>[13]С3!F20</f>
        <v>2.1999999999999999E-2</v>
      </c>
    </row>
    <row r="90" spans="1:3" s="64" customFormat="1" ht="14.25">
      <c r="A90" s="78" t="s">
        <v>134</v>
      </c>
      <c r="B90" s="59" t="s">
        <v>80</v>
      </c>
      <c r="C90" s="63">
        <f>[13]С3!F21</f>
        <v>10</v>
      </c>
    </row>
    <row r="91" spans="1:3" s="64" customFormat="1" ht="17.25">
      <c r="A91" s="78" t="s">
        <v>135</v>
      </c>
      <c r="B91" s="34" t="s">
        <v>136</v>
      </c>
      <c r="C91" s="35">
        <f>[13]С3!F22</f>
        <v>6.8231796744548348</v>
      </c>
    </row>
    <row r="92" spans="1:3" s="64" customFormat="1" ht="55.5">
      <c r="A92" s="78" t="s">
        <v>137</v>
      </c>
      <c r="B92" s="54" t="s">
        <v>138</v>
      </c>
      <c r="C92" s="81">
        <f>[13]С3!F23</f>
        <v>3.0000000000000001E-3</v>
      </c>
    </row>
    <row r="93" spans="1:3" s="64" customFormat="1" ht="27.75" thickBot="1">
      <c r="A93" s="82" t="s">
        <v>139</v>
      </c>
      <c r="B93" s="83" t="s">
        <v>140</v>
      </c>
      <c r="C93" s="84">
        <f>[13]С3!F24</f>
        <v>2274.3932248182782</v>
      </c>
    </row>
    <row r="94" spans="1:3" ht="13.5" thickBot="1">
      <c r="A94" s="48"/>
      <c r="B94" s="76"/>
      <c r="C94" s="15"/>
    </row>
    <row r="95" spans="1:3" ht="30" customHeight="1">
      <c r="A95" s="85" t="s">
        <v>141</v>
      </c>
      <c r="B95" s="142" t="s">
        <v>142</v>
      </c>
      <c r="C95" s="142"/>
    </row>
    <row r="96" spans="1:3" ht="30">
      <c r="A96" s="60" t="s">
        <v>143</v>
      </c>
      <c r="B96" s="34" t="s">
        <v>144</v>
      </c>
      <c r="C96" s="35">
        <f>[13]С4!F16</f>
        <v>1652.5</v>
      </c>
    </row>
    <row r="97" spans="1:3" ht="30">
      <c r="A97" s="60" t="s">
        <v>145</v>
      </c>
      <c r="B97" s="59" t="s">
        <v>146</v>
      </c>
      <c r="C97" s="35">
        <f>[13]С4!F17</f>
        <v>73547</v>
      </c>
    </row>
    <row r="98" spans="1:3" ht="17.25">
      <c r="A98" s="60" t="s">
        <v>147</v>
      </c>
      <c r="B98" s="59" t="s">
        <v>148</v>
      </c>
      <c r="C98" s="41">
        <f>[13]С4!F18</f>
        <v>0.02</v>
      </c>
    </row>
    <row r="99" spans="1:3" ht="30">
      <c r="A99" s="60" t="s">
        <v>149</v>
      </c>
      <c r="B99" s="59" t="s">
        <v>150</v>
      </c>
      <c r="C99" s="35">
        <f>[13]С4!F19</f>
        <v>12104</v>
      </c>
    </row>
    <row r="100" spans="1:3" ht="31.5">
      <c r="A100" s="60" t="s">
        <v>151</v>
      </c>
      <c r="B100" s="59" t="s">
        <v>152</v>
      </c>
      <c r="C100" s="41">
        <f>[13]С4!F20</f>
        <v>1.4999999999999999E-2</v>
      </c>
    </row>
    <row r="101" spans="1:3" ht="30">
      <c r="A101" s="60" t="s">
        <v>153</v>
      </c>
      <c r="B101" s="34" t="s">
        <v>154</v>
      </c>
      <c r="C101" s="35">
        <f>[13]С4!F21</f>
        <v>1933.1949342509995</v>
      </c>
    </row>
    <row r="102" spans="1:3" ht="24" customHeight="1">
      <c r="A102" s="60" t="s">
        <v>155</v>
      </c>
      <c r="B102" s="54" t="s">
        <v>156</v>
      </c>
      <c r="C102" s="86">
        <f>IF([13]С4.2!F8="да",[13]С4.2!D21,[13]С4.2!D15)</f>
        <v>0</v>
      </c>
    </row>
    <row r="103" spans="1:3" ht="68.25">
      <c r="A103" s="60" t="s">
        <v>157</v>
      </c>
      <c r="B103" s="54" t="s">
        <v>158</v>
      </c>
      <c r="C103" s="35">
        <f>[13]С4!F22</f>
        <v>3.6112641666666665</v>
      </c>
    </row>
    <row r="104" spans="1:3" ht="30">
      <c r="A104" s="60" t="s">
        <v>159</v>
      </c>
      <c r="B104" s="59" t="s">
        <v>160</v>
      </c>
      <c r="C104" s="35">
        <f>[13]С4!F23</f>
        <v>180</v>
      </c>
    </row>
    <row r="105" spans="1:3" ht="14.25">
      <c r="A105" s="60" t="s">
        <v>161</v>
      </c>
      <c r="B105" s="54" t="s">
        <v>162</v>
      </c>
      <c r="C105" s="35">
        <f>[13]С4!F24</f>
        <v>8497.1999999999989</v>
      </c>
    </row>
    <row r="106" spans="1:3" ht="14.25">
      <c r="A106" s="60" t="s">
        <v>163</v>
      </c>
      <c r="B106" s="59" t="s">
        <v>164</v>
      </c>
      <c r="C106" s="41">
        <f>[13]С4!F25</f>
        <v>0.35</v>
      </c>
    </row>
    <row r="107" spans="1:3" ht="17.25">
      <c r="A107" s="60" t="s">
        <v>165</v>
      </c>
      <c r="B107" s="34" t="s">
        <v>166</v>
      </c>
      <c r="C107" s="35">
        <f>[13]С4!F26</f>
        <v>99.481800000000007</v>
      </c>
    </row>
    <row r="108" spans="1:3" ht="25.5">
      <c r="A108" s="60" t="s">
        <v>167</v>
      </c>
      <c r="B108" s="54" t="s">
        <v>94</v>
      </c>
      <c r="C108" s="86">
        <f>[13]С4.3!E16</f>
        <v>0</v>
      </c>
    </row>
    <row r="109" spans="1:3" ht="25.5">
      <c r="A109" s="60" t="s">
        <v>168</v>
      </c>
      <c r="B109" s="54" t="s">
        <v>169</v>
      </c>
      <c r="C109" s="35">
        <f>[13]С4.3!E17</f>
        <v>27.44</v>
      </c>
    </row>
    <row r="110" spans="1:3" ht="38.25">
      <c r="A110" s="60" t="s">
        <v>170</v>
      </c>
      <c r="B110" s="54" t="s">
        <v>106</v>
      </c>
      <c r="C110" s="86">
        <f>[13]С4.3!E18</f>
        <v>0</v>
      </c>
    </row>
    <row r="111" spans="1:3">
      <c r="A111" s="60" t="s">
        <v>171</v>
      </c>
      <c r="B111" s="54" t="s">
        <v>172</v>
      </c>
      <c r="C111" s="35">
        <f>[13]С4.3!E19</f>
        <v>15.93</v>
      </c>
    </row>
    <row r="112" spans="1:3">
      <c r="A112" s="60" t="s">
        <v>173</v>
      </c>
      <c r="B112" s="59" t="s">
        <v>174</v>
      </c>
      <c r="C112" s="35">
        <f>[13]С4.3!E11</f>
        <v>1871</v>
      </c>
    </row>
    <row r="113" spans="1:3">
      <c r="A113" s="60" t="s">
        <v>175</v>
      </c>
      <c r="B113" s="59" t="s">
        <v>176</v>
      </c>
      <c r="C113" s="53">
        <f>[13]С4.3!E12</f>
        <v>1636</v>
      </c>
    </row>
    <row r="114" spans="1:3">
      <c r="A114" s="60" t="s">
        <v>177</v>
      </c>
      <c r="B114" s="59" t="s">
        <v>178</v>
      </c>
      <c r="C114" s="53">
        <f>[13]С4.3!E13</f>
        <v>204</v>
      </c>
    </row>
    <row r="115" spans="1:3" ht="30">
      <c r="A115" s="60" t="s">
        <v>179</v>
      </c>
      <c r="B115" s="34" t="s">
        <v>180</v>
      </c>
      <c r="C115" s="35">
        <f>[13]С4!F27</f>
        <v>2164.8316773434499</v>
      </c>
    </row>
    <row r="116" spans="1:3" ht="25.5">
      <c r="A116" s="60" t="s">
        <v>181</v>
      </c>
      <c r="B116" s="54" t="s">
        <v>182</v>
      </c>
      <c r="C116" s="35">
        <f>[13]С4!F28</f>
        <v>1662.6971408167815</v>
      </c>
    </row>
    <row r="117" spans="1:3" ht="42.75">
      <c r="A117" s="60" t="s">
        <v>183</v>
      </c>
      <c r="B117" s="54" t="s">
        <v>184</v>
      </c>
      <c r="C117" s="35">
        <f>[13]С4!F29</f>
        <v>502.13453652666817</v>
      </c>
    </row>
    <row r="118" spans="1:3" ht="30">
      <c r="A118" s="60" t="s">
        <v>185</v>
      </c>
      <c r="B118" s="40" t="s">
        <v>186</v>
      </c>
      <c r="C118" s="35">
        <f>[13]С4!F30</f>
        <v>2273.6064592423154</v>
      </c>
    </row>
    <row r="119" spans="1:3" ht="42.75">
      <c r="A119" s="60" t="s">
        <v>187</v>
      </c>
      <c r="B119" s="87" t="s">
        <v>188</v>
      </c>
      <c r="C119" s="35">
        <f>[13]С4!F33</f>
        <v>1475.6430730833022</v>
      </c>
    </row>
    <row r="120" spans="1:3" ht="30">
      <c r="A120" s="60" t="s">
        <v>189</v>
      </c>
      <c r="B120" s="88" t="s">
        <v>190</v>
      </c>
      <c r="C120" s="35">
        <f>[13]С4!F35</f>
        <v>17.040680999999999</v>
      </c>
    </row>
    <row r="121" spans="1:3" ht="14.25">
      <c r="A121" s="60" t="s">
        <v>191</v>
      </c>
      <c r="B121" s="57" t="s">
        <v>192</v>
      </c>
      <c r="C121" s="35">
        <f>[13]С4!F36</f>
        <v>14319.9</v>
      </c>
    </row>
    <row r="122" spans="1:3" ht="28.5" thickBot="1">
      <c r="A122" s="73" t="s">
        <v>193</v>
      </c>
      <c r="B122" s="89" t="s">
        <v>194</v>
      </c>
      <c r="C122" s="84">
        <f>[13]С4!F37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[13]С5!F17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[13]С2!F37</f>
        <v>20.818139999999996</v>
      </c>
    </row>
    <row r="136" spans="1:3" ht="14.25">
      <c r="A136" s="60" t="s">
        <v>216</v>
      </c>
      <c r="B136" s="102" t="s">
        <v>217</v>
      </c>
      <c r="C136" s="35">
        <f>[13]С2!F38</f>
        <v>7</v>
      </c>
    </row>
    <row r="137" spans="1:3" ht="17.25">
      <c r="A137" s="60" t="s">
        <v>218</v>
      </c>
      <c r="B137" s="102" t="s">
        <v>219</v>
      </c>
      <c r="C137" s="35">
        <f>[13]С2!F40</f>
        <v>0.97</v>
      </c>
    </row>
    <row r="138" spans="1:3" ht="15" thickBot="1">
      <c r="A138" s="73" t="s">
        <v>220</v>
      </c>
      <c r="B138" s="103" t="s">
        <v>221</v>
      </c>
      <c r="C138" s="47">
        <f>[13]С2!F42</f>
        <v>0.35</v>
      </c>
    </row>
    <row r="139" spans="1:3" s="90" customFormat="1" ht="13.5" thickBot="1">
      <c r="A139" s="48"/>
      <c r="B139" s="76"/>
      <c r="C139" s="15"/>
    </row>
    <row r="140" spans="1:3" ht="30">
      <c r="A140" s="85" t="s">
        <v>222</v>
      </c>
      <c r="B140" s="104" t="s">
        <v>223</v>
      </c>
      <c r="C140" s="105">
        <f>[13]С2!F35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[13]С2.5!$E$11</f>
        <v>-2.9000000000000026E-2</v>
      </c>
    </row>
    <row r="144" spans="1:3">
      <c r="A144" s="107"/>
      <c r="B144" s="112">
        <f>B143+1</f>
        <v>2021</v>
      </c>
      <c r="C144" s="113">
        <f>[13]С2.5!$F$11</f>
        <v>0.245</v>
      </c>
    </row>
    <row r="145" spans="1:3">
      <c r="A145" s="107"/>
      <c r="B145" s="112">
        <f t="shared" ref="B145:B208" si="0">B144+1</f>
        <v>2022</v>
      </c>
      <c r="C145" s="113">
        <f>[13]С2.5!$G$11</f>
        <v>0.121</v>
      </c>
    </row>
    <row r="146" spans="1:3" ht="13.5" thickBot="1">
      <c r="A146" s="107"/>
      <c r="B146" s="114">
        <f t="shared" si="0"/>
        <v>2023</v>
      </c>
      <c r="C146" s="115">
        <f>[13]С2.5!$H$11</f>
        <v>0.02</v>
      </c>
    </row>
    <row r="147" spans="1:3" hidden="1">
      <c r="A147" s="107"/>
      <c r="B147" s="116">
        <f t="shared" si="0"/>
        <v>2024</v>
      </c>
      <c r="C147" s="117">
        <f>[13]С2.5!$I$11</f>
        <v>-2.93E-2</v>
      </c>
    </row>
    <row r="148" spans="1:3" hidden="1">
      <c r="A148" s="107"/>
      <c r="B148" s="112">
        <f t="shared" si="0"/>
        <v>2025</v>
      </c>
      <c r="C148" s="113">
        <f>[13]С2.5!$J$11</f>
        <v>0.21215960863291</v>
      </c>
    </row>
    <row r="149" spans="1:3" hidden="1">
      <c r="A149" s="107"/>
      <c r="B149" s="112">
        <f t="shared" si="0"/>
        <v>2026</v>
      </c>
      <c r="C149" s="113">
        <f>[13]С2.5!$K$11</f>
        <v>3.5813361771260002E-2</v>
      </c>
    </row>
    <row r="150" spans="1:3" hidden="1">
      <c r="A150" s="107"/>
      <c r="B150" s="112">
        <f t="shared" si="0"/>
        <v>2027</v>
      </c>
      <c r="C150" s="113">
        <f>[13]С2.5!$L$11</f>
        <v>3.2682303599220003E-2</v>
      </c>
    </row>
    <row r="151" spans="1:3" hidden="1">
      <c r="A151" s="107"/>
      <c r="B151" s="112">
        <f t="shared" si="0"/>
        <v>2028</v>
      </c>
      <c r="C151" s="113">
        <f>[13]С2.5!$M$11</f>
        <v>0</v>
      </c>
    </row>
    <row r="152" spans="1:3" hidden="1">
      <c r="A152" s="107"/>
      <c r="B152" s="112">
        <f t="shared" si="0"/>
        <v>2029</v>
      </c>
      <c r="C152" s="113">
        <f>[13]С2.5!$N$11</f>
        <v>0</v>
      </c>
    </row>
    <row r="153" spans="1:3" hidden="1">
      <c r="A153" s="107"/>
      <c r="B153" s="112">
        <f t="shared" si="0"/>
        <v>2030</v>
      </c>
      <c r="C153" s="113">
        <f>[13]С2.5!$O$11</f>
        <v>0</v>
      </c>
    </row>
    <row r="154" spans="1:3" hidden="1">
      <c r="A154" s="107"/>
      <c r="B154" s="112">
        <f t="shared" si="0"/>
        <v>2031</v>
      </c>
      <c r="C154" s="113">
        <f>[13]С2.5!$P$11</f>
        <v>0</v>
      </c>
    </row>
    <row r="155" spans="1:3" hidden="1">
      <c r="A155" s="90"/>
      <c r="B155" s="112">
        <f t="shared" si="0"/>
        <v>2032</v>
      </c>
      <c r="C155" s="113">
        <f>[13]С2.5!$Q$11</f>
        <v>0</v>
      </c>
    </row>
    <row r="156" spans="1:3" hidden="1">
      <c r="A156" s="90"/>
      <c r="B156" s="112">
        <f t="shared" si="0"/>
        <v>2033</v>
      </c>
      <c r="C156" s="113">
        <f>[13]С2.5!$R$11</f>
        <v>0</v>
      </c>
    </row>
    <row r="157" spans="1:3" hidden="1">
      <c r="B157" s="112">
        <f t="shared" si="0"/>
        <v>2034</v>
      </c>
      <c r="C157" s="113">
        <f>[13]С2.5!$S$11</f>
        <v>0</v>
      </c>
    </row>
    <row r="158" spans="1:3" hidden="1">
      <c r="B158" s="112">
        <f t="shared" si="0"/>
        <v>2035</v>
      </c>
      <c r="C158" s="113">
        <f>[13]С2.5!$T$11</f>
        <v>0</v>
      </c>
    </row>
    <row r="159" spans="1:3" hidden="1">
      <c r="B159" s="112">
        <f t="shared" si="0"/>
        <v>2036</v>
      </c>
      <c r="C159" s="113">
        <f>[13]С2.5!$U$11</f>
        <v>0</v>
      </c>
    </row>
    <row r="160" spans="1:3" hidden="1">
      <c r="B160" s="112">
        <f t="shared" si="0"/>
        <v>2037</v>
      </c>
      <c r="C160" s="113">
        <f>[13]С2.5!$V$11</f>
        <v>0</v>
      </c>
    </row>
    <row r="161" spans="2:3" hidden="1">
      <c r="B161" s="112">
        <f t="shared" si="0"/>
        <v>2038</v>
      </c>
      <c r="C161" s="113">
        <f>[13]С2.5!$W$11</f>
        <v>0</v>
      </c>
    </row>
    <row r="162" spans="2:3" hidden="1">
      <c r="B162" s="112">
        <f t="shared" si="0"/>
        <v>2039</v>
      </c>
      <c r="C162" s="113">
        <f>[13]С2.5!$X$11</f>
        <v>0</v>
      </c>
    </row>
    <row r="163" spans="2:3" hidden="1">
      <c r="B163" s="112">
        <f t="shared" si="0"/>
        <v>2040</v>
      </c>
      <c r="C163" s="113">
        <f>[13]С2.5!$Y$11</f>
        <v>0</v>
      </c>
    </row>
    <row r="164" spans="2:3" hidden="1">
      <c r="B164" s="112">
        <f t="shared" si="0"/>
        <v>2041</v>
      </c>
      <c r="C164" s="113">
        <f>[13]С2.5!$Z$11</f>
        <v>0</v>
      </c>
    </row>
    <row r="165" spans="2:3" hidden="1">
      <c r="B165" s="112">
        <f t="shared" si="0"/>
        <v>2042</v>
      </c>
      <c r="C165" s="113">
        <f>[13]С2.5!$AA$11</f>
        <v>0</v>
      </c>
    </row>
    <row r="166" spans="2:3" hidden="1">
      <c r="B166" s="112">
        <f t="shared" si="0"/>
        <v>2043</v>
      </c>
      <c r="C166" s="113">
        <f>[13]С2.5!$AB$11</f>
        <v>0</v>
      </c>
    </row>
    <row r="167" spans="2:3" hidden="1">
      <c r="B167" s="112">
        <f t="shared" si="0"/>
        <v>2044</v>
      </c>
      <c r="C167" s="113">
        <f>[13]С2.5!$AC$11</f>
        <v>0</v>
      </c>
    </row>
    <row r="168" spans="2:3" hidden="1">
      <c r="B168" s="112">
        <f t="shared" si="0"/>
        <v>2045</v>
      </c>
      <c r="C168" s="113">
        <f>[13]С2.5!$AD$11</f>
        <v>0</v>
      </c>
    </row>
    <row r="169" spans="2:3" hidden="1">
      <c r="B169" s="112">
        <f t="shared" si="0"/>
        <v>2046</v>
      </c>
      <c r="C169" s="113">
        <f>[13]С2.5!$AE$11</f>
        <v>0</v>
      </c>
    </row>
    <row r="170" spans="2:3" hidden="1">
      <c r="B170" s="112">
        <f t="shared" si="0"/>
        <v>2047</v>
      </c>
      <c r="C170" s="113">
        <f>[13]С2.5!$AF$11</f>
        <v>0</v>
      </c>
    </row>
    <row r="171" spans="2:3" hidden="1">
      <c r="B171" s="112">
        <f t="shared" si="0"/>
        <v>2048</v>
      </c>
      <c r="C171" s="113">
        <f>[13]С2.5!$AG$11</f>
        <v>0</v>
      </c>
    </row>
    <row r="172" spans="2:3" hidden="1">
      <c r="B172" s="112">
        <f t="shared" si="0"/>
        <v>2049</v>
      </c>
      <c r="C172" s="113">
        <f>[13]С2.5!$AH$11</f>
        <v>0</v>
      </c>
    </row>
    <row r="173" spans="2:3" hidden="1">
      <c r="B173" s="112">
        <f t="shared" si="0"/>
        <v>2050</v>
      </c>
      <c r="C173" s="113">
        <f>[13]С2.5!$AI$11</f>
        <v>0</v>
      </c>
    </row>
    <row r="174" spans="2:3" hidden="1">
      <c r="B174" s="112">
        <f t="shared" si="0"/>
        <v>2051</v>
      </c>
      <c r="C174" s="113">
        <f>[13]С2.5!$AJ$11</f>
        <v>0</v>
      </c>
    </row>
    <row r="175" spans="2:3" hidden="1">
      <c r="B175" s="112">
        <f t="shared" si="0"/>
        <v>2052</v>
      </c>
      <c r="C175" s="113">
        <f>[13]С2.5!$AK$11</f>
        <v>0</v>
      </c>
    </row>
    <row r="176" spans="2:3" hidden="1">
      <c r="B176" s="112">
        <f t="shared" si="0"/>
        <v>2053</v>
      </c>
      <c r="C176" s="113">
        <f>[13]С2.5!$AL$11</f>
        <v>0</v>
      </c>
    </row>
    <row r="177" spans="2:3" hidden="1">
      <c r="B177" s="112">
        <f t="shared" si="0"/>
        <v>2054</v>
      </c>
      <c r="C177" s="113">
        <f>[13]С2.5!$AM$11</f>
        <v>0</v>
      </c>
    </row>
    <row r="178" spans="2:3" hidden="1">
      <c r="B178" s="112">
        <f t="shared" si="0"/>
        <v>2055</v>
      </c>
      <c r="C178" s="113">
        <f>[13]С2.5!$AN$11</f>
        <v>0</v>
      </c>
    </row>
    <row r="179" spans="2:3" hidden="1">
      <c r="B179" s="112">
        <f t="shared" si="0"/>
        <v>2056</v>
      </c>
      <c r="C179" s="113">
        <f>[13]С2.5!$AO$11</f>
        <v>0</v>
      </c>
    </row>
    <row r="180" spans="2:3" hidden="1">
      <c r="B180" s="112">
        <f t="shared" si="0"/>
        <v>2057</v>
      </c>
      <c r="C180" s="113">
        <f>[13]С2.5!$AP$11</f>
        <v>0</v>
      </c>
    </row>
    <row r="181" spans="2:3" hidden="1">
      <c r="B181" s="112">
        <f t="shared" si="0"/>
        <v>2058</v>
      </c>
      <c r="C181" s="113">
        <f>[13]С2.5!$AQ$11</f>
        <v>0</v>
      </c>
    </row>
    <row r="182" spans="2:3" hidden="1">
      <c r="B182" s="112">
        <f t="shared" si="0"/>
        <v>2059</v>
      </c>
      <c r="C182" s="113">
        <f>[13]С2.5!$AR$11</f>
        <v>0</v>
      </c>
    </row>
    <row r="183" spans="2:3" hidden="1">
      <c r="B183" s="112">
        <f t="shared" si="0"/>
        <v>2060</v>
      </c>
      <c r="C183" s="113">
        <f>[13]С2.5!$AS$11</f>
        <v>0</v>
      </c>
    </row>
    <row r="184" spans="2:3" hidden="1">
      <c r="B184" s="112">
        <f t="shared" si="0"/>
        <v>2061</v>
      </c>
      <c r="C184" s="113">
        <f>[13]С2.5!$AT$11</f>
        <v>0</v>
      </c>
    </row>
    <row r="185" spans="2:3" hidden="1">
      <c r="B185" s="112">
        <f t="shared" si="0"/>
        <v>2062</v>
      </c>
      <c r="C185" s="113">
        <f>[13]С2.5!$AU$11</f>
        <v>0</v>
      </c>
    </row>
    <row r="186" spans="2:3" hidden="1">
      <c r="B186" s="112">
        <f t="shared" si="0"/>
        <v>2063</v>
      </c>
      <c r="C186" s="113">
        <f>[13]С2.5!$AV$11</f>
        <v>0</v>
      </c>
    </row>
    <row r="187" spans="2:3" hidden="1">
      <c r="B187" s="112">
        <f t="shared" si="0"/>
        <v>2064</v>
      </c>
      <c r="C187" s="113">
        <f>[13]С2.5!$AW$11</f>
        <v>0</v>
      </c>
    </row>
    <row r="188" spans="2:3" hidden="1">
      <c r="B188" s="112">
        <f t="shared" si="0"/>
        <v>2065</v>
      </c>
      <c r="C188" s="113">
        <f>[13]С2.5!$AX$11</f>
        <v>0</v>
      </c>
    </row>
    <row r="189" spans="2:3" hidden="1">
      <c r="B189" s="112">
        <f t="shared" si="0"/>
        <v>2066</v>
      </c>
      <c r="C189" s="113">
        <f>[13]С2.5!$AY$11</f>
        <v>0</v>
      </c>
    </row>
    <row r="190" spans="2:3" hidden="1">
      <c r="B190" s="112">
        <f t="shared" si="0"/>
        <v>2067</v>
      </c>
      <c r="C190" s="113">
        <f>[13]С2.5!$AZ$11</f>
        <v>0</v>
      </c>
    </row>
    <row r="191" spans="2:3" hidden="1">
      <c r="B191" s="112">
        <f t="shared" si="0"/>
        <v>2068</v>
      </c>
      <c r="C191" s="113">
        <f>[13]С2.5!$BA$11</f>
        <v>0</v>
      </c>
    </row>
    <row r="192" spans="2:3" hidden="1">
      <c r="B192" s="112">
        <f t="shared" si="0"/>
        <v>2069</v>
      </c>
      <c r="C192" s="113">
        <f>[13]С2.5!$BB$11</f>
        <v>0</v>
      </c>
    </row>
    <row r="193" spans="2:3" hidden="1">
      <c r="B193" s="112">
        <f t="shared" si="0"/>
        <v>2070</v>
      </c>
      <c r="C193" s="113">
        <f>[13]С2.5!$BC$11</f>
        <v>0</v>
      </c>
    </row>
    <row r="194" spans="2:3" hidden="1">
      <c r="B194" s="112">
        <f t="shared" si="0"/>
        <v>2071</v>
      </c>
      <c r="C194" s="113">
        <f>[13]С2.5!$BD$11</f>
        <v>0</v>
      </c>
    </row>
    <row r="195" spans="2:3" hidden="1">
      <c r="B195" s="112">
        <f t="shared" si="0"/>
        <v>2072</v>
      </c>
      <c r="C195" s="113">
        <f>[13]С2.5!$BE$11</f>
        <v>0</v>
      </c>
    </row>
    <row r="196" spans="2:3" hidden="1">
      <c r="B196" s="112">
        <f t="shared" si="0"/>
        <v>2073</v>
      </c>
      <c r="C196" s="113">
        <f>[13]С2.5!$BF$11</f>
        <v>0</v>
      </c>
    </row>
    <row r="197" spans="2:3" hidden="1">
      <c r="B197" s="112">
        <f t="shared" si="0"/>
        <v>2074</v>
      </c>
      <c r="C197" s="113">
        <f>[13]С2.5!$BG$11</f>
        <v>0</v>
      </c>
    </row>
    <row r="198" spans="2:3" hidden="1">
      <c r="B198" s="112">
        <f t="shared" si="0"/>
        <v>2075</v>
      </c>
      <c r="C198" s="113">
        <f>[13]С2.5!$BH$11</f>
        <v>0</v>
      </c>
    </row>
    <row r="199" spans="2:3" hidden="1">
      <c r="B199" s="112">
        <f t="shared" si="0"/>
        <v>2076</v>
      </c>
      <c r="C199" s="113">
        <f>[13]С2.5!$BI$11</f>
        <v>0</v>
      </c>
    </row>
    <row r="200" spans="2:3" hidden="1">
      <c r="B200" s="112">
        <f t="shared" si="0"/>
        <v>2077</v>
      </c>
      <c r="C200" s="113">
        <f>[13]С2.5!$BJ$11</f>
        <v>0</v>
      </c>
    </row>
    <row r="201" spans="2:3" hidden="1">
      <c r="B201" s="112">
        <f t="shared" si="0"/>
        <v>2078</v>
      </c>
      <c r="C201" s="113">
        <f>[13]С2.5!$BK$11</f>
        <v>0</v>
      </c>
    </row>
    <row r="202" spans="2:3" hidden="1">
      <c r="B202" s="112">
        <f t="shared" si="0"/>
        <v>2079</v>
      </c>
      <c r="C202" s="113">
        <f>[13]С2.5!$BL$11</f>
        <v>0</v>
      </c>
    </row>
    <row r="203" spans="2:3" hidden="1">
      <c r="B203" s="112">
        <f t="shared" si="0"/>
        <v>2080</v>
      </c>
      <c r="C203" s="113">
        <f>[13]С2.5!$BM$11</f>
        <v>0</v>
      </c>
    </row>
    <row r="204" spans="2:3" hidden="1">
      <c r="B204" s="112">
        <f t="shared" si="0"/>
        <v>2081</v>
      </c>
      <c r="C204" s="113">
        <f>[13]С2.5!$BN$11</f>
        <v>0</v>
      </c>
    </row>
    <row r="205" spans="2:3" hidden="1">
      <c r="B205" s="112">
        <f t="shared" si="0"/>
        <v>2082</v>
      </c>
      <c r="C205" s="113">
        <f>[13]С2.5!$BO$11</f>
        <v>0</v>
      </c>
    </row>
    <row r="206" spans="2:3" hidden="1">
      <c r="B206" s="112">
        <f t="shared" si="0"/>
        <v>2083</v>
      </c>
      <c r="C206" s="113">
        <f>[13]С2.5!$BP$11</f>
        <v>0</v>
      </c>
    </row>
    <row r="207" spans="2:3" hidden="1">
      <c r="B207" s="112">
        <f t="shared" si="0"/>
        <v>2084</v>
      </c>
      <c r="C207" s="113">
        <f>[13]С2.5!$BQ$11</f>
        <v>0</v>
      </c>
    </row>
    <row r="208" spans="2:3" hidden="1">
      <c r="B208" s="112">
        <f t="shared" si="0"/>
        <v>2085</v>
      </c>
      <c r="C208" s="113">
        <f>[13]С2.5!$BR$11</f>
        <v>0</v>
      </c>
    </row>
    <row r="209" spans="2:3" hidden="1">
      <c r="B209" s="112">
        <f t="shared" ref="B209:B223" si="1">B208+1</f>
        <v>2086</v>
      </c>
      <c r="C209" s="113">
        <f>[13]С2.5!$BS$11</f>
        <v>0</v>
      </c>
    </row>
    <row r="210" spans="2:3" hidden="1">
      <c r="B210" s="112">
        <f t="shared" si="1"/>
        <v>2087</v>
      </c>
      <c r="C210" s="113">
        <f>[13]С2.5!$BT$11</f>
        <v>0</v>
      </c>
    </row>
    <row r="211" spans="2:3" hidden="1">
      <c r="B211" s="112">
        <f t="shared" si="1"/>
        <v>2088</v>
      </c>
      <c r="C211" s="113">
        <f>[13]С2.5!$BU$11</f>
        <v>0</v>
      </c>
    </row>
    <row r="212" spans="2:3" hidden="1">
      <c r="B212" s="112">
        <f t="shared" si="1"/>
        <v>2089</v>
      </c>
      <c r="C212" s="113">
        <f>[13]С2.5!$BV$11</f>
        <v>0</v>
      </c>
    </row>
    <row r="213" spans="2:3" hidden="1">
      <c r="B213" s="112">
        <f t="shared" si="1"/>
        <v>2090</v>
      </c>
      <c r="C213" s="113">
        <f>[13]С2.5!$BW$11</f>
        <v>0</v>
      </c>
    </row>
    <row r="214" spans="2:3" hidden="1">
      <c r="B214" s="112">
        <f t="shared" si="1"/>
        <v>2091</v>
      </c>
      <c r="C214" s="113">
        <f>[13]С2.5!$BX$11</f>
        <v>0</v>
      </c>
    </row>
    <row r="215" spans="2:3" hidden="1">
      <c r="B215" s="112">
        <f t="shared" si="1"/>
        <v>2092</v>
      </c>
      <c r="C215" s="113">
        <f>[13]С2.5!$BY$11</f>
        <v>0</v>
      </c>
    </row>
    <row r="216" spans="2:3" hidden="1">
      <c r="B216" s="112">
        <f t="shared" si="1"/>
        <v>2093</v>
      </c>
      <c r="C216" s="113">
        <f>[13]С2.5!$BZ$11</f>
        <v>0</v>
      </c>
    </row>
    <row r="217" spans="2:3" hidden="1">
      <c r="B217" s="112">
        <f t="shared" si="1"/>
        <v>2094</v>
      </c>
      <c r="C217" s="113">
        <f>[13]С2.5!$CA$11</f>
        <v>0</v>
      </c>
    </row>
    <row r="218" spans="2:3" hidden="1">
      <c r="B218" s="112">
        <f t="shared" si="1"/>
        <v>2095</v>
      </c>
      <c r="C218" s="113">
        <f>[13]С2.5!$CB$11</f>
        <v>0</v>
      </c>
    </row>
    <row r="219" spans="2:3" hidden="1">
      <c r="B219" s="112">
        <f t="shared" si="1"/>
        <v>2096</v>
      </c>
      <c r="C219" s="113">
        <f>[13]С2.5!$CC$11</f>
        <v>0</v>
      </c>
    </row>
    <row r="220" spans="2:3" hidden="1">
      <c r="B220" s="112">
        <f t="shared" si="1"/>
        <v>2097</v>
      </c>
      <c r="C220" s="113">
        <f>[13]С2.5!$CD$11</f>
        <v>0</v>
      </c>
    </row>
    <row r="221" spans="2:3" hidden="1">
      <c r="B221" s="112">
        <f t="shared" si="1"/>
        <v>2098</v>
      </c>
      <c r="C221" s="113">
        <f>[13]С2.5!$CE$11</f>
        <v>0</v>
      </c>
    </row>
    <row r="222" spans="2:3" hidden="1">
      <c r="B222" s="112">
        <f t="shared" si="1"/>
        <v>2099</v>
      </c>
      <c r="C222" s="113">
        <f>[13]С2.5!$CF$11</f>
        <v>0</v>
      </c>
    </row>
    <row r="223" spans="2:3" ht="13.5" hidden="1" thickBot="1">
      <c r="B223" s="114">
        <f t="shared" si="1"/>
        <v>2100</v>
      </c>
      <c r="C223" s="115">
        <f>[13]С2.5!$CG$11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opLeftCell="A13" workbookViewId="0">
      <selection activeCell="D2" sqref="D1:H1048576"/>
    </sheetView>
  </sheetViews>
  <sheetFormatPr defaultRowHeight="12.75"/>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[14]И1!D13</f>
        <v>Субъект Российской Федерации</v>
      </c>
      <c r="C4" s="10" t="str">
        <f>[14]И1!E13</f>
        <v>Новосибирская область</v>
      </c>
    </row>
    <row r="5" spans="1:3" ht="25.5">
      <c r="A5" s="8"/>
      <c r="B5" s="9" t="str">
        <f>[14]И1!D14</f>
        <v>Тип муниципального образования (выберите из списка)</v>
      </c>
      <c r="C5" s="10" t="str">
        <f>[14]И1!E14</f>
        <v>поселок Комсомольский</v>
      </c>
    </row>
    <row r="6" spans="1:3">
      <c r="A6" s="8"/>
      <c r="B6" s="9" t="str">
        <f>IF([14]И1!E15="","",[14]И1!D15)</f>
        <v/>
      </c>
      <c r="C6" s="10" t="str">
        <f>IF([14]И1!E15="","",[14]И1!E15)</f>
        <v/>
      </c>
    </row>
    <row r="7" spans="1:3">
      <c r="A7" s="8"/>
      <c r="B7" s="9" t="str">
        <f>[14]И1!D16</f>
        <v>Код ОКТМО</v>
      </c>
      <c r="C7" s="11" t="str">
        <f>[14]И1!E16</f>
        <v>50630425101</v>
      </c>
    </row>
    <row r="8" spans="1:3">
      <c r="A8" s="8"/>
      <c r="B8" s="12" t="str">
        <f>[14]И1!D17</f>
        <v>Система теплоснабжения</v>
      </c>
      <c r="C8" s="13">
        <f>[14]И1!E17</f>
        <v>0</v>
      </c>
    </row>
    <row r="9" spans="1:3">
      <c r="A9" s="8"/>
      <c r="B9" s="9" t="str">
        <f>[14]И1!D8</f>
        <v>Период регулирования (i)-й</v>
      </c>
      <c r="C9" s="14">
        <f>[14]И1!E8</f>
        <v>2023</v>
      </c>
    </row>
    <row r="10" spans="1:3">
      <c r="A10" s="8"/>
      <c r="B10" s="9" t="str">
        <f>[14]И1!D9</f>
        <v>Период регулирования (i-1)-й</v>
      </c>
      <c r="C10" s="14">
        <f>[14]И1!E9</f>
        <v>2022</v>
      </c>
    </row>
    <row r="11" spans="1:3">
      <c r="A11" s="8"/>
      <c r="B11" s="9" t="str">
        <f>[14]И1!D10</f>
        <v>Период регулирования (i-2)-й</v>
      </c>
      <c r="C11" s="14">
        <f>[14]И1!E10</f>
        <v>2021</v>
      </c>
    </row>
    <row r="12" spans="1:3">
      <c r="A12" s="8"/>
      <c r="B12" s="9" t="str">
        <f>[14]И1!D11</f>
        <v>Базовый год (б)</v>
      </c>
      <c r="C12" s="14">
        <f>[14]И1!E11</f>
        <v>2019</v>
      </c>
    </row>
    <row r="13" spans="1:3" ht="38.25">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4205.9384131897577</v>
      </c>
    </row>
    <row r="18" spans="1:3" ht="42.75">
      <c r="A18" s="22" t="s">
        <v>8</v>
      </c>
      <c r="B18" s="25" t="s">
        <v>9</v>
      </c>
      <c r="C18" s="26">
        <f>[14]С1!F12</f>
        <v>1004.5994384291288</v>
      </c>
    </row>
    <row r="19" spans="1:3" ht="42.75">
      <c r="A19" s="22" t="s">
        <v>10</v>
      </c>
      <c r="B19" s="25" t="s">
        <v>11</v>
      </c>
      <c r="C19" s="26">
        <f>[14]С2!F12</f>
        <v>2116.2031761890698</v>
      </c>
    </row>
    <row r="20" spans="1:3" ht="30">
      <c r="A20" s="22" t="s">
        <v>12</v>
      </c>
      <c r="B20" s="25" t="s">
        <v>13</v>
      </c>
      <c r="C20" s="26">
        <f>[14]С3!F12</f>
        <v>506.5368696227419</v>
      </c>
    </row>
    <row r="21" spans="1:3" ht="42.75">
      <c r="A21" s="22" t="s">
        <v>14</v>
      </c>
      <c r="B21" s="25" t="s">
        <v>15</v>
      </c>
      <c r="C21" s="26">
        <f>[14]С4!F12</f>
        <v>496.12954829803795</v>
      </c>
    </row>
    <row r="22" spans="1:3" ht="30">
      <c r="A22" s="22" t="s">
        <v>16</v>
      </c>
      <c r="B22" s="25" t="s">
        <v>17</v>
      </c>
      <c r="C22" s="26">
        <f>[14]С5!F12</f>
        <v>82.46938065077957</v>
      </c>
    </row>
    <row r="23" spans="1:3" ht="43.5" thickBot="1">
      <c r="A23" s="27" t="s">
        <v>18</v>
      </c>
      <c r="B23" s="28" t="s">
        <v>19</v>
      </c>
      <c r="C23" s="29" t="str">
        <f>[14]С6!F12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[14]С1.1!E16</f>
        <v>5100</v>
      </c>
    </row>
    <row r="29" spans="1:3" ht="42.75">
      <c r="A29" s="22" t="s">
        <v>10</v>
      </c>
      <c r="B29" s="34" t="s">
        <v>22</v>
      </c>
      <c r="C29" s="35">
        <f>[14]С1.1!E27</f>
        <v>2701.2000000000003</v>
      </c>
    </row>
    <row r="30" spans="1:3" ht="17.25">
      <c r="A30" s="22" t="s">
        <v>12</v>
      </c>
      <c r="B30" s="34" t="s">
        <v>23</v>
      </c>
      <c r="C30" s="36">
        <f>[14]С1.1!E19</f>
        <v>0.59499999999999997</v>
      </c>
    </row>
    <row r="31" spans="1:3" ht="17.25">
      <c r="A31" s="22" t="s">
        <v>14</v>
      </c>
      <c r="B31" s="34" t="s">
        <v>24</v>
      </c>
      <c r="C31" s="36">
        <f>[14]С1.1!E20</f>
        <v>-0.113</v>
      </c>
    </row>
    <row r="32" spans="1:3" ht="30">
      <c r="A32" s="22" t="s">
        <v>16</v>
      </c>
      <c r="B32" s="37" t="s">
        <v>25</v>
      </c>
      <c r="C32" s="38">
        <f>[14]С1!F13</f>
        <v>176.4</v>
      </c>
    </row>
    <row r="33" spans="1:3">
      <c r="A33" s="22" t="s">
        <v>18</v>
      </c>
      <c r="B33" s="37" t="s">
        <v>26</v>
      </c>
      <c r="C33" s="39">
        <f>[14]С1!F16</f>
        <v>7000</v>
      </c>
    </row>
    <row r="34" spans="1:3" ht="14.25">
      <c r="A34" s="22" t="s">
        <v>27</v>
      </c>
      <c r="B34" s="40" t="s">
        <v>28</v>
      </c>
      <c r="C34" s="41">
        <f>[14]С1!F17</f>
        <v>0.72857142857142854</v>
      </c>
    </row>
    <row r="35" spans="1:3" ht="15.75">
      <c r="A35" s="42" t="s">
        <v>29</v>
      </c>
      <c r="B35" s="43" t="s">
        <v>30</v>
      </c>
      <c r="C35" s="41">
        <f>[14]С1!F20</f>
        <v>21.588411179999994</v>
      </c>
    </row>
    <row r="36" spans="1:3" ht="15.75">
      <c r="A36" s="42" t="s">
        <v>31</v>
      </c>
      <c r="B36" s="44" t="s">
        <v>32</v>
      </c>
      <c r="C36" s="41">
        <f>[14]С1!F21</f>
        <v>20.818139999999996</v>
      </c>
    </row>
    <row r="37" spans="1:3" ht="14.25">
      <c r="A37" s="42" t="s">
        <v>33</v>
      </c>
      <c r="B37" s="45" t="s">
        <v>34</v>
      </c>
      <c r="C37" s="41">
        <f>[14]С1!F22</f>
        <v>1.0369999999999999</v>
      </c>
    </row>
    <row r="38" spans="1:3" ht="53.25" thickBot="1">
      <c r="A38" s="27" t="s">
        <v>35</v>
      </c>
      <c r="B38" s="46" t="s">
        <v>36</v>
      </c>
      <c r="C38" s="47">
        <f>[14]С1!F23</f>
        <v>1.0469999999999999</v>
      </c>
    </row>
    <row r="39" spans="1:3" ht="13.5" thickBot="1">
      <c r="A39" s="48"/>
      <c r="B39" s="49"/>
      <c r="C39" s="50"/>
    </row>
    <row r="40" spans="1:3" ht="30" customHeight="1">
      <c r="A40" s="51" t="s">
        <v>37</v>
      </c>
      <c r="B40" s="142" t="s">
        <v>38</v>
      </c>
      <c r="C40" s="142"/>
    </row>
    <row r="41" spans="1:3" ht="25.5">
      <c r="A41" s="22" t="s">
        <v>39</v>
      </c>
      <c r="B41" s="37" t="s">
        <v>40</v>
      </c>
      <c r="C41" s="52" t="str">
        <f>[14]С2.1!E12</f>
        <v>V</v>
      </c>
    </row>
    <row r="42" spans="1:3" ht="25.5">
      <c r="A42" s="22" t="s">
        <v>41</v>
      </c>
      <c r="B42" s="34" t="s">
        <v>42</v>
      </c>
      <c r="C42" s="52" t="str">
        <f>[14]С2.1!E13</f>
        <v>6 и менее баллов</v>
      </c>
    </row>
    <row r="43" spans="1:3" ht="25.5">
      <c r="A43" s="22" t="s">
        <v>43</v>
      </c>
      <c r="B43" s="34" t="s">
        <v>44</v>
      </c>
      <c r="C43" s="52" t="str">
        <f>[14]С2.1!E14</f>
        <v>от 200 до 500</v>
      </c>
    </row>
    <row r="44" spans="1:3" ht="25.5">
      <c r="A44" s="22" t="s">
        <v>45</v>
      </c>
      <c r="B44" s="34" t="s">
        <v>46</v>
      </c>
      <c r="C44" s="53" t="str">
        <f>[14]С2.1!E15</f>
        <v>нет</v>
      </c>
    </row>
    <row r="45" spans="1:3" ht="30">
      <c r="A45" s="22" t="s">
        <v>47</v>
      </c>
      <c r="B45" s="34" t="s">
        <v>48</v>
      </c>
      <c r="C45" s="35">
        <f>[14]С2!F18</f>
        <v>32402.627334033532</v>
      </c>
    </row>
    <row r="46" spans="1:3" ht="30">
      <c r="A46" s="22" t="s">
        <v>49</v>
      </c>
      <c r="B46" s="54" t="s">
        <v>50</v>
      </c>
      <c r="C46" s="35">
        <f>IF([14]С2!F19&gt;0,[14]С2!F19,[14]С2!F20)</f>
        <v>23441.524932855718</v>
      </c>
    </row>
    <row r="47" spans="1:3" ht="25.5">
      <c r="A47" s="22" t="s">
        <v>51</v>
      </c>
      <c r="B47" s="55" t="s">
        <v>52</v>
      </c>
      <c r="C47" s="35">
        <f>[14]С2.1!E19</f>
        <v>-38</v>
      </c>
    </row>
    <row r="48" spans="1:3" ht="25.5">
      <c r="A48" s="22" t="s">
        <v>53</v>
      </c>
      <c r="B48" s="55" t="s">
        <v>54</v>
      </c>
      <c r="C48" s="35" t="str">
        <f>[14]С2.1!E22</f>
        <v>нет</v>
      </c>
    </row>
    <row r="49" spans="1:3" ht="38.25">
      <c r="A49" s="22" t="s">
        <v>55</v>
      </c>
      <c r="B49" s="56" t="s">
        <v>56</v>
      </c>
      <c r="C49" s="35">
        <f>[14]С2.2!E10</f>
        <v>1287</v>
      </c>
    </row>
    <row r="50" spans="1:3" ht="25.5">
      <c r="A50" s="22" t="s">
        <v>57</v>
      </c>
      <c r="B50" s="57" t="s">
        <v>58</v>
      </c>
      <c r="C50" s="35">
        <f>[14]С2.2!E12</f>
        <v>5.97</v>
      </c>
    </row>
    <row r="51" spans="1:3" ht="52.5">
      <c r="A51" s="22" t="s">
        <v>59</v>
      </c>
      <c r="B51" s="58" t="s">
        <v>60</v>
      </c>
      <c r="C51" s="35">
        <f>[14]С2.2!E13</f>
        <v>1</v>
      </c>
    </row>
    <row r="52" spans="1:3" ht="27.75">
      <c r="A52" s="22" t="s">
        <v>61</v>
      </c>
      <c r="B52" s="57" t="s">
        <v>62</v>
      </c>
      <c r="C52" s="35">
        <f>[14]С2.2!E14</f>
        <v>12104</v>
      </c>
    </row>
    <row r="53" spans="1:3" ht="25.5">
      <c r="A53" s="22" t="s">
        <v>63</v>
      </c>
      <c r="B53" s="58" t="s">
        <v>64</v>
      </c>
      <c r="C53" s="36">
        <f>[14]С2.2!E15</f>
        <v>4.8000000000000001E-2</v>
      </c>
    </row>
    <row r="54" spans="1:3">
      <c r="A54" s="22" t="s">
        <v>65</v>
      </c>
      <c r="B54" s="58" t="s">
        <v>66</v>
      </c>
      <c r="C54" s="35">
        <f>[14]С2.2!E16</f>
        <v>1</v>
      </c>
    </row>
    <row r="55" spans="1:3" ht="15.75">
      <c r="A55" s="22" t="s">
        <v>67</v>
      </c>
      <c r="B55" s="59" t="s">
        <v>68</v>
      </c>
      <c r="C55" s="35">
        <f>[14]С2!F21</f>
        <v>1</v>
      </c>
    </row>
    <row r="56" spans="1:3" ht="30">
      <c r="A56" s="60" t="s">
        <v>69</v>
      </c>
      <c r="B56" s="34" t="s">
        <v>70</v>
      </c>
      <c r="C56" s="35">
        <f>[14]С2!F13</f>
        <v>169640.22915965237</v>
      </c>
    </row>
    <row r="57" spans="1:3" ht="30">
      <c r="A57" s="60" t="s">
        <v>71</v>
      </c>
      <c r="B57" s="59" t="s">
        <v>72</v>
      </c>
      <c r="C57" s="35">
        <f>[14]С2!F14</f>
        <v>113455</v>
      </c>
    </row>
    <row r="58" spans="1:3" ht="15.75">
      <c r="A58" s="60" t="s">
        <v>73</v>
      </c>
      <c r="B58" s="61" t="s">
        <v>74</v>
      </c>
      <c r="C58" s="41">
        <f>[14]С2!F15</f>
        <v>1.071</v>
      </c>
    </row>
    <row r="59" spans="1:3" ht="15.75">
      <c r="A59" s="60" t="s">
        <v>75</v>
      </c>
      <c r="B59" s="61" t="s">
        <v>76</v>
      </c>
      <c r="C59" s="41">
        <f>[14]С2!F16</f>
        <v>1</v>
      </c>
    </row>
    <row r="60" spans="1:3" ht="17.25">
      <c r="A60" s="60" t="s">
        <v>77</v>
      </c>
      <c r="B60" s="59" t="s">
        <v>78</v>
      </c>
      <c r="C60" s="35">
        <f>[14]С2!F17</f>
        <v>1.01</v>
      </c>
    </row>
    <row r="61" spans="1:3" s="64" customFormat="1" ht="14.25">
      <c r="A61" s="60" t="s">
        <v>79</v>
      </c>
      <c r="B61" s="62" t="s">
        <v>80</v>
      </c>
      <c r="C61" s="63">
        <f>[14]С2!F33</f>
        <v>10</v>
      </c>
    </row>
    <row r="62" spans="1:3" ht="30">
      <c r="A62" s="60" t="s">
        <v>81</v>
      </c>
      <c r="B62" s="65" t="s">
        <v>82</v>
      </c>
      <c r="C62" s="35">
        <f>[14]С2!F26</f>
        <v>2274.3932248182782</v>
      </c>
    </row>
    <row r="63" spans="1:3" ht="17.25">
      <c r="A63" s="60" t="s">
        <v>83</v>
      </c>
      <c r="B63" s="54" t="s">
        <v>84</v>
      </c>
      <c r="C63" s="35">
        <f>[14]С2!F27</f>
        <v>0.391761629</v>
      </c>
    </row>
    <row r="64" spans="1:3" ht="17.25">
      <c r="A64" s="60" t="s">
        <v>85</v>
      </c>
      <c r="B64" s="59" t="s">
        <v>86</v>
      </c>
      <c r="C64" s="63">
        <f>[14]С2!F28</f>
        <v>4200</v>
      </c>
    </row>
    <row r="65" spans="1:3" ht="42.75">
      <c r="A65" s="60" t="s">
        <v>87</v>
      </c>
      <c r="B65" s="34" t="s">
        <v>88</v>
      </c>
      <c r="C65" s="35">
        <f>[14]С2!F22</f>
        <v>35717.748653137714</v>
      </c>
    </row>
    <row r="66" spans="1:3" ht="30">
      <c r="A66" s="60" t="s">
        <v>89</v>
      </c>
      <c r="B66" s="61" t="s">
        <v>90</v>
      </c>
      <c r="C66" s="35">
        <f>[14]С2!F23</f>
        <v>1990</v>
      </c>
    </row>
    <row r="67" spans="1:3" ht="30">
      <c r="A67" s="60" t="s">
        <v>91</v>
      </c>
      <c r="B67" s="54" t="s">
        <v>92</v>
      </c>
      <c r="C67" s="35">
        <f>[14]С2.1!E27</f>
        <v>14307.876789999998</v>
      </c>
    </row>
    <row r="68" spans="1:3" ht="38.25">
      <c r="A68" s="60" t="s">
        <v>93</v>
      </c>
      <c r="B68" s="66" t="s">
        <v>94</v>
      </c>
      <c r="C68" s="53">
        <f>[14]С2.3!E21</f>
        <v>0</v>
      </c>
    </row>
    <row r="69" spans="1:3" ht="25.5">
      <c r="A69" s="60" t="s">
        <v>95</v>
      </c>
      <c r="B69" s="67" t="s">
        <v>96</v>
      </c>
      <c r="C69" s="68">
        <f>[14]С2.3!E11</f>
        <v>9.89</v>
      </c>
    </row>
    <row r="70" spans="1:3" ht="25.5">
      <c r="A70" s="60" t="s">
        <v>97</v>
      </c>
      <c r="B70" s="67" t="s">
        <v>98</v>
      </c>
      <c r="C70" s="63">
        <f>[14]С2.3!E13</f>
        <v>300</v>
      </c>
    </row>
    <row r="71" spans="1:3" ht="25.5">
      <c r="A71" s="60" t="s">
        <v>99</v>
      </c>
      <c r="B71" s="66" t="s">
        <v>100</v>
      </c>
      <c r="C71" s="69">
        <f>IF([14]С2.3!E22&gt;0,[14]С2.3!E22,[14]С2.3!E14)</f>
        <v>61211</v>
      </c>
    </row>
    <row r="72" spans="1:3" ht="38.25">
      <c r="A72" s="60" t="s">
        <v>101</v>
      </c>
      <c r="B72" s="66" t="s">
        <v>102</v>
      </c>
      <c r="C72" s="69">
        <f>IF([14]С2.3!E23&gt;0,[14]С2.3!E23,[14]С2.3!E15)</f>
        <v>45675</v>
      </c>
    </row>
    <row r="73" spans="1:3" ht="30">
      <c r="A73" s="60" t="s">
        <v>103</v>
      </c>
      <c r="B73" s="54" t="s">
        <v>104</v>
      </c>
      <c r="C73" s="35">
        <f>[14]С2.1!E28</f>
        <v>9541.9567200000001</v>
      </c>
    </row>
    <row r="74" spans="1:3" ht="38.25">
      <c r="A74" s="60" t="s">
        <v>105</v>
      </c>
      <c r="B74" s="66" t="s">
        <v>106</v>
      </c>
      <c r="C74" s="53">
        <f>[14]С2.3!E25</f>
        <v>0</v>
      </c>
    </row>
    <row r="75" spans="1:3" ht="25.5">
      <c r="A75" s="60" t="s">
        <v>107</v>
      </c>
      <c r="B75" s="67" t="s">
        <v>108</v>
      </c>
      <c r="C75" s="68">
        <f>[14]С2.3!E12</f>
        <v>0.56000000000000005</v>
      </c>
    </row>
    <row r="76" spans="1:3" ht="25.5">
      <c r="A76" s="60" t="s">
        <v>109</v>
      </c>
      <c r="B76" s="67" t="s">
        <v>98</v>
      </c>
      <c r="C76" s="63">
        <f>[14]С2.3!E13</f>
        <v>300</v>
      </c>
    </row>
    <row r="77" spans="1:3" ht="25.5">
      <c r="A77" s="60" t="s">
        <v>110</v>
      </c>
      <c r="B77" s="70" t="s">
        <v>111</v>
      </c>
      <c r="C77" s="69">
        <f>IF([14]С2.3!E26&gt;0,[14]С2.3!E26,[14]С2.3!E16)</f>
        <v>65637</v>
      </c>
    </row>
    <row r="78" spans="1:3" ht="38.25">
      <c r="A78" s="60" t="s">
        <v>112</v>
      </c>
      <c r="B78" s="70" t="s">
        <v>113</v>
      </c>
      <c r="C78" s="69">
        <f>IF([14]С2.3!E27&gt;0,[14]С2.3!E27,[14]С2.3!E17)</f>
        <v>31684</v>
      </c>
    </row>
    <row r="79" spans="1:3" ht="17.25">
      <c r="A79" s="60" t="s">
        <v>114</v>
      </c>
      <c r="B79" s="34" t="s">
        <v>115</v>
      </c>
      <c r="C79" s="36">
        <f>[14]С2!F29</f>
        <v>0.128978033685065</v>
      </c>
    </row>
    <row r="80" spans="1:3" ht="30">
      <c r="A80" s="60" t="s">
        <v>116</v>
      </c>
      <c r="B80" s="54" t="s">
        <v>117</v>
      </c>
      <c r="C80" s="71">
        <f>[14]С2!F30</f>
        <v>0.11668498168498169</v>
      </c>
    </row>
    <row r="81" spans="1:3" ht="17.25">
      <c r="A81" s="60" t="s">
        <v>118</v>
      </c>
      <c r="B81" s="72" t="s">
        <v>119</v>
      </c>
      <c r="C81" s="36">
        <f>[14]С2!F31</f>
        <v>0.13880000000000001</v>
      </c>
    </row>
    <row r="82" spans="1:3" s="64" customFormat="1" ht="18" thickBot="1">
      <c r="A82" s="73" t="s">
        <v>120</v>
      </c>
      <c r="B82" s="74" t="s">
        <v>121</v>
      </c>
      <c r="C82" s="75">
        <f>[14]С2!F32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[14]С3!F14</f>
        <v>7051.1767451401192</v>
      </c>
    </row>
    <row r="86" spans="1:3" s="64" customFormat="1" ht="42.75">
      <c r="A86" s="78" t="s">
        <v>126</v>
      </c>
      <c r="B86" s="54" t="s">
        <v>127</v>
      </c>
      <c r="C86" s="79">
        <f>[14]С3!F15</f>
        <v>0.2</v>
      </c>
    </row>
    <row r="87" spans="1:3" s="64" customFormat="1" ht="14.25">
      <c r="A87" s="78" t="s">
        <v>128</v>
      </c>
      <c r="B87" s="80" t="s">
        <v>129</v>
      </c>
      <c r="C87" s="63">
        <f>[14]С3!F18</f>
        <v>15</v>
      </c>
    </row>
    <row r="88" spans="1:3" s="64" customFormat="1" ht="17.25">
      <c r="A88" s="78" t="s">
        <v>130</v>
      </c>
      <c r="B88" s="34" t="s">
        <v>131</v>
      </c>
      <c r="C88" s="35">
        <f>[14]С3!F19</f>
        <v>3487.1555421534131</v>
      </c>
    </row>
    <row r="89" spans="1:3" s="64" customFormat="1" ht="55.5">
      <c r="A89" s="78" t="s">
        <v>132</v>
      </c>
      <c r="B89" s="54" t="s">
        <v>133</v>
      </c>
      <c r="C89" s="81">
        <f>[14]С3!F20</f>
        <v>2.1999999999999999E-2</v>
      </c>
    </row>
    <row r="90" spans="1:3" s="64" customFormat="1" ht="14.25">
      <c r="A90" s="78" t="s">
        <v>134</v>
      </c>
      <c r="B90" s="59" t="s">
        <v>80</v>
      </c>
      <c r="C90" s="63">
        <f>[14]С3!F21</f>
        <v>10</v>
      </c>
    </row>
    <row r="91" spans="1:3" s="64" customFormat="1" ht="17.25">
      <c r="A91" s="78" t="s">
        <v>135</v>
      </c>
      <c r="B91" s="34" t="s">
        <v>136</v>
      </c>
      <c r="C91" s="35">
        <f>[14]С3!F22</f>
        <v>6.8231796744548348</v>
      </c>
    </row>
    <row r="92" spans="1:3" s="64" customFormat="1" ht="55.5">
      <c r="A92" s="78" t="s">
        <v>137</v>
      </c>
      <c r="B92" s="54" t="s">
        <v>138</v>
      </c>
      <c r="C92" s="81">
        <f>[14]С3!F23</f>
        <v>3.0000000000000001E-3</v>
      </c>
    </row>
    <row r="93" spans="1:3" s="64" customFormat="1" ht="27.75" thickBot="1">
      <c r="A93" s="82" t="s">
        <v>139</v>
      </c>
      <c r="B93" s="83" t="s">
        <v>140</v>
      </c>
      <c r="C93" s="84">
        <f>[14]С3!F24</f>
        <v>2274.3932248182782</v>
      </c>
    </row>
    <row r="94" spans="1:3" ht="13.5" thickBot="1">
      <c r="A94" s="48"/>
      <c r="B94" s="76"/>
      <c r="C94" s="15"/>
    </row>
    <row r="95" spans="1:3" ht="30" customHeight="1">
      <c r="A95" s="85" t="s">
        <v>141</v>
      </c>
      <c r="B95" s="142" t="s">
        <v>142</v>
      </c>
      <c r="C95" s="142"/>
    </row>
    <row r="96" spans="1:3" ht="30">
      <c r="A96" s="60" t="s">
        <v>143</v>
      </c>
      <c r="B96" s="34" t="s">
        <v>144</v>
      </c>
      <c r="C96" s="35">
        <f>[14]С4!F16</f>
        <v>1652.5</v>
      </c>
    </row>
    <row r="97" spans="1:3" ht="30">
      <c r="A97" s="60" t="s">
        <v>145</v>
      </c>
      <c r="B97" s="59" t="s">
        <v>146</v>
      </c>
      <c r="C97" s="35">
        <f>[14]С4!F17</f>
        <v>73547</v>
      </c>
    </row>
    <row r="98" spans="1:3" ht="17.25">
      <c r="A98" s="60" t="s">
        <v>147</v>
      </c>
      <c r="B98" s="59" t="s">
        <v>148</v>
      </c>
      <c r="C98" s="41">
        <f>[14]С4!F18</f>
        <v>0.02</v>
      </c>
    </row>
    <row r="99" spans="1:3" ht="30">
      <c r="A99" s="60" t="s">
        <v>149</v>
      </c>
      <c r="B99" s="59" t="s">
        <v>150</v>
      </c>
      <c r="C99" s="35">
        <f>[14]С4!F19</f>
        <v>12104</v>
      </c>
    </row>
    <row r="100" spans="1:3" ht="31.5">
      <c r="A100" s="60" t="s">
        <v>151</v>
      </c>
      <c r="B100" s="59" t="s">
        <v>152</v>
      </c>
      <c r="C100" s="41">
        <f>[14]С4!F20</f>
        <v>1.4999999999999999E-2</v>
      </c>
    </row>
    <row r="101" spans="1:3" ht="30">
      <c r="A101" s="60" t="s">
        <v>153</v>
      </c>
      <c r="B101" s="34" t="s">
        <v>154</v>
      </c>
      <c r="C101" s="35">
        <f>[14]С4!F21</f>
        <v>1933.1949342509995</v>
      </c>
    </row>
    <row r="102" spans="1:3" ht="24" customHeight="1">
      <c r="A102" s="60" t="s">
        <v>155</v>
      </c>
      <c r="B102" s="54" t="s">
        <v>156</v>
      </c>
      <c r="C102" s="86">
        <f>IF([14]С4.2!F8="да",[14]С4.2!D21,[14]С4.2!D15)</f>
        <v>0</v>
      </c>
    </row>
    <row r="103" spans="1:3" ht="68.25">
      <c r="A103" s="60" t="s">
        <v>157</v>
      </c>
      <c r="B103" s="54" t="s">
        <v>158</v>
      </c>
      <c r="C103" s="35">
        <f>[14]С4!F22</f>
        <v>3.6112641666666665</v>
      </c>
    </row>
    <row r="104" spans="1:3" ht="30">
      <c r="A104" s="60" t="s">
        <v>159</v>
      </c>
      <c r="B104" s="59" t="s">
        <v>160</v>
      </c>
      <c r="C104" s="35">
        <f>[14]С4!F23</f>
        <v>180</v>
      </c>
    </row>
    <row r="105" spans="1:3" ht="14.25">
      <c r="A105" s="60" t="s">
        <v>161</v>
      </c>
      <c r="B105" s="54" t="s">
        <v>162</v>
      </c>
      <c r="C105" s="35">
        <f>[14]С4!F24</f>
        <v>8497.1999999999989</v>
      </c>
    </row>
    <row r="106" spans="1:3" ht="14.25">
      <c r="A106" s="60" t="s">
        <v>163</v>
      </c>
      <c r="B106" s="59" t="s">
        <v>164</v>
      </c>
      <c r="C106" s="41">
        <f>[14]С4!F25</f>
        <v>0.35</v>
      </c>
    </row>
    <row r="107" spans="1:3" ht="17.25">
      <c r="A107" s="60" t="s">
        <v>165</v>
      </c>
      <c r="B107" s="34" t="s">
        <v>166</v>
      </c>
      <c r="C107" s="35">
        <f>[14]С4!F26</f>
        <v>74.126190000000008</v>
      </c>
    </row>
    <row r="108" spans="1:3" ht="25.5">
      <c r="A108" s="60" t="s">
        <v>167</v>
      </c>
      <c r="B108" s="54" t="s">
        <v>94</v>
      </c>
      <c r="C108" s="86">
        <f>[14]С4.3!E16</f>
        <v>0</v>
      </c>
    </row>
    <row r="109" spans="1:3" ht="25.5">
      <c r="A109" s="60" t="s">
        <v>168</v>
      </c>
      <c r="B109" s="54" t="s">
        <v>169</v>
      </c>
      <c r="C109" s="35">
        <f>[14]С4.3!E17</f>
        <v>20.21</v>
      </c>
    </row>
    <row r="110" spans="1:3" ht="38.25">
      <c r="A110" s="60" t="s">
        <v>170</v>
      </c>
      <c r="B110" s="54" t="s">
        <v>106</v>
      </c>
      <c r="C110" s="86">
        <f>[14]С4.3!E18</f>
        <v>0</v>
      </c>
    </row>
    <row r="111" spans="1:3">
      <c r="A111" s="60" t="s">
        <v>171</v>
      </c>
      <c r="B111" s="54" t="s">
        <v>172</v>
      </c>
      <c r="C111" s="35">
        <f>[14]С4.3!E19</f>
        <v>15.93</v>
      </c>
    </row>
    <row r="112" spans="1:3">
      <c r="A112" s="60" t="s">
        <v>173</v>
      </c>
      <c r="B112" s="59" t="s">
        <v>174</v>
      </c>
      <c r="C112" s="35">
        <f>[14]С4.3!E11</f>
        <v>1871</v>
      </c>
    </row>
    <row r="113" spans="1:3">
      <c r="A113" s="60" t="s">
        <v>175</v>
      </c>
      <c r="B113" s="59" t="s">
        <v>176</v>
      </c>
      <c r="C113" s="53">
        <f>[14]С4.3!E12</f>
        <v>1636</v>
      </c>
    </row>
    <row r="114" spans="1:3">
      <c r="A114" s="60" t="s">
        <v>177</v>
      </c>
      <c r="B114" s="59" t="s">
        <v>178</v>
      </c>
      <c r="C114" s="53">
        <f>[14]С4.3!E13</f>
        <v>204</v>
      </c>
    </row>
    <row r="115" spans="1:3" ht="30">
      <c r="A115" s="60" t="s">
        <v>179</v>
      </c>
      <c r="B115" s="34" t="s">
        <v>180</v>
      </c>
      <c r="C115" s="35">
        <f>[14]С4!F27</f>
        <v>2164.8316773434499</v>
      </c>
    </row>
    <row r="116" spans="1:3" ht="25.5">
      <c r="A116" s="60" t="s">
        <v>181</v>
      </c>
      <c r="B116" s="54" t="s">
        <v>182</v>
      </c>
      <c r="C116" s="35">
        <f>[14]С4!F28</f>
        <v>1662.6971408167815</v>
      </c>
    </row>
    <row r="117" spans="1:3" ht="42.75">
      <c r="A117" s="60" t="s">
        <v>183</v>
      </c>
      <c r="B117" s="54" t="s">
        <v>184</v>
      </c>
      <c r="C117" s="35">
        <f>[14]С4!F29</f>
        <v>502.13453652666817</v>
      </c>
    </row>
    <row r="118" spans="1:3" ht="30">
      <c r="A118" s="60" t="s">
        <v>185</v>
      </c>
      <c r="B118" s="40" t="s">
        <v>186</v>
      </c>
      <c r="C118" s="35">
        <f>[14]С4!F30</f>
        <v>2277.2240689419418</v>
      </c>
    </row>
    <row r="119" spans="1:3" ht="42.75">
      <c r="A119" s="60" t="s">
        <v>187</v>
      </c>
      <c r="B119" s="87" t="s">
        <v>188</v>
      </c>
      <c r="C119" s="35">
        <f>[14]С4!F33</f>
        <v>1481.0131037197286</v>
      </c>
    </row>
    <row r="120" spans="1:3" ht="30">
      <c r="A120" s="60" t="s">
        <v>189</v>
      </c>
      <c r="B120" s="88" t="s">
        <v>190</v>
      </c>
      <c r="C120" s="35">
        <f>[14]С4!F35</f>
        <v>17.040680999999999</v>
      </c>
    </row>
    <row r="121" spans="1:3" ht="14.25">
      <c r="A121" s="60" t="s">
        <v>191</v>
      </c>
      <c r="B121" s="57" t="s">
        <v>192</v>
      </c>
      <c r="C121" s="35">
        <f>[14]С4!F36</f>
        <v>14319.9</v>
      </c>
    </row>
    <row r="122" spans="1:3" ht="28.5" thickBot="1">
      <c r="A122" s="73" t="s">
        <v>193</v>
      </c>
      <c r="B122" s="89" t="s">
        <v>194</v>
      </c>
      <c r="C122" s="84">
        <f>[14]С4!F37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[14]С5!F17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[14]С2!F37</f>
        <v>20.818139999999996</v>
      </c>
    </row>
    <row r="136" spans="1:3" ht="14.25">
      <c r="A136" s="60" t="s">
        <v>216</v>
      </c>
      <c r="B136" s="102" t="s">
        <v>217</v>
      </c>
      <c r="C136" s="35">
        <f>[14]С2!F38</f>
        <v>7</v>
      </c>
    </row>
    <row r="137" spans="1:3" ht="17.25">
      <c r="A137" s="60" t="s">
        <v>218</v>
      </c>
      <c r="B137" s="102" t="s">
        <v>219</v>
      </c>
      <c r="C137" s="35">
        <f>[14]С2!F40</f>
        <v>0.97</v>
      </c>
    </row>
    <row r="138" spans="1:3" ht="15" thickBot="1">
      <c r="A138" s="73" t="s">
        <v>220</v>
      </c>
      <c r="B138" s="103" t="s">
        <v>221</v>
      </c>
      <c r="C138" s="47">
        <f>[14]С2!F42</f>
        <v>0.35</v>
      </c>
    </row>
    <row r="139" spans="1:3" s="90" customFormat="1" ht="13.5" thickBot="1">
      <c r="A139" s="48"/>
      <c r="B139" s="76"/>
      <c r="C139" s="15"/>
    </row>
    <row r="140" spans="1:3" ht="30">
      <c r="A140" s="85" t="s">
        <v>222</v>
      </c>
      <c r="B140" s="104" t="s">
        <v>223</v>
      </c>
      <c r="C140" s="105">
        <f>[14]С2!F35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[14]С2.5!$E$11</f>
        <v>-2.9000000000000026E-2</v>
      </c>
    </row>
    <row r="144" spans="1:3">
      <c r="A144" s="107"/>
      <c r="B144" s="112">
        <f>B143+1</f>
        <v>2021</v>
      </c>
      <c r="C144" s="113">
        <f>[14]С2.5!$F$11</f>
        <v>0.245</v>
      </c>
    </row>
    <row r="145" spans="1:3">
      <c r="A145" s="107"/>
      <c r="B145" s="112">
        <f t="shared" ref="B145:B208" si="0">B144+1</f>
        <v>2022</v>
      </c>
      <c r="C145" s="113">
        <f>[14]С2.5!$G$11</f>
        <v>0.121</v>
      </c>
    </row>
    <row r="146" spans="1:3" ht="13.5" thickBot="1">
      <c r="A146" s="107"/>
      <c r="B146" s="114">
        <f t="shared" si="0"/>
        <v>2023</v>
      </c>
      <c r="C146" s="115">
        <f>[14]С2.5!$H$11</f>
        <v>0.02</v>
      </c>
    </row>
    <row r="147" spans="1:3" hidden="1">
      <c r="A147" s="107"/>
      <c r="B147" s="116">
        <f t="shared" si="0"/>
        <v>2024</v>
      </c>
      <c r="C147" s="117">
        <f>[14]С2.5!$I$11</f>
        <v>-2.93E-2</v>
      </c>
    </row>
    <row r="148" spans="1:3" hidden="1">
      <c r="A148" s="107"/>
      <c r="B148" s="112">
        <f t="shared" si="0"/>
        <v>2025</v>
      </c>
      <c r="C148" s="113">
        <f>[14]С2.5!$J$11</f>
        <v>0.21215960863291</v>
      </c>
    </row>
    <row r="149" spans="1:3" hidden="1">
      <c r="A149" s="107"/>
      <c r="B149" s="112">
        <f t="shared" si="0"/>
        <v>2026</v>
      </c>
      <c r="C149" s="113">
        <f>[14]С2.5!$K$11</f>
        <v>3.5813361771260002E-2</v>
      </c>
    </row>
    <row r="150" spans="1:3" hidden="1">
      <c r="A150" s="107"/>
      <c r="B150" s="112">
        <f t="shared" si="0"/>
        <v>2027</v>
      </c>
      <c r="C150" s="113">
        <f>[14]С2.5!$L$11</f>
        <v>3.2682303599220003E-2</v>
      </c>
    </row>
    <row r="151" spans="1:3" hidden="1">
      <c r="A151" s="107"/>
      <c r="B151" s="112">
        <f t="shared" si="0"/>
        <v>2028</v>
      </c>
      <c r="C151" s="113">
        <f>[14]С2.5!$M$11</f>
        <v>0</v>
      </c>
    </row>
    <row r="152" spans="1:3" hidden="1">
      <c r="A152" s="107"/>
      <c r="B152" s="112">
        <f t="shared" si="0"/>
        <v>2029</v>
      </c>
      <c r="C152" s="113">
        <f>[14]С2.5!$N$11</f>
        <v>0</v>
      </c>
    </row>
    <row r="153" spans="1:3" hidden="1">
      <c r="A153" s="107"/>
      <c r="B153" s="112">
        <f t="shared" si="0"/>
        <v>2030</v>
      </c>
      <c r="C153" s="113">
        <f>[14]С2.5!$O$11</f>
        <v>0</v>
      </c>
    </row>
    <row r="154" spans="1:3" hidden="1">
      <c r="A154" s="107"/>
      <c r="B154" s="112">
        <f t="shared" si="0"/>
        <v>2031</v>
      </c>
      <c r="C154" s="113">
        <f>[14]С2.5!$P$11</f>
        <v>0</v>
      </c>
    </row>
    <row r="155" spans="1:3" hidden="1">
      <c r="A155" s="90"/>
      <c r="B155" s="112">
        <f t="shared" si="0"/>
        <v>2032</v>
      </c>
      <c r="C155" s="113">
        <f>[14]С2.5!$Q$11</f>
        <v>0</v>
      </c>
    </row>
    <row r="156" spans="1:3" hidden="1">
      <c r="A156" s="90"/>
      <c r="B156" s="112">
        <f t="shared" si="0"/>
        <v>2033</v>
      </c>
      <c r="C156" s="113">
        <f>[14]С2.5!$R$11</f>
        <v>0</v>
      </c>
    </row>
    <row r="157" spans="1:3" hidden="1">
      <c r="B157" s="112">
        <f t="shared" si="0"/>
        <v>2034</v>
      </c>
      <c r="C157" s="113">
        <f>[14]С2.5!$S$11</f>
        <v>0</v>
      </c>
    </row>
    <row r="158" spans="1:3" hidden="1">
      <c r="B158" s="112">
        <f t="shared" si="0"/>
        <v>2035</v>
      </c>
      <c r="C158" s="113">
        <f>[14]С2.5!$T$11</f>
        <v>0</v>
      </c>
    </row>
    <row r="159" spans="1:3" hidden="1">
      <c r="B159" s="112">
        <f t="shared" si="0"/>
        <v>2036</v>
      </c>
      <c r="C159" s="113">
        <f>[14]С2.5!$U$11</f>
        <v>0</v>
      </c>
    </row>
    <row r="160" spans="1:3" hidden="1">
      <c r="B160" s="112">
        <f t="shared" si="0"/>
        <v>2037</v>
      </c>
      <c r="C160" s="113">
        <f>[14]С2.5!$V$11</f>
        <v>0</v>
      </c>
    </row>
    <row r="161" spans="2:3" hidden="1">
      <c r="B161" s="112">
        <f t="shared" si="0"/>
        <v>2038</v>
      </c>
      <c r="C161" s="113">
        <f>[14]С2.5!$W$11</f>
        <v>0</v>
      </c>
    </row>
    <row r="162" spans="2:3" hidden="1">
      <c r="B162" s="112">
        <f t="shared" si="0"/>
        <v>2039</v>
      </c>
      <c r="C162" s="113">
        <f>[14]С2.5!$X$11</f>
        <v>0</v>
      </c>
    </row>
    <row r="163" spans="2:3" hidden="1">
      <c r="B163" s="112">
        <f t="shared" si="0"/>
        <v>2040</v>
      </c>
      <c r="C163" s="113">
        <f>[14]С2.5!$Y$11</f>
        <v>0</v>
      </c>
    </row>
    <row r="164" spans="2:3" hidden="1">
      <c r="B164" s="112">
        <f t="shared" si="0"/>
        <v>2041</v>
      </c>
      <c r="C164" s="113">
        <f>[14]С2.5!$Z$11</f>
        <v>0</v>
      </c>
    </row>
    <row r="165" spans="2:3" hidden="1">
      <c r="B165" s="112">
        <f t="shared" si="0"/>
        <v>2042</v>
      </c>
      <c r="C165" s="113">
        <f>[14]С2.5!$AA$11</f>
        <v>0</v>
      </c>
    </row>
    <row r="166" spans="2:3" hidden="1">
      <c r="B166" s="112">
        <f t="shared" si="0"/>
        <v>2043</v>
      </c>
      <c r="C166" s="113">
        <f>[14]С2.5!$AB$11</f>
        <v>0</v>
      </c>
    </row>
    <row r="167" spans="2:3" hidden="1">
      <c r="B167" s="112">
        <f t="shared" si="0"/>
        <v>2044</v>
      </c>
      <c r="C167" s="113">
        <f>[14]С2.5!$AC$11</f>
        <v>0</v>
      </c>
    </row>
    <row r="168" spans="2:3" hidden="1">
      <c r="B168" s="112">
        <f t="shared" si="0"/>
        <v>2045</v>
      </c>
      <c r="C168" s="113">
        <f>[14]С2.5!$AD$11</f>
        <v>0</v>
      </c>
    </row>
    <row r="169" spans="2:3" hidden="1">
      <c r="B169" s="112">
        <f t="shared" si="0"/>
        <v>2046</v>
      </c>
      <c r="C169" s="113">
        <f>[14]С2.5!$AE$11</f>
        <v>0</v>
      </c>
    </row>
    <row r="170" spans="2:3" hidden="1">
      <c r="B170" s="112">
        <f t="shared" si="0"/>
        <v>2047</v>
      </c>
      <c r="C170" s="113">
        <f>[14]С2.5!$AF$11</f>
        <v>0</v>
      </c>
    </row>
    <row r="171" spans="2:3" hidden="1">
      <c r="B171" s="112">
        <f t="shared" si="0"/>
        <v>2048</v>
      </c>
      <c r="C171" s="113">
        <f>[14]С2.5!$AG$11</f>
        <v>0</v>
      </c>
    </row>
    <row r="172" spans="2:3" hidden="1">
      <c r="B172" s="112">
        <f t="shared" si="0"/>
        <v>2049</v>
      </c>
      <c r="C172" s="113">
        <f>[14]С2.5!$AH$11</f>
        <v>0</v>
      </c>
    </row>
    <row r="173" spans="2:3" hidden="1">
      <c r="B173" s="112">
        <f t="shared" si="0"/>
        <v>2050</v>
      </c>
      <c r="C173" s="113">
        <f>[14]С2.5!$AI$11</f>
        <v>0</v>
      </c>
    </row>
    <row r="174" spans="2:3" hidden="1">
      <c r="B174" s="112">
        <f t="shared" si="0"/>
        <v>2051</v>
      </c>
      <c r="C174" s="113">
        <f>[14]С2.5!$AJ$11</f>
        <v>0</v>
      </c>
    </row>
    <row r="175" spans="2:3" hidden="1">
      <c r="B175" s="112">
        <f t="shared" si="0"/>
        <v>2052</v>
      </c>
      <c r="C175" s="113">
        <f>[14]С2.5!$AK$11</f>
        <v>0</v>
      </c>
    </row>
    <row r="176" spans="2:3" hidden="1">
      <c r="B176" s="112">
        <f t="shared" si="0"/>
        <v>2053</v>
      </c>
      <c r="C176" s="113">
        <f>[14]С2.5!$AL$11</f>
        <v>0</v>
      </c>
    </row>
    <row r="177" spans="2:3" hidden="1">
      <c r="B177" s="112">
        <f t="shared" si="0"/>
        <v>2054</v>
      </c>
      <c r="C177" s="113">
        <f>[14]С2.5!$AM$11</f>
        <v>0</v>
      </c>
    </row>
    <row r="178" spans="2:3" hidden="1">
      <c r="B178" s="112">
        <f t="shared" si="0"/>
        <v>2055</v>
      </c>
      <c r="C178" s="113">
        <f>[14]С2.5!$AN$11</f>
        <v>0</v>
      </c>
    </row>
    <row r="179" spans="2:3" hidden="1">
      <c r="B179" s="112">
        <f t="shared" si="0"/>
        <v>2056</v>
      </c>
      <c r="C179" s="113">
        <f>[14]С2.5!$AO$11</f>
        <v>0</v>
      </c>
    </row>
    <row r="180" spans="2:3" hidden="1">
      <c r="B180" s="112">
        <f t="shared" si="0"/>
        <v>2057</v>
      </c>
      <c r="C180" s="113">
        <f>[14]С2.5!$AP$11</f>
        <v>0</v>
      </c>
    </row>
    <row r="181" spans="2:3" hidden="1">
      <c r="B181" s="112">
        <f t="shared" si="0"/>
        <v>2058</v>
      </c>
      <c r="C181" s="113">
        <f>[14]С2.5!$AQ$11</f>
        <v>0</v>
      </c>
    </row>
    <row r="182" spans="2:3" hidden="1">
      <c r="B182" s="112">
        <f t="shared" si="0"/>
        <v>2059</v>
      </c>
      <c r="C182" s="113">
        <f>[14]С2.5!$AR$11</f>
        <v>0</v>
      </c>
    </row>
    <row r="183" spans="2:3" hidden="1">
      <c r="B183" s="112">
        <f t="shared" si="0"/>
        <v>2060</v>
      </c>
      <c r="C183" s="113">
        <f>[14]С2.5!$AS$11</f>
        <v>0</v>
      </c>
    </row>
    <row r="184" spans="2:3" hidden="1">
      <c r="B184" s="112">
        <f t="shared" si="0"/>
        <v>2061</v>
      </c>
      <c r="C184" s="113">
        <f>[14]С2.5!$AT$11</f>
        <v>0</v>
      </c>
    </row>
    <row r="185" spans="2:3" hidden="1">
      <c r="B185" s="112">
        <f t="shared" si="0"/>
        <v>2062</v>
      </c>
      <c r="C185" s="113">
        <f>[14]С2.5!$AU$11</f>
        <v>0</v>
      </c>
    </row>
    <row r="186" spans="2:3" hidden="1">
      <c r="B186" s="112">
        <f t="shared" si="0"/>
        <v>2063</v>
      </c>
      <c r="C186" s="113">
        <f>[14]С2.5!$AV$11</f>
        <v>0</v>
      </c>
    </row>
    <row r="187" spans="2:3" hidden="1">
      <c r="B187" s="112">
        <f t="shared" si="0"/>
        <v>2064</v>
      </c>
      <c r="C187" s="113">
        <f>[14]С2.5!$AW$11</f>
        <v>0</v>
      </c>
    </row>
    <row r="188" spans="2:3" hidden="1">
      <c r="B188" s="112">
        <f t="shared" si="0"/>
        <v>2065</v>
      </c>
      <c r="C188" s="113">
        <f>[14]С2.5!$AX$11</f>
        <v>0</v>
      </c>
    </row>
    <row r="189" spans="2:3" hidden="1">
      <c r="B189" s="112">
        <f t="shared" si="0"/>
        <v>2066</v>
      </c>
      <c r="C189" s="113">
        <f>[14]С2.5!$AY$11</f>
        <v>0</v>
      </c>
    </row>
    <row r="190" spans="2:3" hidden="1">
      <c r="B190" s="112">
        <f t="shared" si="0"/>
        <v>2067</v>
      </c>
      <c r="C190" s="113">
        <f>[14]С2.5!$AZ$11</f>
        <v>0</v>
      </c>
    </row>
    <row r="191" spans="2:3" hidden="1">
      <c r="B191" s="112">
        <f t="shared" si="0"/>
        <v>2068</v>
      </c>
      <c r="C191" s="113">
        <f>[14]С2.5!$BA$11</f>
        <v>0</v>
      </c>
    </row>
    <row r="192" spans="2:3" hidden="1">
      <c r="B192" s="112">
        <f t="shared" si="0"/>
        <v>2069</v>
      </c>
      <c r="C192" s="113">
        <f>[14]С2.5!$BB$11</f>
        <v>0</v>
      </c>
    </row>
    <row r="193" spans="2:3" hidden="1">
      <c r="B193" s="112">
        <f t="shared" si="0"/>
        <v>2070</v>
      </c>
      <c r="C193" s="113">
        <f>[14]С2.5!$BC$11</f>
        <v>0</v>
      </c>
    </row>
    <row r="194" spans="2:3" hidden="1">
      <c r="B194" s="112">
        <f t="shared" si="0"/>
        <v>2071</v>
      </c>
      <c r="C194" s="113">
        <f>[14]С2.5!$BD$11</f>
        <v>0</v>
      </c>
    </row>
    <row r="195" spans="2:3" hidden="1">
      <c r="B195" s="112">
        <f t="shared" si="0"/>
        <v>2072</v>
      </c>
      <c r="C195" s="113">
        <f>[14]С2.5!$BE$11</f>
        <v>0</v>
      </c>
    </row>
    <row r="196" spans="2:3" hidden="1">
      <c r="B196" s="112">
        <f t="shared" si="0"/>
        <v>2073</v>
      </c>
      <c r="C196" s="113">
        <f>[14]С2.5!$BF$11</f>
        <v>0</v>
      </c>
    </row>
    <row r="197" spans="2:3" hidden="1">
      <c r="B197" s="112">
        <f t="shared" si="0"/>
        <v>2074</v>
      </c>
      <c r="C197" s="113">
        <f>[14]С2.5!$BG$11</f>
        <v>0</v>
      </c>
    </row>
    <row r="198" spans="2:3" hidden="1">
      <c r="B198" s="112">
        <f t="shared" si="0"/>
        <v>2075</v>
      </c>
      <c r="C198" s="113">
        <f>[14]С2.5!$BH$11</f>
        <v>0</v>
      </c>
    </row>
    <row r="199" spans="2:3" hidden="1">
      <c r="B199" s="112">
        <f t="shared" si="0"/>
        <v>2076</v>
      </c>
      <c r="C199" s="113">
        <f>[14]С2.5!$BI$11</f>
        <v>0</v>
      </c>
    </row>
    <row r="200" spans="2:3" hidden="1">
      <c r="B200" s="112">
        <f t="shared" si="0"/>
        <v>2077</v>
      </c>
      <c r="C200" s="113">
        <f>[14]С2.5!$BJ$11</f>
        <v>0</v>
      </c>
    </row>
    <row r="201" spans="2:3" hidden="1">
      <c r="B201" s="112">
        <f t="shared" si="0"/>
        <v>2078</v>
      </c>
      <c r="C201" s="113">
        <f>[14]С2.5!$BK$11</f>
        <v>0</v>
      </c>
    </row>
    <row r="202" spans="2:3" hidden="1">
      <c r="B202" s="112">
        <f t="shared" si="0"/>
        <v>2079</v>
      </c>
      <c r="C202" s="113">
        <f>[14]С2.5!$BL$11</f>
        <v>0</v>
      </c>
    </row>
    <row r="203" spans="2:3" hidden="1">
      <c r="B203" s="112">
        <f t="shared" si="0"/>
        <v>2080</v>
      </c>
      <c r="C203" s="113">
        <f>[14]С2.5!$BM$11</f>
        <v>0</v>
      </c>
    </row>
    <row r="204" spans="2:3" hidden="1">
      <c r="B204" s="112">
        <f t="shared" si="0"/>
        <v>2081</v>
      </c>
      <c r="C204" s="113">
        <f>[14]С2.5!$BN$11</f>
        <v>0</v>
      </c>
    </row>
    <row r="205" spans="2:3" hidden="1">
      <c r="B205" s="112">
        <f t="shared" si="0"/>
        <v>2082</v>
      </c>
      <c r="C205" s="113">
        <f>[14]С2.5!$BO$11</f>
        <v>0</v>
      </c>
    </row>
    <row r="206" spans="2:3" hidden="1">
      <c r="B206" s="112">
        <f t="shared" si="0"/>
        <v>2083</v>
      </c>
      <c r="C206" s="113">
        <f>[14]С2.5!$BP$11</f>
        <v>0</v>
      </c>
    </row>
    <row r="207" spans="2:3" hidden="1">
      <c r="B207" s="112">
        <f t="shared" si="0"/>
        <v>2084</v>
      </c>
      <c r="C207" s="113">
        <f>[14]С2.5!$BQ$11</f>
        <v>0</v>
      </c>
    </row>
    <row r="208" spans="2:3" hidden="1">
      <c r="B208" s="112">
        <f t="shared" si="0"/>
        <v>2085</v>
      </c>
      <c r="C208" s="113">
        <f>[14]С2.5!$BR$11</f>
        <v>0</v>
      </c>
    </row>
    <row r="209" spans="2:3" hidden="1">
      <c r="B209" s="112">
        <f t="shared" ref="B209:B223" si="1">B208+1</f>
        <v>2086</v>
      </c>
      <c r="C209" s="113">
        <f>[14]С2.5!$BS$11</f>
        <v>0</v>
      </c>
    </row>
    <row r="210" spans="2:3" hidden="1">
      <c r="B210" s="112">
        <f t="shared" si="1"/>
        <v>2087</v>
      </c>
      <c r="C210" s="113">
        <f>[14]С2.5!$BT$11</f>
        <v>0</v>
      </c>
    </row>
    <row r="211" spans="2:3" hidden="1">
      <c r="B211" s="112">
        <f t="shared" si="1"/>
        <v>2088</v>
      </c>
      <c r="C211" s="113">
        <f>[14]С2.5!$BU$11</f>
        <v>0</v>
      </c>
    </row>
    <row r="212" spans="2:3" hidden="1">
      <c r="B212" s="112">
        <f t="shared" si="1"/>
        <v>2089</v>
      </c>
      <c r="C212" s="113">
        <f>[14]С2.5!$BV$11</f>
        <v>0</v>
      </c>
    </row>
    <row r="213" spans="2:3" hidden="1">
      <c r="B213" s="112">
        <f t="shared" si="1"/>
        <v>2090</v>
      </c>
      <c r="C213" s="113">
        <f>[14]С2.5!$BW$11</f>
        <v>0</v>
      </c>
    </row>
    <row r="214" spans="2:3" hidden="1">
      <c r="B214" s="112">
        <f t="shared" si="1"/>
        <v>2091</v>
      </c>
      <c r="C214" s="113">
        <f>[14]С2.5!$BX$11</f>
        <v>0</v>
      </c>
    </row>
    <row r="215" spans="2:3" hidden="1">
      <c r="B215" s="112">
        <f t="shared" si="1"/>
        <v>2092</v>
      </c>
      <c r="C215" s="113">
        <f>[14]С2.5!$BY$11</f>
        <v>0</v>
      </c>
    </row>
    <row r="216" spans="2:3" hidden="1">
      <c r="B216" s="112">
        <f t="shared" si="1"/>
        <v>2093</v>
      </c>
      <c r="C216" s="113">
        <f>[14]С2.5!$BZ$11</f>
        <v>0</v>
      </c>
    </row>
    <row r="217" spans="2:3" hidden="1">
      <c r="B217" s="112">
        <f t="shared" si="1"/>
        <v>2094</v>
      </c>
      <c r="C217" s="113">
        <f>[14]С2.5!$CA$11</f>
        <v>0</v>
      </c>
    </row>
    <row r="218" spans="2:3" hidden="1">
      <c r="B218" s="112">
        <f t="shared" si="1"/>
        <v>2095</v>
      </c>
      <c r="C218" s="113">
        <f>[14]С2.5!$CB$11</f>
        <v>0</v>
      </c>
    </row>
    <row r="219" spans="2:3" hidden="1">
      <c r="B219" s="112">
        <f t="shared" si="1"/>
        <v>2096</v>
      </c>
      <c r="C219" s="113">
        <f>[14]С2.5!$CC$11</f>
        <v>0</v>
      </c>
    </row>
    <row r="220" spans="2:3" hidden="1">
      <c r="B220" s="112">
        <f t="shared" si="1"/>
        <v>2097</v>
      </c>
      <c r="C220" s="113">
        <f>[14]С2.5!$CD$11</f>
        <v>0</v>
      </c>
    </row>
    <row r="221" spans="2:3" hidden="1">
      <c r="B221" s="112">
        <f t="shared" si="1"/>
        <v>2098</v>
      </c>
      <c r="C221" s="113">
        <f>[14]С2.5!$CE$11</f>
        <v>0</v>
      </c>
    </row>
    <row r="222" spans="2:3" hidden="1">
      <c r="B222" s="112">
        <f t="shared" si="1"/>
        <v>2099</v>
      </c>
      <c r="C222" s="113">
        <f>[14]С2.5!$CF$11</f>
        <v>0</v>
      </c>
    </row>
    <row r="223" spans="2:3" ht="13.5" hidden="1" thickBot="1">
      <c r="B223" s="114">
        <f t="shared" si="1"/>
        <v>2100</v>
      </c>
      <c r="C223" s="115">
        <f>[14]С2.5!$CG$11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opLeftCell="A13" workbookViewId="0">
      <selection activeCell="D13" sqref="D1:G1048576"/>
    </sheetView>
  </sheetViews>
  <sheetFormatPr defaultRowHeight="12.75"/>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[15]И1!D13</f>
        <v>Субъект Российской Федерации</v>
      </c>
      <c r="C4" s="10" t="str">
        <f>[15]И1!E13</f>
        <v>Новосибирская область</v>
      </c>
    </row>
    <row r="5" spans="1:3">
      <c r="A5" s="8"/>
      <c r="B5" s="9" t="str">
        <f>[15]И1!D14</f>
        <v>Тип муниципального образования (выберите из списка)</v>
      </c>
      <c r="C5" s="10" t="str">
        <f>[15]И1!E14</f>
        <v>село Михайловка</v>
      </c>
    </row>
    <row r="6" spans="1:3">
      <c r="A6" s="8"/>
      <c r="B6" s="9" t="str">
        <f>IF([15]И1!E15="","",[15]И1!D15)</f>
        <v/>
      </c>
      <c r="C6" s="10" t="str">
        <f>IF([15]И1!E15="","",[15]И1!E15)</f>
        <v/>
      </c>
    </row>
    <row r="7" spans="1:3">
      <c r="A7" s="8"/>
      <c r="B7" s="9" t="str">
        <f>[15]И1!D16</f>
        <v>Код ОКТМО</v>
      </c>
      <c r="C7" s="11" t="str">
        <f>[15]И1!E16</f>
        <v>50630428101</v>
      </c>
    </row>
    <row r="8" spans="1:3">
      <c r="A8" s="8"/>
      <c r="B8" s="12" t="str">
        <f>[15]И1!D17</f>
        <v>Система теплоснабжения</v>
      </c>
      <c r="C8" s="13">
        <f>[15]И1!E17</f>
        <v>0</v>
      </c>
    </row>
    <row r="9" spans="1:3">
      <c r="A9" s="8"/>
      <c r="B9" s="9" t="str">
        <f>[15]И1!D8</f>
        <v>Период регулирования (i)-й</v>
      </c>
      <c r="C9" s="14">
        <f>[15]И1!E8</f>
        <v>2023</v>
      </c>
    </row>
    <row r="10" spans="1:3">
      <c r="A10" s="8"/>
      <c r="B10" s="9" t="str">
        <f>[15]И1!D9</f>
        <v>Период регулирования (i-1)-й</v>
      </c>
      <c r="C10" s="14">
        <f>[15]И1!E9</f>
        <v>2022</v>
      </c>
    </row>
    <row r="11" spans="1:3">
      <c r="A11" s="8"/>
      <c r="B11" s="9" t="str">
        <f>[15]И1!D10</f>
        <v>Период регулирования (i-2)-й</v>
      </c>
      <c r="C11" s="14">
        <f>[15]И1!E10</f>
        <v>2021</v>
      </c>
    </row>
    <row r="12" spans="1:3">
      <c r="A12" s="8"/>
      <c r="B12" s="9" t="str">
        <f>[15]И1!D11</f>
        <v>Базовый год (б)</v>
      </c>
      <c r="C12" s="14">
        <f>[15]И1!E11</f>
        <v>2019</v>
      </c>
    </row>
    <row r="13" spans="1:3" ht="38.25">
      <c r="A13" s="8"/>
      <c r="B13" s="9" t="str">
        <f>[15]И1!D18</f>
        <v>Вид топлива, использование которого преобладает в системе теплоснабжения</v>
      </c>
      <c r="C13" s="15" t="str">
        <f>[15]С1.1!E13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4189.0938705601347</v>
      </c>
    </row>
    <row r="18" spans="1:3" ht="42.75">
      <c r="A18" s="22" t="s">
        <v>8</v>
      </c>
      <c r="B18" s="25" t="s">
        <v>9</v>
      </c>
      <c r="C18" s="26">
        <f>[15]С1!F12</f>
        <v>989.20211356715424</v>
      </c>
    </row>
    <row r="19" spans="1:3" ht="42.75">
      <c r="A19" s="22" t="s">
        <v>10</v>
      </c>
      <c r="B19" s="25" t="s">
        <v>11</v>
      </c>
      <c r="C19" s="26">
        <f>[15]С2!F12</f>
        <v>2116.2031761890698</v>
      </c>
    </row>
    <row r="20" spans="1:3" ht="30">
      <c r="A20" s="22" t="s">
        <v>12</v>
      </c>
      <c r="B20" s="25" t="s">
        <v>13</v>
      </c>
      <c r="C20" s="26">
        <f>[15]С3!F12</f>
        <v>506.5368696227419</v>
      </c>
    </row>
    <row r="21" spans="1:3" ht="42.75">
      <c r="A21" s="22" t="s">
        <v>14</v>
      </c>
      <c r="B21" s="25" t="s">
        <v>15</v>
      </c>
      <c r="C21" s="26">
        <f>[15]С4!F12</f>
        <v>495.01261567998915</v>
      </c>
    </row>
    <row r="22" spans="1:3" ht="30">
      <c r="A22" s="22" t="s">
        <v>16</v>
      </c>
      <c r="B22" s="25" t="s">
        <v>17</v>
      </c>
      <c r="C22" s="26">
        <f>[15]С5!F12</f>
        <v>82.139095501179114</v>
      </c>
    </row>
    <row r="23" spans="1:3" ht="43.5" thickBot="1">
      <c r="A23" s="27" t="s">
        <v>18</v>
      </c>
      <c r="B23" s="28" t="s">
        <v>19</v>
      </c>
      <c r="C23" s="29" t="str">
        <f>[15]С6!F12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[15]С1.1!E16</f>
        <v>5100</v>
      </c>
    </row>
    <row r="29" spans="1:3" ht="42.75">
      <c r="A29" s="22" t="s">
        <v>10</v>
      </c>
      <c r="B29" s="34" t="s">
        <v>22</v>
      </c>
      <c r="C29" s="35">
        <f>[15]С1.1!E27</f>
        <v>2659.7991666666667</v>
      </c>
    </row>
    <row r="30" spans="1:3" ht="17.25">
      <c r="A30" s="22" t="s">
        <v>12</v>
      </c>
      <c r="B30" s="34" t="s">
        <v>23</v>
      </c>
      <c r="C30" s="36">
        <f>[15]С1.1!E19</f>
        <v>0.59499999999999997</v>
      </c>
    </row>
    <row r="31" spans="1:3" ht="17.25">
      <c r="A31" s="22" t="s">
        <v>14</v>
      </c>
      <c r="B31" s="34" t="s">
        <v>24</v>
      </c>
      <c r="C31" s="36">
        <f>[15]С1.1!E20</f>
        <v>-0.113</v>
      </c>
    </row>
    <row r="32" spans="1:3" ht="30">
      <c r="A32" s="22" t="s">
        <v>16</v>
      </c>
      <c r="B32" s="37" t="s">
        <v>25</v>
      </c>
      <c r="C32" s="38">
        <f>[15]С1!F13</f>
        <v>176.4</v>
      </c>
    </row>
    <row r="33" spans="1:3">
      <c r="A33" s="22" t="s">
        <v>18</v>
      </c>
      <c r="B33" s="37" t="s">
        <v>26</v>
      </c>
      <c r="C33" s="39">
        <f>[15]С1!F16</f>
        <v>7000</v>
      </c>
    </row>
    <row r="34" spans="1:3" ht="14.25">
      <c r="A34" s="22" t="s">
        <v>27</v>
      </c>
      <c r="B34" s="40" t="s">
        <v>28</v>
      </c>
      <c r="C34" s="41">
        <f>[15]С1!F17</f>
        <v>0.72857142857142854</v>
      </c>
    </row>
    <row r="35" spans="1:3" ht="15.75">
      <c r="A35" s="42" t="s">
        <v>29</v>
      </c>
      <c r="B35" s="43" t="s">
        <v>30</v>
      </c>
      <c r="C35" s="41">
        <f>[15]С1!F20</f>
        <v>21.588411179999994</v>
      </c>
    </row>
    <row r="36" spans="1:3" ht="15.75">
      <c r="A36" s="42" t="s">
        <v>31</v>
      </c>
      <c r="B36" s="44" t="s">
        <v>32</v>
      </c>
      <c r="C36" s="41">
        <f>[15]С1!F21</f>
        <v>20.818139999999996</v>
      </c>
    </row>
    <row r="37" spans="1:3" ht="14.25">
      <c r="A37" s="42" t="s">
        <v>33</v>
      </c>
      <c r="B37" s="45" t="s">
        <v>34</v>
      </c>
      <c r="C37" s="41">
        <f>[15]С1!F22</f>
        <v>1.0369999999999999</v>
      </c>
    </row>
    <row r="38" spans="1:3" ht="53.25" thickBot="1">
      <c r="A38" s="27" t="s">
        <v>35</v>
      </c>
      <c r="B38" s="46" t="s">
        <v>36</v>
      </c>
      <c r="C38" s="47">
        <f>[15]С1!F23</f>
        <v>1.0469999999999999</v>
      </c>
    </row>
    <row r="39" spans="1:3" ht="13.5" thickBot="1">
      <c r="A39" s="48"/>
      <c r="B39" s="49"/>
      <c r="C39" s="50"/>
    </row>
    <row r="40" spans="1:3" ht="30" customHeight="1">
      <c r="A40" s="51" t="s">
        <v>37</v>
      </c>
      <c r="B40" s="142" t="s">
        <v>38</v>
      </c>
      <c r="C40" s="142"/>
    </row>
    <row r="41" spans="1:3" ht="25.5">
      <c r="A41" s="22" t="s">
        <v>39</v>
      </c>
      <c r="B41" s="37" t="s">
        <v>40</v>
      </c>
      <c r="C41" s="52" t="str">
        <f>[15]С2.1!E12</f>
        <v>V</v>
      </c>
    </row>
    <row r="42" spans="1:3" ht="25.5">
      <c r="A42" s="22" t="s">
        <v>41</v>
      </c>
      <c r="B42" s="34" t="s">
        <v>42</v>
      </c>
      <c r="C42" s="52" t="str">
        <f>[15]С2.1!E13</f>
        <v>6 и менее баллов</v>
      </c>
    </row>
    <row r="43" spans="1:3" ht="25.5">
      <c r="A43" s="22" t="s">
        <v>43</v>
      </c>
      <c r="B43" s="34" t="s">
        <v>44</v>
      </c>
      <c r="C43" s="52" t="str">
        <f>[15]С2.1!E14</f>
        <v>от 200 до 500</v>
      </c>
    </row>
    <row r="44" spans="1:3" ht="25.5">
      <c r="A44" s="22" t="s">
        <v>45</v>
      </c>
      <c r="B44" s="34" t="s">
        <v>46</v>
      </c>
      <c r="C44" s="53" t="str">
        <f>[15]С2.1!E15</f>
        <v>нет</v>
      </c>
    </row>
    <row r="45" spans="1:3" ht="30">
      <c r="A45" s="22" t="s">
        <v>47</v>
      </c>
      <c r="B45" s="34" t="s">
        <v>48</v>
      </c>
      <c r="C45" s="35">
        <f>[15]С2!F18</f>
        <v>32402.627334033532</v>
      </c>
    </row>
    <row r="46" spans="1:3" ht="30">
      <c r="A46" s="22" t="s">
        <v>49</v>
      </c>
      <c r="B46" s="54" t="s">
        <v>50</v>
      </c>
      <c r="C46" s="35">
        <f>IF([15]С2!F19&gt;0,[15]С2!F19,[15]С2!F20)</f>
        <v>23441.524932855718</v>
      </c>
    </row>
    <row r="47" spans="1:3" ht="25.5">
      <c r="A47" s="22" t="s">
        <v>51</v>
      </c>
      <c r="B47" s="55" t="s">
        <v>52</v>
      </c>
      <c r="C47" s="35">
        <f>[15]С2.1!E19</f>
        <v>-38</v>
      </c>
    </row>
    <row r="48" spans="1:3" ht="25.5">
      <c r="A48" s="22" t="s">
        <v>53</v>
      </c>
      <c r="B48" s="55" t="s">
        <v>54</v>
      </c>
      <c r="C48" s="35" t="str">
        <f>[15]С2.1!E22</f>
        <v>нет</v>
      </c>
    </row>
    <row r="49" spans="1:3" ht="38.25">
      <c r="A49" s="22" t="s">
        <v>55</v>
      </c>
      <c r="B49" s="56" t="s">
        <v>56</v>
      </c>
      <c r="C49" s="35">
        <f>[15]С2.2!E10</f>
        <v>1287</v>
      </c>
    </row>
    <row r="50" spans="1:3" ht="25.5">
      <c r="A50" s="22" t="s">
        <v>57</v>
      </c>
      <c r="B50" s="57" t="s">
        <v>58</v>
      </c>
      <c r="C50" s="35">
        <f>[15]С2.2!E12</f>
        <v>5.97</v>
      </c>
    </row>
    <row r="51" spans="1:3" ht="52.5">
      <c r="A51" s="22" t="s">
        <v>59</v>
      </c>
      <c r="B51" s="58" t="s">
        <v>60</v>
      </c>
      <c r="C51" s="35">
        <f>[15]С2.2!E13</f>
        <v>1</v>
      </c>
    </row>
    <row r="52" spans="1:3" ht="27.75">
      <c r="A52" s="22" t="s">
        <v>61</v>
      </c>
      <c r="B52" s="57" t="s">
        <v>62</v>
      </c>
      <c r="C52" s="35">
        <f>[15]С2.2!E14</f>
        <v>12104</v>
      </c>
    </row>
    <row r="53" spans="1:3" ht="25.5">
      <c r="A53" s="22" t="s">
        <v>63</v>
      </c>
      <c r="B53" s="58" t="s">
        <v>64</v>
      </c>
      <c r="C53" s="36">
        <f>[15]С2.2!E15</f>
        <v>4.8000000000000001E-2</v>
      </c>
    </row>
    <row r="54" spans="1:3">
      <c r="A54" s="22" t="s">
        <v>65</v>
      </c>
      <c r="B54" s="58" t="s">
        <v>66</v>
      </c>
      <c r="C54" s="35">
        <f>[15]С2.2!E16</f>
        <v>1</v>
      </c>
    </row>
    <row r="55" spans="1:3" ht="15.75">
      <c r="A55" s="22" t="s">
        <v>67</v>
      </c>
      <c r="B55" s="59" t="s">
        <v>68</v>
      </c>
      <c r="C55" s="35">
        <f>[15]С2!F21</f>
        <v>1</v>
      </c>
    </row>
    <row r="56" spans="1:3" ht="30">
      <c r="A56" s="60" t="s">
        <v>69</v>
      </c>
      <c r="B56" s="34" t="s">
        <v>70</v>
      </c>
      <c r="C56" s="35">
        <f>[15]С2!F13</f>
        <v>169640.22915965237</v>
      </c>
    </row>
    <row r="57" spans="1:3" ht="30">
      <c r="A57" s="60" t="s">
        <v>71</v>
      </c>
      <c r="B57" s="59" t="s">
        <v>72</v>
      </c>
      <c r="C57" s="35">
        <f>[15]С2!F14</f>
        <v>113455</v>
      </c>
    </row>
    <row r="58" spans="1:3" ht="15.75">
      <c r="A58" s="60" t="s">
        <v>73</v>
      </c>
      <c r="B58" s="61" t="s">
        <v>74</v>
      </c>
      <c r="C58" s="41">
        <f>[15]С2!F15</f>
        <v>1.071</v>
      </c>
    </row>
    <row r="59" spans="1:3" ht="15.75">
      <c r="A59" s="60" t="s">
        <v>75</v>
      </c>
      <c r="B59" s="61" t="s">
        <v>76</v>
      </c>
      <c r="C59" s="41">
        <f>[15]С2!F16</f>
        <v>1</v>
      </c>
    </row>
    <row r="60" spans="1:3" ht="17.25">
      <c r="A60" s="60" t="s">
        <v>77</v>
      </c>
      <c r="B60" s="59" t="s">
        <v>78</v>
      </c>
      <c r="C60" s="35">
        <f>[15]С2!F17</f>
        <v>1.01</v>
      </c>
    </row>
    <row r="61" spans="1:3" s="64" customFormat="1" ht="14.25">
      <c r="A61" s="60" t="s">
        <v>79</v>
      </c>
      <c r="B61" s="62" t="s">
        <v>80</v>
      </c>
      <c r="C61" s="63">
        <f>[15]С2!F33</f>
        <v>10</v>
      </c>
    </row>
    <row r="62" spans="1:3" ht="30">
      <c r="A62" s="60" t="s">
        <v>81</v>
      </c>
      <c r="B62" s="65" t="s">
        <v>82</v>
      </c>
      <c r="C62" s="35">
        <f>[15]С2!F26</f>
        <v>2274.3932248182782</v>
      </c>
    </row>
    <row r="63" spans="1:3" ht="17.25">
      <c r="A63" s="60" t="s">
        <v>83</v>
      </c>
      <c r="B63" s="54" t="s">
        <v>84</v>
      </c>
      <c r="C63" s="35">
        <f>[15]С2!F27</f>
        <v>0.391761629</v>
      </c>
    </row>
    <row r="64" spans="1:3" ht="17.25">
      <c r="A64" s="60" t="s">
        <v>85</v>
      </c>
      <c r="B64" s="59" t="s">
        <v>86</v>
      </c>
      <c r="C64" s="63">
        <f>[15]С2!F28</f>
        <v>4200</v>
      </c>
    </row>
    <row r="65" spans="1:3" ht="42.75">
      <c r="A65" s="60" t="s">
        <v>87</v>
      </c>
      <c r="B65" s="34" t="s">
        <v>88</v>
      </c>
      <c r="C65" s="35">
        <f>[15]С2!F22</f>
        <v>35717.748653137714</v>
      </c>
    </row>
    <row r="66" spans="1:3" ht="30">
      <c r="A66" s="60" t="s">
        <v>89</v>
      </c>
      <c r="B66" s="61" t="s">
        <v>90</v>
      </c>
      <c r="C66" s="35">
        <f>[15]С2!F23</f>
        <v>1990</v>
      </c>
    </row>
    <row r="67" spans="1:3" ht="30">
      <c r="A67" s="60" t="s">
        <v>91</v>
      </c>
      <c r="B67" s="54" t="s">
        <v>92</v>
      </c>
      <c r="C67" s="35">
        <f>[15]С2.1!E27</f>
        <v>14307.876789999998</v>
      </c>
    </row>
    <row r="68" spans="1:3" ht="38.25">
      <c r="A68" s="60" t="s">
        <v>93</v>
      </c>
      <c r="B68" s="66" t="s">
        <v>94</v>
      </c>
      <c r="C68" s="53">
        <f>[15]С2.3!E21</f>
        <v>0</v>
      </c>
    </row>
    <row r="69" spans="1:3" ht="25.5">
      <c r="A69" s="60" t="s">
        <v>95</v>
      </c>
      <c r="B69" s="67" t="s">
        <v>96</v>
      </c>
      <c r="C69" s="68">
        <f>[15]С2.3!E11</f>
        <v>9.89</v>
      </c>
    </row>
    <row r="70" spans="1:3" ht="25.5">
      <c r="A70" s="60" t="s">
        <v>97</v>
      </c>
      <c r="B70" s="67" t="s">
        <v>98</v>
      </c>
      <c r="C70" s="63">
        <f>[15]С2.3!E13</f>
        <v>300</v>
      </c>
    </row>
    <row r="71" spans="1:3" ht="25.5">
      <c r="A71" s="60" t="s">
        <v>99</v>
      </c>
      <c r="B71" s="66" t="s">
        <v>100</v>
      </c>
      <c r="C71" s="69">
        <f>IF([15]С2.3!E22&gt;0,[15]С2.3!E22,[15]С2.3!E14)</f>
        <v>61211</v>
      </c>
    </row>
    <row r="72" spans="1:3" ht="38.25">
      <c r="A72" s="60" t="s">
        <v>101</v>
      </c>
      <c r="B72" s="66" t="s">
        <v>102</v>
      </c>
      <c r="C72" s="69">
        <f>IF([15]С2.3!E23&gt;0,[15]С2.3!E23,[15]С2.3!E15)</f>
        <v>45675</v>
      </c>
    </row>
    <row r="73" spans="1:3" ht="30">
      <c r="A73" s="60" t="s">
        <v>103</v>
      </c>
      <c r="B73" s="54" t="s">
        <v>104</v>
      </c>
      <c r="C73" s="35">
        <f>[15]С2.1!E28</f>
        <v>9541.9567200000001</v>
      </c>
    </row>
    <row r="74" spans="1:3" ht="38.25">
      <c r="A74" s="60" t="s">
        <v>105</v>
      </c>
      <c r="B74" s="66" t="s">
        <v>106</v>
      </c>
      <c r="C74" s="53">
        <f>[15]С2.3!E25</f>
        <v>0</v>
      </c>
    </row>
    <row r="75" spans="1:3" ht="25.5">
      <c r="A75" s="60" t="s">
        <v>107</v>
      </c>
      <c r="B75" s="67" t="s">
        <v>108</v>
      </c>
      <c r="C75" s="68">
        <f>[15]С2.3!E12</f>
        <v>0.56000000000000005</v>
      </c>
    </row>
    <row r="76" spans="1:3" ht="25.5">
      <c r="A76" s="60" t="s">
        <v>109</v>
      </c>
      <c r="B76" s="67" t="s">
        <v>98</v>
      </c>
      <c r="C76" s="63">
        <f>[15]С2.3!E13</f>
        <v>300</v>
      </c>
    </row>
    <row r="77" spans="1:3" ht="25.5">
      <c r="A77" s="60" t="s">
        <v>110</v>
      </c>
      <c r="B77" s="70" t="s">
        <v>111</v>
      </c>
      <c r="C77" s="69">
        <f>IF([15]С2.3!E26&gt;0,[15]С2.3!E26,[15]С2.3!E16)</f>
        <v>65637</v>
      </c>
    </row>
    <row r="78" spans="1:3" ht="38.25">
      <c r="A78" s="60" t="s">
        <v>112</v>
      </c>
      <c r="B78" s="70" t="s">
        <v>113</v>
      </c>
      <c r="C78" s="69">
        <f>IF([15]С2.3!E27&gt;0,[15]С2.3!E27,[15]С2.3!E17)</f>
        <v>31684</v>
      </c>
    </row>
    <row r="79" spans="1:3" ht="17.25">
      <c r="A79" s="60" t="s">
        <v>114</v>
      </c>
      <c r="B79" s="34" t="s">
        <v>115</v>
      </c>
      <c r="C79" s="36">
        <f>[15]С2!F29</f>
        <v>0.128978033685065</v>
      </c>
    </row>
    <row r="80" spans="1:3" ht="30">
      <c r="A80" s="60" t="s">
        <v>116</v>
      </c>
      <c r="B80" s="54" t="s">
        <v>117</v>
      </c>
      <c r="C80" s="71">
        <f>[15]С2!F30</f>
        <v>0.11668498168498169</v>
      </c>
    </row>
    <row r="81" spans="1:3" ht="17.25">
      <c r="A81" s="60" t="s">
        <v>118</v>
      </c>
      <c r="B81" s="72" t="s">
        <v>119</v>
      </c>
      <c r="C81" s="36">
        <f>[15]С2!F31</f>
        <v>0.13880000000000001</v>
      </c>
    </row>
    <row r="82" spans="1:3" s="64" customFormat="1" ht="18" thickBot="1">
      <c r="A82" s="73" t="s">
        <v>120</v>
      </c>
      <c r="B82" s="74" t="s">
        <v>121</v>
      </c>
      <c r="C82" s="75">
        <f>[15]С2!F32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[15]С3!F14</f>
        <v>7051.1767451401192</v>
      </c>
    </row>
    <row r="86" spans="1:3" s="64" customFormat="1" ht="42.75">
      <c r="A86" s="78" t="s">
        <v>126</v>
      </c>
      <c r="B86" s="54" t="s">
        <v>127</v>
      </c>
      <c r="C86" s="79">
        <f>[15]С3!F15</f>
        <v>0.2</v>
      </c>
    </row>
    <row r="87" spans="1:3" s="64" customFormat="1" ht="14.25">
      <c r="A87" s="78" t="s">
        <v>128</v>
      </c>
      <c r="B87" s="80" t="s">
        <v>129</v>
      </c>
      <c r="C87" s="63">
        <f>[15]С3!F18</f>
        <v>15</v>
      </c>
    </row>
    <row r="88" spans="1:3" s="64" customFormat="1" ht="17.25">
      <c r="A88" s="78" t="s">
        <v>130</v>
      </c>
      <c r="B88" s="34" t="s">
        <v>131</v>
      </c>
      <c r="C88" s="35">
        <f>[15]С3!F19</f>
        <v>3487.1555421534131</v>
      </c>
    </row>
    <row r="89" spans="1:3" s="64" customFormat="1" ht="55.5">
      <c r="A89" s="78" t="s">
        <v>132</v>
      </c>
      <c r="B89" s="54" t="s">
        <v>133</v>
      </c>
      <c r="C89" s="81">
        <f>[15]С3!F20</f>
        <v>2.1999999999999999E-2</v>
      </c>
    </row>
    <row r="90" spans="1:3" s="64" customFormat="1" ht="14.25">
      <c r="A90" s="78" t="s">
        <v>134</v>
      </c>
      <c r="B90" s="59" t="s">
        <v>80</v>
      </c>
      <c r="C90" s="63">
        <f>[15]С3!F21</f>
        <v>10</v>
      </c>
    </row>
    <row r="91" spans="1:3" s="64" customFormat="1" ht="17.25">
      <c r="A91" s="78" t="s">
        <v>135</v>
      </c>
      <c r="B91" s="34" t="s">
        <v>136</v>
      </c>
      <c r="C91" s="35">
        <f>[15]С3!F22</f>
        <v>6.8231796744548348</v>
      </c>
    </row>
    <row r="92" spans="1:3" s="64" customFormat="1" ht="55.5">
      <c r="A92" s="78" t="s">
        <v>137</v>
      </c>
      <c r="B92" s="54" t="s">
        <v>138</v>
      </c>
      <c r="C92" s="81">
        <f>[15]С3!F23</f>
        <v>3.0000000000000001E-3</v>
      </c>
    </row>
    <row r="93" spans="1:3" s="64" customFormat="1" ht="27.75" thickBot="1">
      <c r="A93" s="82" t="s">
        <v>139</v>
      </c>
      <c r="B93" s="83" t="s">
        <v>140</v>
      </c>
      <c r="C93" s="84">
        <f>[15]С3!F24</f>
        <v>2274.3932248182782</v>
      </c>
    </row>
    <row r="94" spans="1:3" ht="13.5" thickBot="1">
      <c r="A94" s="48"/>
      <c r="B94" s="76"/>
      <c r="C94" s="15"/>
    </row>
    <row r="95" spans="1:3" ht="30" customHeight="1">
      <c r="A95" s="85" t="s">
        <v>141</v>
      </c>
      <c r="B95" s="142" t="s">
        <v>142</v>
      </c>
      <c r="C95" s="142"/>
    </row>
    <row r="96" spans="1:3" ht="30">
      <c r="A96" s="60" t="s">
        <v>143</v>
      </c>
      <c r="B96" s="34" t="s">
        <v>144</v>
      </c>
      <c r="C96" s="35">
        <f>[15]С4!F16</f>
        <v>1652.5</v>
      </c>
    </row>
    <row r="97" spans="1:3" ht="30">
      <c r="A97" s="60" t="s">
        <v>145</v>
      </c>
      <c r="B97" s="59" t="s">
        <v>146</v>
      </c>
      <c r="C97" s="35">
        <f>[15]С4!F17</f>
        <v>73547</v>
      </c>
    </row>
    <row r="98" spans="1:3" ht="17.25">
      <c r="A98" s="60" t="s">
        <v>147</v>
      </c>
      <c r="B98" s="59" t="s">
        <v>148</v>
      </c>
      <c r="C98" s="41">
        <f>[15]С4!F18</f>
        <v>0.02</v>
      </c>
    </row>
    <row r="99" spans="1:3" ht="30">
      <c r="A99" s="60" t="s">
        <v>149</v>
      </c>
      <c r="B99" s="59" t="s">
        <v>150</v>
      </c>
      <c r="C99" s="35">
        <f>[15]С4!F19</f>
        <v>12104</v>
      </c>
    </row>
    <row r="100" spans="1:3" ht="31.5">
      <c r="A100" s="60" t="s">
        <v>151</v>
      </c>
      <c r="B100" s="59" t="s">
        <v>152</v>
      </c>
      <c r="C100" s="41">
        <f>[15]С4!F20</f>
        <v>1.4999999999999999E-2</v>
      </c>
    </row>
    <row r="101" spans="1:3" ht="30">
      <c r="A101" s="60" t="s">
        <v>153</v>
      </c>
      <c r="B101" s="34" t="s">
        <v>154</v>
      </c>
      <c r="C101" s="35">
        <f>[15]С4!F21</f>
        <v>1933.1949342509995</v>
      </c>
    </row>
    <row r="102" spans="1:3" ht="24" customHeight="1">
      <c r="A102" s="60" t="s">
        <v>155</v>
      </c>
      <c r="B102" s="54" t="s">
        <v>156</v>
      </c>
      <c r="C102" s="86">
        <f>IF([15]С4.2!F8="да",[15]С4.2!D21,[15]С4.2!D15)</f>
        <v>0</v>
      </c>
    </row>
    <row r="103" spans="1:3" ht="68.25">
      <c r="A103" s="60" t="s">
        <v>157</v>
      </c>
      <c r="B103" s="54" t="s">
        <v>158</v>
      </c>
      <c r="C103" s="35">
        <f>[15]С4!F22</f>
        <v>3.6112641666666665</v>
      </c>
    </row>
    <row r="104" spans="1:3" ht="30">
      <c r="A104" s="60" t="s">
        <v>159</v>
      </c>
      <c r="B104" s="59" t="s">
        <v>160</v>
      </c>
      <c r="C104" s="35">
        <f>[15]С4!F23</f>
        <v>180</v>
      </c>
    </row>
    <row r="105" spans="1:3" ht="14.25">
      <c r="A105" s="60" t="s">
        <v>161</v>
      </c>
      <c r="B105" s="54" t="s">
        <v>162</v>
      </c>
      <c r="C105" s="35">
        <f>[15]С4!F24</f>
        <v>8497.1999999999989</v>
      </c>
    </row>
    <row r="106" spans="1:3" ht="14.25">
      <c r="A106" s="60" t="s">
        <v>163</v>
      </c>
      <c r="B106" s="59" t="s">
        <v>164</v>
      </c>
      <c r="C106" s="41">
        <f>[15]С4!F25</f>
        <v>0.35</v>
      </c>
    </row>
    <row r="107" spans="1:3" ht="17.25">
      <c r="A107" s="60" t="s">
        <v>165</v>
      </c>
      <c r="B107" s="34" t="s">
        <v>166</v>
      </c>
      <c r="C107" s="35">
        <f>[15]С4!F26</f>
        <v>73.565070000000006</v>
      </c>
    </row>
    <row r="108" spans="1:3" ht="25.5">
      <c r="A108" s="60" t="s">
        <v>167</v>
      </c>
      <c r="B108" s="54" t="s">
        <v>94</v>
      </c>
      <c r="C108" s="86">
        <f>[15]С4.3!E16</f>
        <v>0</v>
      </c>
    </row>
    <row r="109" spans="1:3" ht="25.5">
      <c r="A109" s="60" t="s">
        <v>168</v>
      </c>
      <c r="B109" s="54" t="s">
        <v>169</v>
      </c>
      <c r="C109" s="35">
        <f>[15]С4.3!E17</f>
        <v>20.05</v>
      </c>
    </row>
    <row r="110" spans="1:3" ht="38.25">
      <c r="A110" s="60" t="s">
        <v>170</v>
      </c>
      <c r="B110" s="54" t="s">
        <v>106</v>
      </c>
      <c r="C110" s="86">
        <f>[15]С4.3!E18</f>
        <v>0</v>
      </c>
    </row>
    <row r="111" spans="1:3">
      <c r="A111" s="60" t="s">
        <v>171</v>
      </c>
      <c r="B111" s="54" t="s">
        <v>172</v>
      </c>
      <c r="C111" s="35">
        <f>[15]С4.3!E19</f>
        <v>15.93</v>
      </c>
    </row>
    <row r="112" spans="1:3">
      <c r="A112" s="60" t="s">
        <v>173</v>
      </c>
      <c r="B112" s="59" t="s">
        <v>174</v>
      </c>
      <c r="C112" s="35">
        <f>[15]С4.3!E11</f>
        <v>1871</v>
      </c>
    </row>
    <row r="113" spans="1:3">
      <c r="A113" s="60" t="s">
        <v>175</v>
      </c>
      <c r="B113" s="59" t="s">
        <v>176</v>
      </c>
      <c r="C113" s="53">
        <f>[15]С4.3!E12</f>
        <v>1636</v>
      </c>
    </row>
    <row r="114" spans="1:3">
      <c r="A114" s="60" t="s">
        <v>177</v>
      </c>
      <c r="B114" s="59" t="s">
        <v>178</v>
      </c>
      <c r="C114" s="53">
        <f>[15]С4.3!E13</f>
        <v>204</v>
      </c>
    </row>
    <row r="115" spans="1:3" ht="30">
      <c r="A115" s="60" t="s">
        <v>179</v>
      </c>
      <c r="B115" s="34" t="s">
        <v>180</v>
      </c>
      <c r="C115" s="35">
        <f>[15]С4!F27</f>
        <v>2164.8316773434499</v>
      </c>
    </row>
    <row r="116" spans="1:3" ht="25.5">
      <c r="A116" s="60" t="s">
        <v>181</v>
      </c>
      <c r="B116" s="54" t="s">
        <v>182</v>
      </c>
      <c r="C116" s="35">
        <f>[15]С4!F28</f>
        <v>1662.6971408167815</v>
      </c>
    </row>
    <row r="117" spans="1:3" ht="42.75">
      <c r="A117" s="60" t="s">
        <v>183</v>
      </c>
      <c r="B117" s="54" t="s">
        <v>184</v>
      </c>
      <c r="C117" s="35">
        <f>[15]С4!F29</f>
        <v>502.13453652666817</v>
      </c>
    </row>
    <row r="118" spans="1:3" ht="30">
      <c r="A118" s="60" t="s">
        <v>185</v>
      </c>
      <c r="B118" s="40" t="s">
        <v>186</v>
      </c>
      <c r="C118" s="35">
        <f>[15]С4!F30</f>
        <v>2254.7472313202275</v>
      </c>
    </row>
    <row r="119" spans="1:3" ht="42.75">
      <c r="A119" s="60" t="s">
        <v>187</v>
      </c>
      <c r="B119" s="87" t="s">
        <v>188</v>
      </c>
      <c r="C119" s="35">
        <f>[15]С4!F33</f>
        <v>1458.5750471975839</v>
      </c>
    </row>
    <row r="120" spans="1:3" ht="30">
      <c r="A120" s="60" t="s">
        <v>189</v>
      </c>
      <c r="B120" s="88" t="s">
        <v>190</v>
      </c>
      <c r="C120" s="35">
        <f>[15]С4!F35</f>
        <v>17.040680999999999</v>
      </c>
    </row>
    <row r="121" spans="1:3" ht="14.25">
      <c r="A121" s="60" t="s">
        <v>191</v>
      </c>
      <c r="B121" s="57" t="s">
        <v>192</v>
      </c>
      <c r="C121" s="35">
        <f>[15]С4!F36</f>
        <v>14319.9</v>
      </c>
    </row>
    <row r="122" spans="1:3" ht="28.5" thickBot="1">
      <c r="A122" s="73" t="s">
        <v>193</v>
      </c>
      <c r="B122" s="89" t="s">
        <v>194</v>
      </c>
      <c r="C122" s="84">
        <f>[15]С4!F37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[15]С5!F17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[15]С2!F37</f>
        <v>20.818139999999996</v>
      </c>
    </row>
    <row r="136" spans="1:3" ht="14.25">
      <c r="A136" s="60" t="s">
        <v>216</v>
      </c>
      <c r="B136" s="102" t="s">
        <v>217</v>
      </c>
      <c r="C136" s="35">
        <f>[15]С2!F38</f>
        <v>7</v>
      </c>
    </row>
    <row r="137" spans="1:3" ht="17.25">
      <c r="A137" s="60" t="s">
        <v>218</v>
      </c>
      <c r="B137" s="102" t="s">
        <v>219</v>
      </c>
      <c r="C137" s="35">
        <f>[15]С2!F40</f>
        <v>0.97</v>
      </c>
    </row>
    <row r="138" spans="1:3" ht="15" thickBot="1">
      <c r="A138" s="73" t="s">
        <v>220</v>
      </c>
      <c r="B138" s="103" t="s">
        <v>221</v>
      </c>
      <c r="C138" s="47">
        <f>[15]С2!F42</f>
        <v>0.35</v>
      </c>
    </row>
    <row r="139" spans="1:3" s="90" customFormat="1" ht="13.5" thickBot="1">
      <c r="A139" s="48"/>
      <c r="B139" s="76"/>
      <c r="C139" s="15"/>
    </row>
    <row r="140" spans="1:3" ht="30">
      <c r="A140" s="85" t="s">
        <v>222</v>
      </c>
      <c r="B140" s="104" t="s">
        <v>223</v>
      </c>
      <c r="C140" s="105">
        <f>[15]С2!F35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[15]С2.5!$E$11</f>
        <v>-2.9000000000000026E-2</v>
      </c>
    </row>
    <row r="144" spans="1:3">
      <c r="A144" s="107"/>
      <c r="B144" s="112">
        <f>B143+1</f>
        <v>2021</v>
      </c>
      <c r="C144" s="113">
        <f>[15]С2.5!$F$11</f>
        <v>0.245</v>
      </c>
    </row>
    <row r="145" spans="1:3">
      <c r="A145" s="107"/>
      <c r="B145" s="112">
        <f t="shared" ref="B145:B208" si="0">B144+1</f>
        <v>2022</v>
      </c>
      <c r="C145" s="113">
        <f>[15]С2.5!$G$11</f>
        <v>0.121</v>
      </c>
    </row>
    <row r="146" spans="1:3" ht="13.5" thickBot="1">
      <c r="A146" s="107"/>
      <c r="B146" s="114">
        <f t="shared" si="0"/>
        <v>2023</v>
      </c>
      <c r="C146" s="115">
        <f>[15]С2.5!$H$11</f>
        <v>0.02</v>
      </c>
    </row>
    <row r="147" spans="1:3" hidden="1">
      <c r="A147" s="107"/>
      <c r="B147" s="116">
        <f t="shared" si="0"/>
        <v>2024</v>
      </c>
      <c r="C147" s="117">
        <f>[15]С2.5!$I$11</f>
        <v>-2.93E-2</v>
      </c>
    </row>
    <row r="148" spans="1:3" hidden="1">
      <c r="A148" s="107"/>
      <c r="B148" s="112">
        <f t="shared" si="0"/>
        <v>2025</v>
      </c>
      <c r="C148" s="113">
        <f>[15]С2.5!$J$11</f>
        <v>0.21215960863291</v>
      </c>
    </row>
    <row r="149" spans="1:3" hidden="1">
      <c r="A149" s="107"/>
      <c r="B149" s="112">
        <f t="shared" si="0"/>
        <v>2026</v>
      </c>
      <c r="C149" s="113">
        <f>[15]С2.5!$K$11</f>
        <v>3.5813361771260002E-2</v>
      </c>
    </row>
    <row r="150" spans="1:3" hidden="1">
      <c r="A150" s="107"/>
      <c r="B150" s="112">
        <f t="shared" si="0"/>
        <v>2027</v>
      </c>
      <c r="C150" s="113">
        <f>[15]С2.5!$L$11</f>
        <v>3.2682303599220003E-2</v>
      </c>
    </row>
    <row r="151" spans="1:3" hidden="1">
      <c r="A151" s="107"/>
      <c r="B151" s="112">
        <f t="shared" si="0"/>
        <v>2028</v>
      </c>
      <c r="C151" s="113">
        <f>[15]С2.5!$M$11</f>
        <v>0</v>
      </c>
    </row>
    <row r="152" spans="1:3" hidden="1">
      <c r="A152" s="107"/>
      <c r="B152" s="112">
        <f t="shared" si="0"/>
        <v>2029</v>
      </c>
      <c r="C152" s="113">
        <f>[15]С2.5!$N$11</f>
        <v>0</v>
      </c>
    </row>
    <row r="153" spans="1:3" hidden="1">
      <c r="A153" s="107"/>
      <c r="B153" s="112">
        <f t="shared" si="0"/>
        <v>2030</v>
      </c>
      <c r="C153" s="113">
        <f>[15]С2.5!$O$11</f>
        <v>0</v>
      </c>
    </row>
    <row r="154" spans="1:3" hidden="1">
      <c r="A154" s="107"/>
      <c r="B154" s="112">
        <f t="shared" si="0"/>
        <v>2031</v>
      </c>
      <c r="C154" s="113">
        <f>[15]С2.5!$P$11</f>
        <v>0</v>
      </c>
    </row>
    <row r="155" spans="1:3" hidden="1">
      <c r="A155" s="90"/>
      <c r="B155" s="112">
        <f t="shared" si="0"/>
        <v>2032</v>
      </c>
      <c r="C155" s="113">
        <f>[15]С2.5!$Q$11</f>
        <v>0</v>
      </c>
    </row>
    <row r="156" spans="1:3" hidden="1">
      <c r="A156" s="90"/>
      <c r="B156" s="112">
        <f t="shared" si="0"/>
        <v>2033</v>
      </c>
      <c r="C156" s="113">
        <f>[15]С2.5!$R$11</f>
        <v>0</v>
      </c>
    </row>
    <row r="157" spans="1:3" hidden="1">
      <c r="B157" s="112">
        <f t="shared" si="0"/>
        <v>2034</v>
      </c>
      <c r="C157" s="113">
        <f>[15]С2.5!$S$11</f>
        <v>0</v>
      </c>
    </row>
    <row r="158" spans="1:3" hidden="1">
      <c r="B158" s="112">
        <f t="shared" si="0"/>
        <v>2035</v>
      </c>
      <c r="C158" s="113">
        <f>[15]С2.5!$T$11</f>
        <v>0</v>
      </c>
    </row>
    <row r="159" spans="1:3" hidden="1">
      <c r="B159" s="112">
        <f t="shared" si="0"/>
        <v>2036</v>
      </c>
      <c r="C159" s="113">
        <f>[15]С2.5!$U$11</f>
        <v>0</v>
      </c>
    </row>
    <row r="160" spans="1:3" hidden="1">
      <c r="B160" s="112">
        <f t="shared" si="0"/>
        <v>2037</v>
      </c>
      <c r="C160" s="113">
        <f>[15]С2.5!$V$11</f>
        <v>0</v>
      </c>
    </row>
    <row r="161" spans="2:3" hidden="1">
      <c r="B161" s="112">
        <f t="shared" si="0"/>
        <v>2038</v>
      </c>
      <c r="C161" s="113">
        <f>[15]С2.5!$W$11</f>
        <v>0</v>
      </c>
    </row>
    <row r="162" spans="2:3" hidden="1">
      <c r="B162" s="112">
        <f t="shared" si="0"/>
        <v>2039</v>
      </c>
      <c r="C162" s="113">
        <f>[15]С2.5!$X$11</f>
        <v>0</v>
      </c>
    </row>
    <row r="163" spans="2:3" hidden="1">
      <c r="B163" s="112">
        <f t="shared" si="0"/>
        <v>2040</v>
      </c>
      <c r="C163" s="113">
        <f>[15]С2.5!$Y$11</f>
        <v>0</v>
      </c>
    </row>
    <row r="164" spans="2:3" hidden="1">
      <c r="B164" s="112">
        <f t="shared" si="0"/>
        <v>2041</v>
      </c>
      <c r="C164" s="113">
        <f>[15]С2.5!$Z$11</f>
        <v>0</v>
      </c>
    </row>
    <row r="165" spans="2:3" hidden="1">
      <c r="B165" s="112">
        <f t="shared" si="0"/>
        <v>2042</v>
      </c>
      <c r="C165" s="113">
        <f>[15]С2.5!$AA$11</f>
        <v>0</v>
      </c>
    </row>
    <row r="166" spans="2:3" hidden="1">
      <c r="B166" s="112">
        <f t="shared" si="0"/>
        <v>2043</v>
      </c>
      <c r="C166" s="113">
        <f>[15]С2.5!$AB$11</f>
        <v>0</v>
      </c>
    </row>
    <row r="167" spans="2:3" hidden="1">
      <c r="B167" s="112">
        <f t="shared" si="0"/>
        <v>2044</v>
      </c>
      <c r="C167" s="113">
        <f>[15]С2.5!$AC$11</f>
        <v>0</v>
      </c>
    </row>
    <row r="168" spans="2:3" hidden="1">
      <c r="B168" s="112">
        <f t="shared" si="0"/>
        <v>2045</v>
      </c>
      <c r="C168" s="113">
        <f>[15]С2.5!$AD$11</f>
        <v>0</v>
      </c>
    </row>
    <row r="169" spans="2:3" hidden="1">
      <c r="B169" s="112">
        <f t="shared" si="0"/>
        <v>2046</v>
      </c>
      <c r="C169" s="113">
        <f>[15]С2.5!$AE$11</f>
        <v>0</v>
      </c>
    </row>
    <row r="170" spans="2:3" hidden="1">
      <c r="B170" s="112">
        <f t="shared" si="0"/>
        <v>2047</v>
      </c>
      <c r="C170" s="113">
        <f>[15]С2.5!$AF$11</f>
        <v>0</v>
      </c>
    </row>
    <row r="171" spans="2:3" hidden="1">
      <c r="B171" s="112">
        <f t="shared" si="0"/>
        <v>2048</v>
      </c>
      <c r="C171" s="113">
        <f>[15]С2.5!$AG$11</f>
        <v>0</v>
      </c>
    </row>
    <row r="172" spans="2:3" hidden="1">
      <c r="B172" s="112">
        <f t="shared" si="0"/>
        <v>2049</v>
      </c>
      <c r="C172" s="113">
        <f>[15]С2.5!$AH$11</f>
        <v>0</v>
      </c>
    </row>
    <row r="173" spans="2:3" hidden="1">
      <c r="B173" s="112">
        <f t="shared" si="0"/>
        <v>2050</v>
      </c>
      <c r="C173" s="113">
        <f>[15]С2.5!$AI$11</f>
        <v>0</v>
      </c>
    </row>
    <row r="174" spans="2:3" hidden="1">
      <c r="B174" s="112">
        <f t="shared" si="0"/>
        <v>2051</v>
      </c>
      <c r="C174" s="113">
        <f>[15]С2.5!$AJ$11</f>
        <v>0</v>
      </c>
    </row>
    <row r="175" spans="2:3" hidden="1">
      <c r="B175" s="112">
        <f t="shared" si="0"/>
        <v>2052</v>
      </c>
      <c r="C175" s="113">
        <f>[15]С2.5!$AK$11</f>
        <v>0</v>
      </c>
    </row>
    <row r="176" spans="2:3" hidden="1">
      <c r="B176" s="112">
        <f t="shared" si="0"/>
        <v>2053</v>
      </c>
      <c r="C176" s="113">
        <f>[15]С2.5!$AL$11</f>
        <v>0</v>
      </c>
    </row>
    <row r="177" spans="2:3" hidden="1">
      <c r="B177" s="112">
        <f t="shared" si="0"/>
        <v>2054</v>
      </c>
      <c r="C177" s="113">
        <f>[15]С2.5!$AM$11</f>
        <v>0</v>
      </c>
    </row>
    <row r="178" spans="2:3" hidden="1">
      <c r="B178" s="112">
        <f t="shared" si="0"/>
        <v>2055</v>
      </c>
      <c r="C178" s="113">
        <f>[15]С2.5!$AN$11</f>
        <v>0</v>
      </c>
    </row>
    <row r="179" spans="2:3" hidden="1">
      <c r="B179" s="112">
        <f t="shared" si="0"/>
        <v>2056</v>
      </c>
      <c r="C179" s="113">
        <f>[15]С2.5!$AO$11</f>
        <v>0</v>
      </c>
    </row>
    <row r="180" spans="2:3" hidden="1">
      <c r="B180" s="112">
        <f t="shared" si="0"/>
        <v>2057</v>
      </c>
      <c r="C180" s="113">
        <f>[15]С2.5!$AP$11</f>
        <v>0</v>
      </c>
    </row>
    <row r="181" spans="2:3" hidden="1">
      <c r="B181" s="112">
        <f t="shared" si="0"/>
        <v>2058</v>
      </c>
      <c r="C181" s="113">
        <f>[15]С2.5!$AQ$11</f>
        <v>0</v>
      </c>
    </row>
    <row r="182" spans="2:3" hidden="1">
      <c r="B182" s="112">
        <f t="shared" si="0"/>
        <v>2059</v>
      </c>
      <c r="C182" s="113">
        <f>[15]С2.5!$AR$11</f>
        <v>0</v>
      </c>
    </row>
    <row r="183" spans="2:3" hidden="1">
      <c r="B183" s="112">
        <f t="shared" si="0"/>
        <v>2060</v>
      </c>
      <c r="C183" s="113">
        <f>[15]С2.5!$AS$11</f>
        <v>0</v>
      </c>
    </row>
    <row r="184" spans="2:3" hidden="1">
      <c r="B184" s="112">
        <f t="shared" si="0"/>
        <v>2061</v>
      </c>
      <c r="C184" s="113">
        <f>[15]С2.5!$AT$11</f>
        <v>0</v>
      </c>
    </row>
    <row r="185" spans="2:3" hidden="1">
      <c r="B185" s="112">
        <f t="shared" si="0"/>
        <v>2062</v>
      </c>
      <c r="C185" s="113">
        <f>[15]С2.5!$AU$11</f>
        <v>0</v>
      </c>
    </row>
    <row r="186" spans="2:3" hidden="1">
      <c r="B186" s="112">
        <f t="shared" si="0"/>
        <v>2063</v>
      </c>
      <c r="C186" s="113">
        <f>[15]С2.5!$AV$11</f>
        <v>0</v>
      </c>
    </row>
    <row r="187" spans="2:3" hidden="1">
      <c r="B187" s="112">
        <f t="shared" si="0"/>
        <v>2064</v>
      </c>
      <c r="C187" s="113">
        <f>[15]С2.5!$AW$11</f>
        <v>0</v>
      </c>
    </row>
    <row r="188" spans="2:3" hidden="1">
      <c r="B188" s="112">
        <f t="shared" si="0"/>
        <v>2065</v>
      </c>
      <c r="C188" s="113">
        <f>[15]С2.5!$AX$11</f>
        <v>0</v>
      </c>
    </row>
    <row r="189" spans="2:3" hidden="1">
      <c r="B189" s="112">
        <f t="shared" si="0"/>
        <v>2066</v>
      </c>
      <c r="C189" s="113">
        <f>[15]С2.5!$AY$11</f>
        <v>0</v>
      </c>
    </row>
    <row r="190" spans="2:3" hidden="1">
      <c r="B190" s="112">
        <f t="shared" si="0"/>
        <v>2067</v>
      </c>
      <c r="C190" s="113">
        <f>[15]С2.5!$AZ$11</f>
        <v>0</v>
      </c>
    </row>
    <row r="191" spans="2:3" hidden="1">
      <c r="B191" s="112">
        <f t="shared" si="0"/>
        <v>2068</v>
      </c>
      <c r="C191" s="113">
        <f>[15]С2.5!$BA$11</f>
        <v>0</v>
      </c>
    </row>
    <row r="192" spans="2:3" hidden="1">
      <c r="B192" s="112">
        <f t="shared" si="0"/>
        <v>2069</v>
      </c>
      <c r="C192" s="113">
        <f>[15]С2.5!$BB$11</f>
        <v>0</v>
      </c>
    </row>
    <row r="193" spans="2:3" hidden="1">
      <c r="B193" s="112">
        <f t="shared" si="0"/>
        <v>2070</v>
      </c>
      <c r="C193" s="113">
        <f>[15]С2.5!$BC$11</f>
        <v>0</v>
      </c>
    </row>
    <row r="194" spans="2:3" hidden="1">
      <c r="B194" s="112">
        <f t="shared" si="0"/>
        <v>2071</v>
      </c>
      <c r="C194" s="113">
        <f>[15]С2.5!$BD$11</f>
        <v>0</v>
      </c>
    </row>
    <row r="195" spans="2:3" hidden="1">
      <c r="B195" s="112">
        <f t="shared" si="0"/>
        <v>2072</v>
      </c>
      <c r="C195" s="113">
        <f>[15]С2.5!$BE$11</f>
        <v>0</v>
      </c>
    </row>
    <row r="196" spans="2:3" hidden="1">
      <c r="B196" s="112">
        <f t="shared" si="0"/>
        <v>2073</v>
      </c>
      <c r="C196" s="113">
        <f>[15]С2.5!$BF$11</f>
        <v>0</v>
      </c>
    </row>
    <row r="197" spans="2:3" hidden="1">
      <c r="B197" s="112">
        <f t="shared" si="0"/>
        <v>2074</v>
      </c>
      <c r="C197" s="113">
        <f>[15]С2.5!$BG$11</f>
        <v>0</v>
      </c>
    </row>
    <row r="198" spans="2:3" hidden="1">
      <c r="B198" s="112">
        <f t="shared" si="0"/>
        <v>2075</v>
      </c>
      <c r="C198" s="113">
        <f>[15]С2.5!$BH$11</f>
        <v>0</v>
      </c>
    </row>
    <row r="199" spans="2:3" hidden="1">
      <c r="B199" s="112">
        <f t="shared" si="0"/>
        <v>2076</v>
      </c>
      <c r="C199" s="113">
        <f>[15]С2.5!$BI$11</f>
        <v>0</v>
      </c>
    </row>
    <row r="200" spans="2:3" hidden="1">
      <c r="B200" s="112">
        <f t="shared" si="0"/>
        <v>2077</v>
      </c>
      <c r="C200" s="113">
        <f>[15]С2.5!$BJ$11</f>
        <v>0</v>
      </c>
    </row>
    <row r="201" spans="2:3" hidden="1">
      <c r="B201" s="112">
        <f t="shared" si="0"/>
        <v>2078</v>
      </c>
      <c r="C201" s="113">
        <f>[15]С2.5!$BK$11</f>
        <v>0</v>
      </c>
    </row>
    <row r="202" spans="2:3" hidden="1">
      <c r="B202" s="112">
        <f t="shared" si="0"/>
        <v>2079</v>
      </c>
      <c r="C202" s="113">
        <f>[15]С2.5!$BL$11</f>
        <v>0</v>
      </c>
    </row>
    <row r="203" spans="2:3" hidden="1">
      <c r="B203" s="112">
        <f t="shared" si="0"/>
        <v>2080</v>
      </c>
      <c r="C203" s="113">
        <f>[15]С2.5!$BM$11</f>
        <v>0</v>
      </c>
    </row>
    <row r="204" spans="2:3" hidden="1">
      <c r="B204" s="112">
        <f t="shared" si="0"/>
        <v>2081</v>
      </c>
      <c r="C204" s="113">
        <f>[15]С2.5!$BN$11</f>
        <v>0</v>
      </c>
    </row>
    <row r="205" spans="2:3" hidden="1">
      <c r="B205" s="112">
        <f t="shared" si="0"/>
        <v>2082</v>
      </c>
      <c r="C205" s="113">
        <f>[15]С2.5!$BO$11</f>
        <v>0</v>
      </c>
    </row>
    <row r="206" spans="2:3" hidden="1">
      <c r="B206" s="112">
        <f t="shared" si="0"/>
        <v>2083</v>
      </c>
      <c r="C206" s="113">
        <f>[15]С2.5!$BP$11</f>
        <v>0</v>
      </c>
    </row>
    <row r="207" spans="2:3" hidden="1">
      <c r="B207" s="112">
        <f t="shared" si="0"/>
        <v>2084</v>
      </c>
      <c r="C207" s="113">
        <f>[15]С2.5!$BQ$11</f>
        <v>0</v>
      </c>
    </row>
    <row r="208" spans="2:3" hidden="1">
      <c r="B208" s="112">
        <f t="shared" si="0"/>
        <v>2085</v>
      </c>
      <c r="C208" s="113">
        <f>[15]С2.5!$BR$11</f>
        <v>0</v>
      </c>
    </row>
    <row r="209" spans="2:3" hidden="1">
      <c r="B209" s="112">
        <f t="shared" ref="B209:B223" si="1">B208+1</f>
        <v>2086</v>
      </c>
      <c r="C209" s="113">
        <f>[15]С2.5!$BS$11</f>
        <v>0</v>
      </c>
    </row>
    <row r="210" spans="2:3" hidden="1">
      <c r="B210" s="112">
        <f t="shared" si="1"/>
        <v>2087</v>
      </c>
      <c r="C210" s="113">
        <f>[15]С2.5!$BT$11</f>
        <v>0</v>
      </c>
    </row>
    <row r="211" spans="2:3" hidden="1">
      <c r="B211" s="112">
        <f t="shared" si="1"/>
        <v>2088</v>
      </c>
      <c r="C211" s="113">
        <f>[15]С2.5!$BU$11</f>
        <v>0</v>
      </c>
    </row>
    <row r="212" spans="2:3" hidden="1">
      <c r="B212" s="112">
        <f t="shared" si="1"/>
        <v>2089</v>
      </c>
      <c r="C212" s="113">
        <f>[15]С2.5!$BV$11</f>
        <v>0</v>
      </c>
    </row>
    <row r="213" spans="2:3" hidden="1">
      <c r="B213" s="112">
        <f t="shared" si="1"/>
        <v>2090</v>
      </c>
      <c r="C213" s="113">
        <f>[15]С2.5!$BW$11</f>
        <v>0</v>
      </c>
    </row>
    <row r="214" spans="2:3" hidden="1">
      <c r="B214" s="112">
        <f t="shared" si="1"/>
        <v>2091</v>
      </c>
      <c r="C214" s="113">
        <f>[15]С2.5!$BX$11</f>
        <v>0</v>
      </c>
    </row>
    <row r="215" spans="2:3" hidden="1">
      <c r="B215" s="112">
        <f t="shared" si="1"/>
        <v>2092</v>
      </c>
      <c r="C215" s="113">
        <f>[15]С2.5!$BY$11</f>
        <v>0</v>
      </c>
    </row>
    <row r="216" spans="2:3" hidden="1">
      <c r="B216" s="112">
        <f t="shared" si="1"/>
        <v>2093</v>
      </c>
      <c r="C216" s="113">
        <f>[15]С2.5!$BZ$11</f>
        <v>0</v>
      </c>
    </row>
    <row r="217" spans="2:3" hidden="1">
      <c r="B217" s="112">
        <f t="shared" si="1"/>
        <v>2094</v>
      </c>
      <c r="C217" s="113">
        <f>[15]С2.5!$CA$11</f>
        <v>0</v>
      </c>
    </row>
    <row r="218" spans="2:3" hidden="1">
      <c r="B218" s="112">
        <f t="shared" si="1"/>
        <v>2095</v>
      </c>
      <c r="C218" s="113">
        <f>[15]С2.5!$CB$11</f>
        <v>0</v>
      </c>
    </row>
    <row r="219" spans="2:3" hidden="1">
      <c r="B219" s="112">
        <f t="shared" si="1"/>
        <v>2096</v>
      </c>
      <c r="C219" s="113">
        <f>[15]С2.5!$CC$11</f>
        <v>0</v>
      </c>
    </row>
    <row r="220" spans="2:3" hidden="1">
      <c r="B220" s="112">
        <f t="shared" si="1"/>
        <v>2097</v>
      </c>
      <c r="C220" s="113">
        <f>[15]С2.5!$CD$11</f>
        <v>0</v>
      </c>
    </row>
    <row r="221" spans="2:3" hidden="1">
      <c r="B221" s="112">
        <f t="shared" si="1"/>
        <v>2098</v>
      </c>
      <c r="C221" s="113">
        <f>[15]С2.5!$CE$11</f>
        <v>0</v>
      </c>
    </row>
    <row r="222" spans="2:3" hidden="1">
      <c r="B222" s="112">
        <f t="shared" si="1"/>
        <v>2099</v>
      </c>
      <c r="C222" s="113">
        <f>[15]С2.5!$CF$11</f>
        <v>0</v>
      </c>
    </row>
    <row r="223" spans="2:3" ht="13.5" hidden="1" thickBot="1">
      <c r="B223" s="114">
        <f t="shared" si="1"/>
        <v>2100</v>
      </c>
      <c r="C223" s="115">
        <f>[15]С2.5!$CG$11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[16]И1!D13</f>
        <v>Субъект Российской Федерации</v>
      </c>
      <c r="C4" s="10" t="str">
        <f>[16]И1!E13</f>
        <v>Новосибирская область</v>
      </c>
    </row>
    <row r="5" spans="1:3">
      <c r="A5" s="8"/>
      <c r="B5" s="9" t="str">
        <f>[16]И1!D14</f>
        <v>Тип муниципального образования (выберите из списка)</v>
      </c>
      <c r="C5" s="10" t="str">
        <f>[16]И1!E14</f>
        <v>село Новоичинское</v>
      </c>
    </row>
    <row r="6" spans="1:3">
      <c r="A6" s="8"/>
      <c r="B6" s="9" t="str">
        <f>IF([16]И1!E15="","",[16]И1!D15)</f>
        <v/>
      </c>
      <c r="C6" s="10" t="str">
        <f>IF([16]И1!E15="","",[16]И1!E15)</f>
        <v/>
      </c>
    </row>
    <row r="7" spans="1:3">
      <c r="A7" s="8"/>
      <c r="B7" s="9" t="str">
        <f>[16]И1!D16</f>
        <v>Код ОКТМО</v>
      </c>
      <c r="C7" s="11" t="str">
        <f>[16]И1!E16</f>
        <v>50630431101</v>
      </c>
    </row>
    <row r="8" spans="1:3">
      <c r="A8" s="8"/>
      <c r="B8" s="12" t="str">
        <f>[16]И1!D17</f>
        <v>Система теплоснабжения</v>
      </c>
      <c r="C8" s="13">
        <f>[16]И1!E17</f>
        <v>0</v>
      </c>
    </row>
    <row r="9" spans="1:3">
      <c r="A9" s="8"/>
      <c r="B9" s="9" t="str">
        <f>[16]И1!D8</f>
        <v>Период регулирования (i)-й</v>
      </c>
      <c r="C9" s="14">
        <f>[16]И1!E8</f>
        <v>2023</v>
      </c>
    </row>
    <row r="10" spans="1:3">
      <c r="A10" s="8"/>
      <c r="B10" s="9" t="str">
        <f>[16]И1!D9</f>
        <v>Период регулирования (i-1)-й</v>
      </c>
      <c r="C10" s="14">
        <f>[16]И1!E9</f>
        <v>2022</v>
      </c>
    </row>
    <row r="11" spans="1:3">
      <c r="A11" s="8"/>
      <c r="B11" s="9" t="str">
        <f>[16]И1!D10</f>
        <v>Период регулирования (i-2)-й</v>
      </c>
      <c r="C11" s="14">
        <f>[16]И1!E10</f>
        <v>2021</v>
      </c>
    </row>
    <row r="12" spans="1:3">
      <c r="A12" s="8"/>
      <c r="B12" s="9" t="str">
        <f>[16]И1!D11</f>
        <v>Базовый год (б)</v>
      </c>
      <c r="C12" s="14">
        <f>[16]И1!E11</f>
        <v>2019</v>
      </c>
    </row>
    <row r="13" spans="1:3" ht="38.25">
      <c r="A13" s="8"/>
      <c r="B13" s="9" t="str">
        <f>[16]И1!D18</f>
        <v>Вид топлива, использование которого преобладает в системе теплоснабжения</v>
      </c>
      <c r="C13" s="15" t="str">
        <f>[16]С1.1!E13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4197.393256755875</v>
      </c>
    </row>
    <row r="18" spans="1:3" ht="42.75">
      <c r="A18" s="22" t="s">
        <v>8</v>
      </c>
      <c r="B18" s="25" t="s">
        <v>9</v>
      </c>
      <c r="C18" s="26">
        <f>[16]С1!F12</f>
        <v>995.23664009414676</v>
      </c>
    </row>
    <row r="19" spans="1:3" ht="42.75">
      <c r="A19" s="22" t="s">
        <v>10</v>
      </c>
      <c r="B19" s="25" t="s">
        <v>11</v>
      </c>
      <c r="C19" s="26">
        <f>[16]С2!F12</f>
        <v>2116.2031761890698</v>
      </c>
    </row>
    <row r="20" spans="1:3" ht="30">
      <c r="A20" s="22" t="s">
        <v>12</v>
      </c>
      <c r="B20" s="25" t="s">
        <v>13</v>
      </c>
      <c r="C20" s="26">
        <f>[16]С3!F12</f>
        <v>506.5368696227419</v>
      </c>
    </row>
    <row r="21" spans="1:3" ht="42.75">
      <c r="A21" s="22" t="s">
        <v>14</v>
      </c>
      <c r="B21" s="25" t="s">
        <v>15</v>
      </c>
      <c r="C21" s="26">
        <f>[16]С4!F12</f>
        <v>497.11474228607511</v>
      </c>
    </row>
    <row r="22" spans="1:3" ht="30">
      <c r="A22" s="22" t="s">
        <v>16</v>
      </c>
      <c r="B22" s="25" t="s">
        <v>17</v>
      </c>
      <c r="C22" s="26">
        <f>[16]С5!F12</f>
        <v>82.301828563840687</v>
      </c>
    </row>
    <row r="23" spans="1:3" ht="43.5" thickBot="1">
      <c r="A23" s="27" t="s">
        <v>18</v>
      </c>
      <c r="B23" s="28" t="s">
        <v>19</v>
      </c>
      <c r="C23" s="29" t="str">
        <f>[16]С6!F12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[16]С1.1!E16</f>
        <v>5100</v>
      </c>
    </row>
    <row r="29" spans="1:3" ht="42.75">
      <c r="A29" s="22" t="s">
        <v>10</v>
      </c>
      <c r="B29" s="34" t="s">
        <v>22</v>
      </c>
      <c r="C29" s="35">
        <f>[16]С1.1!E27</f>
        <v>2676.0250000000001</v>
      </c>
    </row>
    <row r="30" spans="1:3" ht="17.25">
      <c r="A30" s="22" t="s">
        <v>12</v>
      </c>
      <c r="B30" s="34" t="s">
        <v>23</v>
      </c>
      <c r="C30" s="36">
        <f>[16]С1.1!E19</f>
        <v>0.59499999999999997</v>
      </c>
    </row>
    <row r="31" spans="1:3" ht="17.25">
      <c r="A31" s="22" t="s">
        <v>14</v>
      </c>
      <c r="B31" s="34" t="s">
        <v>24</v>
      </c>
      <c r="C31" s="36">
        <f>[16]С1.1!E20</f>
        <v>-0.113</v>
      </c>
    </row>
    <row r="32" spans="1:3" ht="30">
      <c r="A32" s="22" t="s">
        <v>16</v>
      </c>
      <c r="B32" s="37" t="s">
        <v>25</v>
      </c>
      <c r="C32" s="38">
        <f>[16]С1!F13</f>
        <v>176.4</v>
      </c>
    </row>
    <row r="33" spans="1:3">
      <c r="A33" s="22" t="s">
        <v>18</v>
      </c>
      <c r="B33" s="37" t="s">
        <v>26</v>
      </c>
      <c r="C33" s="39">
        <f>[16]С1!F16</f>
        <v>7000</v>
      </c>
    </row>
    <row r="34" spans="1:3" ht="14.25">
      <c r="A34" s="22" t="s">
        <v>27</v>
      </c>
      <c r="B34" s="40" t="s">
        <v>28</v>
      </c>
      <c r="C34" s="41">
        <f>[16]С1!F17</f>
        <v>0.72857142857142854</v>
      </c>
    </row>
    <row r="35" spans="1:3" ht="15.75">
      <c r="A35" s="42" t="s">
        <v>29</v>
      </c>
      <c r="B35" s="43" t="s">
        <v>30</v>
      </c>
      <c r="C35" s="41">
        <f>[16]С1!F20</f>
        <v>21.588411179999994</v>
      </c>
    </row>
    <row r="36" spans="1:3" ht="15.75">
      <c r="A36" s="42" t="s">
        <v>31</v>
      </c>
      <c r="B36" s="44" t="s">
        <v>32</v>
      </c>
      <c r="C36" s="41">
        <f>[16]С1!F21</f>
        <v>20.818139999999996</v>
      </c>
    </row>
    <row r="37" spans="1:3" ht="14.25">
      <c r="A37" s="42" t="s">
        <v>33</v>
      </c>
      <c r="B37" s="45" t="s">
        <v>34</v>
      </c>
      <c r="C37" s="41">
        <f>[16]С1!F22</f>
        <v>1.0369999999999999</v>
      </c>
    </row>
    <row r="38" spans="1:3" ht="53.25" thickBot="1">
      <c r="A38" s="27" t="s">
        <v>35</v>
      </c>
      <c r="B38" s="46" t="s">
        <v>36</v>
      </c>
      <c r="C38" s="47">
        <f>[16]С1!F23</f>
        <v>1.0469999999999999</v>
      </c>
    </row>
    <row r="39" spans="1:3" ht="13.5" thickBot="1">
      <c r="A39" s="48"/>
      <c r="B39" s="49"/>
      <c r="C39" s="50"/>
    </row>
    <row r="40" spans="1:3" ht="30" customHeight="1">
      <c r="A40" s="51" t="s">
        <v>37</v>
      </c>
      <c r="B40" s="142" t="s">
        <v>38</v>
      </c>
      <c r="C40" s="142"/>
    </row>
    <row r="41" spans="1:3" ht="25.5">
      <c r="A41" s="22" t="s">
        <v>39</v>
      </c>
      <c r="B41" s="37" t="s">
        <v>40</v>
      </c>
      <c r="C41" s="52" t="str">
        <f>[16]С2.1!E12</f>
        <v>V</v>
      </c>
    </row>
    <row r="42" spans="1:3" ht="25.5">
      <c r="A42" s="22" t="s">
        <v>41</v>
      </c>
      <c r="B42" s="34" t="s">
        <v>42</v>
      </c>
      <c r="C42" s="52" t="str">
        <f>[16]С2.1!E13</f>
        <v>6 и менее баллов</v>
      </c>
    </row>
    <row r="43" spans="1:3" ht="25.5">
      <c r="A43" s="22" t="s">
        <v>43</v>
      </c>
      <c r="B43" s="34" t="s">
        <v>44</v>
      </c>
      <c r="C43" s="52" t="str">
        <f>[16]С2.1!E14</f>
        <v>от 200 до 500</v>
      </c>
    </row>
    <row r="44" spans="1:3" ht="25.5">
      <c r="A44" s="22" t="s">
        <v>45</v>
      </c>
      <c r="B44" s="34" t="s">
        <v>46</v>
      </c>
      <c r="C44" s="53" t="str">
        <f>[16]С2.1!E15</f>
        <v>нет</v>
      </c>
    </row>
    <row r="45" spans="1:3" ht="30">
      <c r="A45" s="22" t="s">
        <v>47</v>
      </c>
      <c r="B45" s="34" t="s">
        <v>48</v>
      </c>
      <c r="C45" s="35">
        <f>[16]С2!F18</f>
        <v>32402.627334033532</v>
      </c>
    </row>
    <row r="46" spans="1:3" ht="30">
      <c r="A46" s="22" t="s">
        <v>49</v>
      </c>
      <c r="B46" s="54" t="s">
        <v>50</v>
      </c>
      <c r="C46" s="35">
        <f>IF([16]С2!F19&gt;0,[16]С2!F19,[16]С2!F20)</f>
        <v>23441.524932855718</v>
      </c>
    </row>
    <row r="47" spans="1:3" ht="25.5">
      <c r="A47" s="22" t="s">
        <v>51</v>
      </c>
      <c r="B47" s="55" t="s">
        <v>52</v>
      </c>
      <c r="C47" s="35">
        <f>[16]С2.1!E19</f>
        <v>-38</v>
      </c>
    </row>
    <row r="48" spans="1:3" ht="25.5">
      <c r="A48" s="22" t="s">
        <v>53</v>
      </c>
      <c r="B48" s="55" t="s">
        <v>54</v>
      </c>
      <c r="C48" s="35" t="str">
        <f>[16]С2.1!E22</f>
        <v>нет</v>
      </c>
    </row>
    <row r="49" spans="1:3" ht="38.25">
      <c r="A49" s="22" t="s">
        <v>55</v>
      </c>
      <c r="B49" s="56" t="s">
        <v>56</v>
      </c>
      <c r="C49" s="35">
        <f>[16]С2.2!E10</f>
        <v>1287</v>
      </c>
    </row>
    <row r="50" spans="1:3" ht="25.5">
      <c r="A50" s="22" t="s">
        <v>57</v>
      </c>
      <c r="B50" s="57" t="s">
        <v>58</v>
      </c>
      <c r="C50" s="35">
        <f>[16]С2.2!E12</f>
        <v>5.97</v>
      </c>
    </row>
    <row r="51" spans="1:3" ht="52.5">
      <c r="A51" s="22" t="s">
        <v>59</v>
      </c>
      <c r="B51" s="58" t="s">
        <v>60</v>
      </c>
      <c r="C51" s="35">
        <f>[16]С2.2!E13</f>
        <v>1</v>
      </c>
    </row>
    <row r="52" spans="1:3" ht="27.75">
      <c r="A52" s="22" t="s">
        <v>61</v>
      </c>
      <c r="B52" s="57" t="s">
        <v>62</v>
      </c>
      <c r="C52" s="35">
        <f>[16]С2.2!E14</f>
        <v>12104</v>
      </c>
    </row>
    <row r="53" spans="1:3" ht="25.5">
      <c r="A53" s="22" t="s">
        <v>63</v>
      </c>
      <c r="B53" s="58" t="s">
        <v>64</v>
      </c>
      <c r="C53" s="36">
        <f>[16]С2.2!E15</f>
        <v>4.8000000000000001E-2</v>
      </c>
    </row>
    <row r="54" spans="1:3">
      <c r="A54" s="22" t="s">
        <v>65</v>
      </c>
      <c r="B54" s="58" t="s">
        <v>66</v>
      </c>
      <c r="C54" s="35">
        <f>[16]С2.2!E16</f>
        <v>1</v>
      </c>
    </row>
    <row r="55" spans="1:3" ht="15.75">
      <c r="A55" s="22" t="s">
        <v>67</v>
      </c>
      <c r="B55" s="59" t="s">
        <v>68</v>
      </c>
      <c r="C55" s="35">
        <f>[16]С2!F21</f>
        <v>1</v>
      </c>
    </row>
    <row r="56" spans="1:3" ht="30">
      <c r="A56" s="60" t="s">
        <v>69</v>
      </c>
      <c r="B56" s="34" t="s">
        <v>70</v>
      </c>
      <c r="C56" s="35">
        <f>[16]С2!F13</f>
        <v>169640.22915965237</v>
      </c>
    </row>
    <row r="57" spans="1:3" ht="30">
      <c r="A57" s="60" t="s">
        <v>71</v>
      </c>
      <c r="B57" s="59" t="s">
        <v>72</v>
      </c>
      <c r="C57" s="35">
        <f>[16]С2!F14</f>
        <v>113455</v>
      </c>
    </row>
    <row r="58" spans="1:3" ht="15.75">
      <c r="A58" s="60" t="s">
        <v>73</v>
      </c>
      <c r="B58" s="61" t="s">
        <v>74</v>
      </c>
      <c r="C58" s="41">
        <f>[16]С2!F15</f>
        <v>1.071</v>
      </c>
    </row>
    <row r="59" spans="1:3" ht="15.75">
      <c r="A59" s="60" t="s">
        <v>75</v>
      </c>
      <c r="B59" s="61" t="s">
        <v>76</v>
      </c>
      <c r="C59" s="41">
        <f>[16]С2!F16</f>
        <v>1</v>
      </c>
    </row>
    <row r="60" spans="1:3" ht="17.25">
      <c r="A60" s="60" t="s">
        <v>77</v>
      </c>
      <c r="B60" s="59" t="s">
        <v>78</v>
      </c>
      <c r="C60" s="35">
        <f>[16]С2!F17</f>
        <v>1.01</v>
      </c>
    </row>
    <row r="61" spans="1:3" s="64" customFormat="1" ht="14.25">
      <c r="A61" s="60" t="s">
        <v>79</v>
      </c>
      <c r="B61" s="62" t="s">
        <v>80</v>
      </c>
      <c r="C61" s="63">
        <f>[16]С2!F33</f>
        <v>10</v>
      </c>
    </row>
    <row r="62" spans="1:3" ht="30">
      <c r="A62" s="60" t="s">
        <v>81</v>
      </c>
      <c r="B62" s="65" t="s">
        <v>82</v>
      </c>
      <c r="C62" s="35">
        <f>[16]С2!F26</f>
        <v>2274.3932248182782</v>
      </c>
    </row>
    <row r="63" spans="1:3" ht="17.25">
      <c r="A63" s="60" t="s">
        <v>83</v>
      </c>
      <c r="B63" s="54" t="s">
        <v>84</v>
      </c>
      <c r="C63" s="35">
        <f>[16]С2!F27</f>
        <v>0.391761629</v>
      </c>
    </row>
    <row r="64" spans="1:3" ht="17.25">
      <c r="A64" s="60" t="s">
        <v>85</v>
      </c>
      <c r="B64" s="59" t="s">
        <v>86</v>
      </c>
      <c r="C64" s="63">
        <f>[16]С2!F28</f>
        <v>4200</v>
      </c>
    </row>
    <row r="65" spans="1:3" ht="42.75">
      <c r="A65" s="60" t="s">
        <v>87</v>
      </c>
      <c r="B65" s="34" t="s">
        <v>88</v>
      </c>
      <c r="C65" s="35">
        <f>[16]С2!F22</f>
        <v>35717.748653137714</v>
      </c>
    </row>
    <row r="66" spans="1:3" ht="30">
      <c r="A66" s="60" t="s">
        <v>89</v>
      </c>
      <c r="B66" s="61" t="s">
        <v>90</v>
      </c>
      <c r="C66" s="35">
        <f>[16]С2!F23</f>
        <v>1990</v>
      </c>
    </row>
    <row r="67" spans="1:3" ht="30">
      <c r="A67" s="60" t="s">
        <v>91</v>
      </c>
      <c r="B67" s="54" t="s">
        <v>92</v>
      </c>
      <c r="C67" s="35">
        <f>[16]С2.1!E27</f>
        <v>14307.876789999998</v>
      </c>
    </row>
    <row r="68" spans="1:3" ht="38.25">
      <c r="A68" s="60" t="s">
        <v>93</v>
      </c>
      <c r="B68" s="66" t="s">
        <v>94</v>
      </c>
      <c r="C68" s="53">
        <f>[16]С2.3!E21</f>
        <v>0</v>
      </c>
    </row>
    <row r="69" spans="1:3" ht="25.5">
      <c r="A69" s="60" t="s">
        <v>95</v>
      </c>
      <c r="B69" s="67" t="s">
        <v>96</v>
      </c>
      <c r="C69" s="68">
        <f>[16]С2.3!E11</f>
        <v>9.89</v>
      </c>
    </row>
    <row r="70" spans="1:3" ht="25.5">
      <c r="A70" s="60" t="s">
        <v>97</v>
      </c>
      <c r="B70" s="67" t="s">
        <v>98</v>
      </c>
      <c r="C70" s="63">
        <f>[16]С2.3!E13</f>
        <v>300</v>
      </c>
    </row>
    <row r="71" spans="1:3" ht="25.5">
      <c r="A71" s="60" t="s">
        <v>99</v>
      </c>
      <c r="B71" s="66" t="s">
        <v>100</v>
      </c>
      <c r="C71" s="69">
        <f>IF([16]С2.3!E22&gt;0,[16]С2.3!E22,[16]С2.3!E14)</f>
        <v>61211</v>
      </c>
    </row>
    <row r="72" spans="1:3" ht="38.25">
      <c r="A72" s="60" t="s">
        <v>101</v>
      </c>
      <c r="B72" s="66" t="s">
        <v>102</v>
      </c>
      <c r="C72" s="69">
        <f>IF([16]С2.3!E23&gt;0,[16]С2.3!E23,[16]С2.3!E15)</f>
        <v>45675</v>
      </c>
    </row>
    <row r="73" spans="1:3" ht="30">
      <c r="A73" s="60" t="s">
        <v>103</v>
      </c>
      <c r="B73" s="54" t="s">
        <v>104</v>
      </c>
      <c r="C73" s="35">
        <f>[16]С2.1!E28</f>
        <v>9541.9567200000001</v>
      </c>
    </row>
    <row r="74" spans="1:3" ht="38.25">
      <c r="A74" s="60" t="s">
        <v>105</v>
      </c>
      <c r="B74" s="66" t="s">
        <v>106</v>
      </c>
      <c r="C74" s="53">
        <f>[16]С2.3!E25</f>
        <v>0</v>
      </c>
    </row>
    <row r="75" spans="1:3" ht="25.5">
      <c r="A75" s="60" t="s">
        <v>107</v>
      </c>
      <c r="B75" s="67" t="s">
        <v>108</v>
      </c>
      <c r="C75" s="68">
        <f>[16]С2.3!E12</f>
        <v>0.56000000000000005</v>
      </c>
    </row>
    <row r="76" spans="1:3" ht="25.5">
      <c r="A76" s="60" t="s">
        <v>109</v>
      </c>
      <c r="B76" s="67" t="s">
        <v>98</v>
      </c>
      <c r="C76" s="63">
        <f>[16]С2.3!E13</f>
        <v>300</v>
      </c>
    </row>
    <row r="77" spans="1:3" ht="25.5">
      <c r="A77" s="60" t="s">
        <v>110</v>
      </c>
      <c r="B77" s="70" t="s">
        <v>111</v>
      </c>
      <c r="C77" s="69">
        <f>IF([16]С2.3!E26&gt;0,[16]С2.3!E26,[16]С2.3!E16)</f>
        <v>65637</v>
      </c>
    </row>
    <row r="78" spans="1:3" ht="38.25">
      <c r="A78" s="60" t="s">
        <v>112</v>
      </c>
      <c r="B78" s="70" t="s">
        <v>113</v>
      </c>
      <c r="C78" s="69">
        <f>IF([16]С2.3!E27&gt;0,[16]С2.3!E27,[16]С2.3!E17)</f>
        <v>31684</v>
      </c>
    </row>
    <row r="79" spans="1:3" ht="17.25">
      <c r="A79" s="60" t="s">
        <v>114</v>
      </c>
      <c r="B79" s="34" t="s">
        <v>115</v>
      </c>
      <c r="C79" s="36">
        <f>[16]С2!F29</f>
        <v>0.128978033685065</v>
      </c>
    </row>
    <row r="80" spans="1:3" ht="30">
      <c r="A80" s="60" t="s">
        <v>116</v>
      </c>
      <c r="B80" s="54" t="s">
        <v>117</v>
      </c>
      <c r="C80" s="71">
        <f>[16]С2!F30</f>
        <v>0.11668498168498169</v>
      </c>
    </row>
    <row r="81" spans="1:3" ht="17.25">
      <c r="A81" s="60" t="s">
        <v>118</v>
      </c>
      <c r="B81" s="72" t="s">
        <v>119</v>
      </c>
      <c r="C81" s="36">
        <f>[16]С2!F31</f>
        <v>0.13880000000000001</v>
      </c>
    </row>
    <row r="82" spans="1:3" s="64" customFormat="1" ht="18" thickBot="1">
      <c r="A82" s="73" t="s">
        <v>120</v>
      </c>
      <c r="B82" s="74" t="s">
        <v>121</v>
      </c>
      <c r="C82" s="75">
        <f>[16]С2!F32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[16]С3!F14</f>
        <v>7051.1767451401192</v>
      </c>
    </row>
    <row r="86" spans="1:3" s="64" customFormat="1" ht="42.75">
      <c r="A86" s="78" t="s">
        <v>126</v>
      </c>
      <c r="B86" s="54" t="s">
        <v>127</v>
      </c>
      <c r="C86" s="79">
        <f>[16]С3!F15</f>
        <v>0.2</v>
      </c>
    </row>
    <row r="87" spans="1:3" s="64" customFormat="1" ht="14.25">
      <c r="A87" s="78" t="s">
        <v>128</v>
      </c>
      <c r="B87" s="80" t="s">
        <v>129</v>
      </c>
      <c r="C87" s="63">
        <f>[16]С3!F18</f>
        <v>15</v>
      </c>
    </row>
    <row r="88" spans="1:3" s="64" customFormat="1" ht="17.25">
      <c r="A88" s="78" t="s">
        <v>130</v>
      </c>
      <c r="B88" s="34" t="s">
        <v>131</v>
      </c>
      <c r="C88" s="35">
        <f>[16]С3!F19</f>
        <v>3487.1555421534131</v>
      </c>
    </row>
    <row r="89" spans="1:3" s="64" customFormat="1" ht="55.5">
      <c r="A89" s="78" t="s">
        <v>132</v>
      </c>
      <c r="B89" s="54" t="s">
        <v>133</v>
      </c>
      <c r="C89" s="81">
        <f>[16]С3!F20</f>
        <v>2.1999999999999999E-2</v>
      </c>
    </row>
    <row r="90" spans="1:3" s="64" customFormat="1" ht="14.25">
      <c r="A90" s="78" t="s">
        <v>134</v>
      </c>
      <c r="B90" s="59" t="s">
        <v>80</v>
      </c>
      <c r="C90" s="63">
        <f>[16]С3!F21</f>
        <v>10</v>
      </c>
    </row>
    <row r="91" spans="1:3" s="64" customFormat="1" ht="17.25">
      <c r="A91" s="78" t="s">
        <v>135</v>
      </c>
      <c r="B91" s="34" t="s">
        <v>136</v>
      </c>
      <c r="C91" s="35">
        <f>[16]С3!F22</f>
        <v>6.8231796744548348</v>
      </c>
    </row>
    <row r="92" spans="1:3" s="64" customFormat="1" ht="55.5">
      <c r="A92" s="78" t="s">
        <v>137</v>
      </c>
      <c r="B92" s="54" t="s">
        <v>138</v>
      </c>
      <c r="C92" s="81">
        <f>[16]С3!F23</f>
        <v>3.0000000000000001E-3</v>
      </c>
    </row>
    <row r="93" spans="1:3" s="64" customFormat="1" ht="27.75" thickBot="1">
      <c r="A93" s="82" t="s">
        <v>139</v>
      </c>
      <c r="B93" s="83" t="s">
        <v>140</v>
      </c>
      <c r="C93" s="84">
        <f>[16]С3!F24</f>
        <v>2274.3932248182782</v>
      </c>
    </row>
    <row r="94" spans="1:3" ht="13.5" thickBot="1">
      <c r="A94" s="48"/>
      <c r="B94" s="76"/>
      <c r="C94" s="15"/>
    </row>
    <row r="95" spans="1:3" ht="30" customHeight="1">
      <c r="A95" s="85" t="s">
        <v>141</v>
      </c>
      <c r="B95" s="142" t="s">
        <v>142</v>
      </c>
      <c r="C95" s="142"/>
    </row>
    <row r="96" spans="1:3" ht="30">
      <c r="A96" s="60" t="s">
        <v>143</v>
      </c>
      <c r="B96" s="34" t="s">
        <v>144</v>
      </c>
      <c r="C96" s="35">
        <f>[16]С4!F16</f>
        <v>1652.5</v>
      </c>
    </row>
    <row r="97" spans="1:3" ht="30">
      <c r="A97" s="60" t="s">
        <v>145</v>
      </c>
      <c r="B97" s="59" t="s">
        <v>146</v>
      </c>
      <c r="C97" s="35">
        <f>[16]С4!F17</f>
        <v>73547</v>
      </c>
    </row>
    <row r="98" spans="1:3" ht="17.25">
      <c r="A98" s="60" t="s">
        <v>147</v>
      </c>
      <c r="B98" s="59" t="s">
        <v>148</v>
      </c>
      <c r="C98" s="41">
        <f>[16]С4!F18</f>
        <v>0.02</v>
      </c>
    </row>
    <row r="99" spans="1:3" ht="30">
      <c r="A99" s="60" t="s">
        <v>149</v>
      </c>
      <c r="B99" s="59" t="s">
        <v>150</v>
      </c>
      <c r="C99" s="35">
        <f>[16]С4!F19</f>
        <v>12104</v>
      </c>
    </row>
    <row r="100" spans="1:3" ht="31.5">
      <c r="A100" s="60" t="s">
        <v>151</v>
      </c>
      <c r="B100" s="59" t="s">
        <v>152</v>
      </c>
      <c r="C100" s="41">
        <f>[16]С4!F20</f>
        <v>1.4999999999999999E-2</v>
      </c>
    </row>
    <row r="101" spans="1:3" ht="30">
      <c r="A101" s="60" t="s">
        <v>153</v>
      </c>
      <c r="B101" s="34" t="s">
        <v>154</v>
      </c>
      <c r="C101" s="35">
        <f>[16]С4!F21</f>
        <v>1933.1949342509995</v>
      </c>
    </row>
    <row r="102" spans="1:3" ht="24" customHeight="1">
      <c r="A102" s="60" t="s">
        <v>155</v>
      </c>
      <c r="B102" s="54" t="s">
        <v>156</v>
      </c>
      <c r="C102" s="86">
        <f>IF([16]С4.2!F8="да",[16]С4.2!D21,[16]С4.2!D15)</f>
        <v>0</v>
      </c>
    </row>
    <row r="103" spans="1:3" ht="68.25">
      <c r="A103" s="60" t="s">
        <v>157</v>
      </c>
      <c r="B103" s="54" t="s">
        <v>158</v>
      </c>
      <c r="C103" s="35">
        <f>[16]С4!F22</f>
        <v>3.6112641666666665</v>
      </c>
    </row>
    <row r="104" spans="1:3" ht="30">
      <c r="A104" s="60" t="s">
        <v>159</v>
      </c>
      <c r="B104" s="59" t="s">
        <v>160</v>
      </c>
      <c r="C104" s="35">
        <f>[16]С4!F23</f>
        <v>180</v>
      </c>
    </row>
    <row r="105" spans="1:3" ht="14.25">
      <c r="A105" s="60" t="s">
        <v>161</v>
      </c>
      <c r="B105" s="54" t="s">
        <v>162</v>
      </c>
      <c r="C105" s="35">
        <f>[16]С4!F24</f>
        <v>8497.1999999999989</v>
      </c>
    </row>
    <row r="106" spans="1:3" ht="14.25">
      <c r="A106" s="60" t="s">
        <v>163</v>
      </c>
      <c r="B106" s="59" t="s">
        <v>164</v>
      </c>
      <c r="C106" s="41">
        <f>[16]С4!F25</f>
        <v>0.35</v>
      </c>
    </row>
    <row r="107" spans="1:3" ht="17.25">
      <c r="A107" s="60" t="s">
        <v>165</v>
      </c>
      <c r="B107" s="34" t="s">
        <v>166</v>
      </c>
      <c r="C107" s="35">
        <f>[16]С4!F26</f>
        <v>97.658160000000009</v>
      </c>
    </row>
    <row r="108" spans="1:3" ht="25.5">
      <c r="A108" s="60" t="s">
        <v>167</v>
      </c>
      <c r="B108" s="54" t="s">
        <v>94</v>
      </c>
      <c r="C108" s="86">
        <f>[16]С4.3!E16</f>
        <v>0</v>
      </c>
    </row>
    <row r="109" spans="1:3" ht="25.5">
      <c r="A109" s="60" t="s">
        <v>168</v>
      </c>
      <c r="B109" s="54" t="s">
        <v>169</v>
      </c>
      <c r="C109" s="35">
        <f>[16]С4.3!E17</f>
        <v>26.92</v>
      </c>
    </row>
    <row r="110" spans="1:3" ht="38.25">
      <c r="A110" s="60" t="s">
        <v>170</v>
      </c>
      <c r="B110" s="54" t="s">
        <v>106</v>
      </c>
      <c r="C110" s="86">
        <f>[16]С4.3!E18</f>
        <v>0</v>
      </c>
    </row>
    <row r="111" spans="1:3">
      <c r="A111" s="60" t="s">
        <v>171</v>
      </c>
      <c r="B111" s="54" t="s">
        <v>172</v>
      </c>
      <c r="C111" s="35">
        <f>[16]С4.3!E19</f>
        <v>15.93</v>
      </c>
    </row>
    <row r="112" spans="1:3">
      <c r="A112" s="60" t="s">
        <v>173</v>
      </c>
      <c r="B112" s="59" t="s">
        <v>174</v>
      </c>
      <c r="C112" s="35">
        <f>[16]С4.3!E11</f>
        <v>1871</v>
      </c>
    </row>
    <row r="113" spans="1:3">
      <c r="A113" s="60" t="s">
        <v>175</v>
      </c>
      <c r="B113" s="59" t="s">
        <v>176</v>
      </c>
      <c r="C113" s="53">
        <f>[16]С4.3!E12</f>
        <v>1636</v>
      </c>
    </row>
    <row r="114" spans="1:3">
      <c r="A114" s="60" t="s">
        <v>177</v>
      </c>
      <c r="B114" s="59" t="s">
        <v>178</v>
      </c>
      <c r="C114" s="53">
        <f>[16]С4.3!E13</f>
        <v>204</v>
      </c>
    </row>
    <row r="115" spans="1:3" ht="30">
      <c r="A115" s="60" t="s">
        <v>179</v>
      </c>
      <c r="B115" s="34" t="s">
        <v>180</v>
      </c>
      <c r="C115" s="35">
        <f>[16]С4!F27</f>
        <v>2164.8316773434499</v>
      </c>
    </row>
    <row r="116" spans="1:3" ht="25.5">
      <c r="A116" s="60" t="s">
        <v>181</v>
      </c>
      <c r="B116" s="54" t="s">
        <v>182</v>
      </c>
      <c r="C116" s="35">
        <f>[16]С4!F28</f>
        <v>1662.6971408167815</v>
      </c>
    </row>
    <row r="117" spans="1:3" ht="42.75">
      <c r="A117" s="60" t="s">
        <v>183</v>
      </c>
      <c r="B117" s="54" t="s">
        <v>184</v>
      </c>
      <c r="C117" s="35">
        <f>[16]С4!F29</f>
        <v>502.13453652666817</v>
      </c>
    </row>
    <row r="118" spans="1:3" ht="30">
      <c r="A118" s="60" t="s">
        <v>185</v>
      </c>
      <c r="B118" s="40" t="s">
        <v>186</v>
      </c>
      <c r="C118" s="35">
        <f>[16]С4!F30</f>
        <v>2265.2063280480811</v>
      </c>
    </row>
    <row r="119" spans="1:3" ht="42.75">
      <c r="A119" s="60" t="s">
        <v>187</v>
      </c>
      <c r="B119" s="87" t="s">
        <v>188</v>
      </c>
      <c r="C119" s="35">
        <f>[16]С4!F33</f>
        <v>1467.3689804626692</v>
      </c>
    </row>
    <row r="120" spans="1:3" ht="30">
      <c r="A120" s="60" t="s">
        <v>189</v>
      </c>
      <c r="B120" s="88" t="s">
        <v>190</v>
      </c>
      <c r="C120" s="35">
        <f>[16]С4!F35</f>
        <v>17.040680999999999</v>
      </c>
    </row>
    <row r="121" spans="1:3" ht="14.25">
      <c r="A121" s="60" t="s">
        <v>191</v>
      </c>
      <c r="B121" s="57" t="s">
        <v>192</v>
      </c>
      <c r="C121" s="35">
        <f>[16]С4!F36</f>
        <v>14319.9</v>
      </c>
    </row>
    <row r="122" spans="1:3" ht="28.5" thickBot="1">
      <c r="A122" s="73" t="s">
        <v>193</v>
      </c>
      <c r="B122" s="89" t="s">
        <v>194</v>
      </c>
      <c r="C122" s="84">
        <f>[16]С4!F37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[16]С5!F17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[16]С2!F37</f>
        <v>20.818139999999996</v>
      </c>
    </row>
    <row r="136" spans="1:3" ht="14.25">
      <c r="A136" s="60" t="s">
        <v>216</v>
      </c>
      <c r="B136" s="102" t="s">
        <v>217</v>
      </c>
      <c r="C136" s="35">
        <f>[16]С2!F38</f>
        <v>7</v>
      </c>
    </row>
    <row r="137" spans="1:3" ht="17.25">
      <c r="A137" s="60" t="s">
        <v>218</v>
      </c>
      <c r="B137" s="102" t="s">
        <v>219</v>
      </c>
      <c r="C137" s="35">
        <f>[16]С2!F40</f>
        <v>0.97</v>
      </c>
    </row>
    <row r="138" spans="1:3" ht="15" thickBot="1">
      <c r="A138" s="73" t="s">
        <v>220</v>
      </c>
      <c r="B138" s="103" t="s">
        <v>221</v>
      </c>
      <c r="C138" s="47">
        <f>[16]С2!F42</f>
        <v>0.35</v>
      </c>
    </row>
    <row r="139" spans="1:3" s="90" customFormat="1" ht="13.5" thickBot="1">
      <c r="A139" s="48"/>
      <c r="B139" s="76"/>
      <c r="C139" s="15"/>
    </row>
    <row r="140" spans="1:3" ht="30">
      <c r="A140" s="85" t="s">
        <v>222</v>
      </c>
      <c r="B140" s="104" t="s">
        <v>223</v>
      </c>
      <c r="C140" s="105">
        <f>[16]С2!F35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[16]С2.5!$E$11</f>
        <v>-2.9000000000000026E-2</v>
      </c>
    </row>
    <row r="144" spans="1:3">
      <c r="A144" s="107"/>
      <c r="B144" s="112">
        <f>B143+1</f>
        <v>2021</v>
      </c>
      <c r="C144" s="113">
        <f>[16]С2.5!$F$11</f>
        <v>0.245</v>
      </c>
    </row>
    <row r="145" spans="1:3">
      <c r="A145" s="107"/>
      <c r="B145" s="112">
        <f t="shared" ref="B145:B208" si="0">B144+1</f>
        <v>2022</v>
      </c>
      <c r="C145" s="113">
        <f>[16]С2.5!$G$11</f>
        <v>0.121</v>
      </c>
    </row>
    <row r="146" spans="1:3" ht="13.5" thickBot="1">
      <c r="A146" s="107"/>
      <c r="B146" s="114">
        <f t="shared" si="0"/>
        <v>2023</v>
      </c>
      <c r="C146" s="115">
        <f>[16]С2.5!$H$11</f>
        <v>0.02</v>
      </c>
    </row>
    <row r="147" spans="1:3" hidden="1">
      <c r="A147" s="107"/>
      <c r="B147" s="116">
        <f t="shared" si="0"/>
        <v>2024</v>
      </c>
      <c r="C147" s="117">
        <f>[16]С2.5!$I$11</f>
        <v>-2.93E-2</v>
      </c>
    </row>
    <row r="148" spans="1:3" hidden="1">
      <c r="A148" s="107"/>
      <c r="B148" s="112">
        <f t="shared" si="0"/>
        <v>2025</v>
      </c>
      <c r="C148" s="113">
        <f>[16]С2.5!$J$11</f>
        <v>0.21215960863291</v>
      </c>
    </row>
    <row r="149" spans="1:3" hidden="1">
      <c r="A149" s="107"/>
      <c r="B149" s="112">
        <f t="shared" si="0"/>
        <v>2026</v>
      </c>
      <c r="C149" s="113">
        <f>[16]С2.5!$K$11</f>
        <v>3.5813361771260002E-2</v>
      </c>
    </row>
    <row r="150" spans="1:3" hidden="1">
      <c r="A150" s="107"/>
      <c r="B150" s="112">
        <f t="shared" si="0"/>
        <v>2027</v>
      </c>
      <c r="C150" s="113">
        <f>[16]С2.5!$L$11</f>
        <v>3.2682303599220003E-2</v>
      </c>
    </row>
    <row r="151" spans="1:3" hidden="1">
      <c r="A151" s="107"/>
      <c r="B151" s="112">
        <f t="shared" si="0"/>
        <v>2028</v>
      </c>
      <c r="C151" s="113">
        <f>[16]С2.5!$M$11</f>
        <v>0</v>
      </c>
    </row>
    <row r="152" spans="1:3" hidden="1">
      <c r="A152" s="107"/>
      <c r="B152" s="112">
        <f t="shared" si="0"/>
        <v>2029</v>
      </c>
      <c r="C152" s="113">
        <f>[16]С2.5!$N$11</f>
        <v>0</v>
      </c>
    </row>
    <row r="153" spans="1:3" hidden="1">
      <c r="A153" s="107"/>
      <c r="B153" s="112">
        <f t="shared" si="0"/>
        <v>2030</v>
      </c>
      <c r="C153" s="113">
        <f>[16]С2.5!$O$11</f>
        <v>0</v>
      </c>
    </row>
    <row r="154" spans="1:3" hidden="1">
      <c r="A154" s="107"/>
      <c r="B154" s="112">
        <f t="shared" si="0"/>
        <v>2031</v>
      </c>
      <c r="C154" s="113">
        <f>[16]С2.5!$P$11</f>
        <v>0</v>
      </c>
    </row>
    <row r="155" spans="1:3" hidden="1">
      <c r="A155" s="90"/>
      <c r="B155" s="112">
        <f t="shared" si="0"/>
        <v>2032</v>
      </c>
      <c r="C155" s="113">
        <f>[16]С2.5!$Q$11</f>
        <v>0</v>
      </c>
    </row>
    <row r="156" spans="1:3" hidden="1">
      <c r="A156" s="90"/>
      <c r="B156" s="112">
        <f t="shared" si="0"/>
        <v>2033</v>
      </c>
      <c r="C156" s="113">
        <f>[16]С2.5!$R$11</f>
        <v>0</v>
      </c>
    </row>
    <row r="157" spans="1:3" hidden="1">
      <c r="B157" s="112">
        <f t="shared" si="0"/>
        <v>2034</v>
      </c>
      <c r="C157" s="113">
        <f>[16]С2.5!$S$11</f>
        <v>0</v>
      </c>
    </row>
    <row r="158" spans="1:3" hidden="1">
      <c r="B158" s="112">
        <f t="shared" si="0"/>
        <v>2035</v>
      </c>
      <c r="C158" s="113">
        <f>[16]С2.5!$T$11</f>
        <v>0</v>
      </c>
    </row>
    <row r="159" spans="1:3" hidden="1">
      <c r="B159" s="112">
        <f t="shared" si="0"/>
        <v>2036</v>
      </c>
      <c r="C159" s="113">
        <f>[16]С2.5!$U$11</f>
        <v>0</v>
      </c>
    </row>
    <row r="160" spans="1:3" hidden="1">
      <c r="B160" s="112">
        <f t="shared" si="0"/>
        <v>2037</v>
      </c>
      <c r="C160" s="113">
        <f>[16]С2.5!$V$11</f>
        <v>0</v>
      </c>
    </row>
    <row r="161" spans="2:3" hidden="1">
      <c r="B161" s="112">
        <f t="shared" si="0"/>
        <v>2038</v>
      </c>
      <c r="C161" s="113">
        <f>[16]С2.5!$W$11</f>
        <v>0</v>
      </c>
    </row>
    <row r="162" spans="2:3" hidden="1">
      <c r="B162" s="112">
        <f t="shared" si="0"/>
        <v>2039</v>
      </c>
      <c r="C162" s="113">
        <f>[16]С2.5!$X$11</f>
        <v>0</v>
      </c>
    </row>
    <row r="163" spans="2:3" hidden="1">
      <c r="B163" s="112">
        <f t="shared" si="0"/>
        <v>2040</v>
      </c>
      <c r="C163" s="113">
        <f>[16]С2.5!$Y$11</f>
        <v>0</v>
      </c>
    </row>
    <row r="164" spans="2:3" hidden="1">
      <c r="B164" s="112">
        <f t="shared" si="0"/>
        <v>2041</v>
      </c>
      <c r="C164" s="113">
        <f>[16]С2.5!$Z$11</f>
        <v>0</v>
      </c>
    </row>
    <row r="165" spans="2:3" hidden="1">
      <c r="B165" s="112">
        <f t="shared" si="0"/>
        <v>2042</v>
      </c>
      <c r="C165" s="113">
        <f>[16]С2.5!$AA$11</f>
        <v>0</v>
      </c>
    </row>
    <row r="166" spans="2:3" hidden="1">
      <c r="B166" s="112">
        <f t="shared" si="0"/>
        <v>2043</v>
      </c>
      <c r="C166" s="113">
        <f>[16]С2.5!$AB$11</f>
        <v>0</v>
      </c>
    </row>
    <row r="167" spans="2:3" hidden="1">
      <c r="B167" s="112">
        <f t="shared" si="0"/>
        <v>2044</v>
      </c>
      <c r="C167" s="113">
        <f>[16]С2.5!$AC$11</f>
        <v>0</v>
      </c>
    </row>
    <row r="168" spans="2:3" hidden="1">
      <c r="B168" s="112">
        <f t="shared" si="0"/>
        <v>2045</v>
      </c>
      <c r="C168" s="113">
        <f>[16]С2.5!$AD$11</f>
        <v>0</v>
      </c>
    </row>
    <row r="169" spans="2:3" hidden="1">
      <c r="B169" s="112">
        <f t="shared" si="0"/>
        <v>2046</v>
      </c>
      <c r="C169" s="113">
        <f>[16]С2.5!$AE$11</f>
        <v>0</v>
      </c>
    </row>
    <row r="170" spans="2:3" hidden="1">
      <c r="B170" s="112">
        <f t="shared" si="0"/>
        <v>2047</v>
      </c>
      <c r="C170" s="113">
        <f>[16]С2.5!$AF$11</f>
        <v>0</v>
      </c>
    </row>
    <row r="171" spans="2:3" hidden="1">
      <c r="B171" s="112">
        <f t="shared" si="0"/>
        <v>2048</v>
      </c>
      <c r="C171" s="113">
        <f>[16]С2.5!$AG$11</f>
        <v>0</v>
      </c>
    </row>
    <row r="172" spans="2:3" hidden="1">
      <c r="B172" s="112">
        <f t="shared" si="0"/>
        <v>2049</v>
      </c>
      <c r="C172" s="113">
        <f>[16]С2.5!$AH$11</f>
        <v>0</v>
      </c>
    </row>
    <row r="173" spans="2:3" hidden="1">
      <c r="B173" s="112">
        <f t="shared" si="0"/>
        <v>2050</v>
      </c>
      <c r="C173" s="113">
        <f>[16]С2.5!$AI$11</f>
        <v>0</v>
      </c>
    </row>
    <row r="174" spans="2:3" hidden="1">
      <c r="B174" s="112">
        <f t="shared" si="0"/>
        <v>2051</v>
      </c>
      <c r="C174" s="113">
        <f>[16]С2.5!$AJ$11</f>
        <v>0</v>
      </c>
    </row>
    <row r="175" spans="2:3" hidden="1">
      <c r="B175" s="112">
        <f t="shared" si="0"/>
        <v>2052</v>
      </c>
      <c r="C175" s="113">
        <f>[16]С2.5!$AK$11</f>
        <v>0</v>
      </c>
    </row>
    <row r="176" spans="2:3" hidden="1">
      <c r="B176" s="112">
        <f t="shared" si="0"/>
        <v>2053</v>
      </c>
      <c r="C176" s="113">
        <f>[16]С2.5!$AL$11</f>
        <v>0</v>
      </c>
    </row>
    <row r="177" spans="2:3" hidden="1">
      <c r="B177" s="112">
        <f t="shared" si="0"/>
        <v>2054</v>
      </c>
      <c r="C177" s="113">
        <f>[16]С2.5!$AM$11</f>
        <v>0</v>
      </c>
    </row>
    <row r="178" spans="2:3" hidden="1">
      <c r="B178" s="112">
        <f t="shared" si="0"/>
        <v>2055</v>
      </c>
      <c r="C178" s="113">
        <f>[16]С2.5!$AN$11</f>
        <v>0</v>
      </c>
    </row>
    <row r="179" spans="2:3" hidden="1">
      <c r="B179" s="112">
        <f t="shared" si="0"/>
        <v>2056</v>
      </c>
      <c r="C179" s="113">
        <f>[16]С2.5!$AO$11</f>
        <v>0</v>
      </c>
    </row>
    <row r="180" spans="2:3" hidden="1">
      <c r="B180" s="112">
        <f t="shared" si="0"/>
        <v>2057</v>
      </c>
      <c r="C180" s="113">
        <f>[16]С2.5!$AP$11</f>
        <v>0</v>
      </c>
    </row>
    <row r="181" spans="2:3" hidden="1">
      <c r="B181" s="112">
        <f t="shared" si="0"/>
        <v>2058</v>
      </c>
      <c r="C181" s="113">
        <f>[16]С2.5!$AQ$11</f>
        <v>0</v>
      </c>
    </row>
    <row r="182" spans="2:3" hidden="1">
      <c r="B182" s="112">
        <f t="shared" si="0"/>
        <v>2059</v>
      </c>
      <c r="C182" s="113">
        <f>[16]С2.5!$AR$11</f>
        <v>0</v>
      </c>
    </row>
    <row r="183" spans="2:3" hidden="1">
      <c r="B183" s="112">
        <f t="shared" si="0"/>
        <v>2060</v>
      </c>
      <c r="C183" s="113">
        <f>[16]С2.5!$AS$11</f>
        <v>0</v>
      </c>
    </row>
    <row r="184" spans="2:3" hidden="1">
      <c r="B184" s="112">
        <f t="shared" si="0"/>
        <v>2061</v>
      </c>
      <c r="C184" s="113">
        <f>[16]С2.5!$AT$11</f>
        <v>0</v>
      </c>
    </row>
    <row r="185" spans="2:3" hidden="1">
      <c r="B185" s="112">
        <f t="shared" si="0"/>
        <v>2062</v>
      </c>
      <c r="C185" s="113">
        <f>[16]С2.5!$AU$11</f>
        <v>0</v>
      </c>
    </row>
    <row r="186" spans="2:3" hidden="1">
      <c r="B186" s="112">
        <f t="shared" si="0"/>
        <v>2063</v>
      </c>
      <c r="C186" s="113">
        <f>[16]С2.5!$AV$11</f>
        <v>0</v>
      </c>
    </row>
    <row r="187" spans="2:3" hidden="1">
      <c r="B187" s="112">
        <f t="shared" si="0"/>
        <v>2064</v>
      </c>
      <c r="C187" s="113">
        <f>[16]С2.5!$AW$11</f>
        <v>0</v>
      </c>
    </row>
    <row r="188" spans="2:3" hidden="1">
      <c r="B188" s="112">
        <f t="shared" si="0"/>
        <v>2065</v>
      </c>
      <c r="C188" s="113">
        <f>[16]С2.5!$AX$11</f>
        <v>0</v>
      </c>
    </row>
    <row r="189" spans="2:3" hidden="1">
      <c r="B189" s="112">
        <f t="shared" si="0"/>
        <v>2066</v>
      </c>
      <c r="C189" s="113">
        <f>[16]С2.5!$AY$11</f>
        <v>0</v>
      </c>
    </row>
    <row r="190" spans="2:3" hidden="1">
      <c r="B190" s="112">
        <f t="shared" si="0"/>
        <v>2067</v>
      </c>
      <c r="C190" s="113">
        <f>[16]С2.5!$AZ$11</f>
        <v>0</v>
      </c>
    </row>
    <row r="191" spans="2:3" hidden="1">
      <c r="B191" s="112">
        <f t="shared" si="0"/>
        <v>2068</v>
      </c>
      <c r="C191" s="113">
        <f>[16]С2.5!$BA$11</f>
        <v>0</v>
      </c>
    </row>
    <row r="192" spans="2:3" hidden="1">
      <c r="B192" s="112">
        <f t="shared" si="0"/>
        <v>2069</v>
      </c>
      <c r="C192" s="113">
        <f>[16]С2.5!$BB$11</f>
        <v>0</v>
      </c>
    </row>
    <row r="193" spans="2:3" hidden="1">
      <c r="B193" s="112">
        <f t="shared" si="0"/>
        <v>2070</v>
      </c>
      <c r="C193" s="113">
        <f>[16]С2.5!$BC$11</f>
        <v>0</v>
      </c>
    </row>
    <row r="194" spans="2:3" hidden="1">
      <c r="B194" s="112">
        <f t="shared" si="0"/>
        <v>2071</v>
      </c>
      <c r="C194" s="113">
        <f>[16]С2.5!$BD$11</f>
        <v>0</v>
      </c>
    </row>
    <row r="195" spans="2:3" hidden="1">
      <c r="B195" s="112">
        <f t="shared" si="0"/>
        <v>2072</v>
      </c>
      <c r="C195" s="113">
        <f>[16]С2.5!$BE$11</f>
        <v>0</v>
      </c>
    </row>
    <row r="196" spans="2:3" hidden="1">
      <c r="B196" s="112">
        <f t="shared" si="0"/>
        <v>2073</v>
      </c>
      <c r="C196" s="113">
        <f>[16]С2.5!$BF$11</f>
        <v>0</v>
      </c>
    </row>
    <row r="197" spans="2:3" hidden="1">
      <c r="B197" s="112">
        <f t="shared" si="0"/>
        <v>2074</v>
      </c>
      <c r="C197" s="113">
        <f>[16]С2.5!$BG$11</f>
        <v>0</v>
      </c>
    </row>
    <row r="198" spans="2:3" hidden="1">
      <c r="B198" s="112">
        <f t="shared" si="0"/>
        <v>2075</v>
      </c>
      <c r="C198" s="113">
        <f>[16]С2.5!$BH$11</f>
        <v>0</v>
      </c>
    </row>
    <row r="199" spans="2:3" hidden="1">
      <c r="B199" s="112">
        <f t="shared" si="0"/>
        <v>2076</v>
      </c>
      <c r="C199" s="113">
        <f>[16]С2.5!$BI$11</f>
        <v>0</v>
      </c>
    </row>
    <row r="200" spans="2:3" hidden="1">
      <c r="B200" s="112">
        <f t="shared" si="0"/>
        <v>2077</v>
      </c>
      <c r="C200" s="113">
        <f>[16]С2.5!$BJ$11</f>
        <v>0</v>
      </c>
    </row>
    <row r="201" spans="2:3" hidden="1">
      <c r="B201" s="112">
        <f t="shared" si="0"/>
        <v>2078</v>
      </c>
      <c r="C201" s="113">
        <f>[16]С2.5!$BK$11</f>
        <v>0</v>
      </c>
    </row>
    <row r="202" spans="2:3" hidden="1">
      <c r="B202" s="112">
        <f t="shared" si="0"/>
        <v>2079</v>
      </c>
      <c r="C202" s="113">
        <f>[16]С2.5!$BL$11</f>
        <v>0</v>
      </c>
    </row>
    <row r="203" spans="2:3" hidden="1">
      <c r="B203" s="112">
        <f t="shared" si="0"/>
        <v>2080</v>
      </c>
      <c r="C203" s="113">
        <f>[16]С2.5!$BM$11</f>
        <v>0</v>
      </c>
    </row>
    <row r="204" spans="2:3" hidden="1">
      <c r="B204" s="112">
        <f t="shared" si="0"/>
        <v>2081</v>
      </c>
      <c r="C204" s="113">
        <f>[16]С2.5!$BN$11</f>
        <v>0</v>
      </c>
    </row>
    <row r="205" spans="2:3" hidden="1">
      <c r="B205" s="112">
        <f t="shared" si="0"/>
        <v>2082</v>
      </c>
      <c r="C205" s="113">
        <f>[16]С2.5!$BO$11</f>
        <v>0</v>
      </c>
    </row>
    <row r="206" spans="2:3" hidden="1">
      <c r="B206" s="112">
        <f t="shared" si="0"/>
        <v>2083</v>
      </c>
      <c r="C206" s="113">
        <f>[16]С2.5!$BP$11</f>
        <v>0</v>
      </c>
    </row>
    <row r="207" spans="2:3" hidden="1">
      <c r="B207" s="112">
        <f t="shared" si="0"/>
        <v>2084</v>
      </c>
      <c r="C207" s="113">
        <f>[16]С2.5!$BQ$11</f>
        <v>0</v>
      </c>
    </row>
    <row r="208" spans="2:3" hidden="1">
      <c r="B208" s="112">
        <f t="shared" si="0"/>
        <v>2085</v>
      </c>
      <c r="C208" s="113">
        <f>[16]С2.5!$BR$11</f>
        <v>0</v>
      </c>
    </row>
    <row r="209" spans="2:3" hidden="1">
      <c r="B209" s="112">
        <f t="shared" ref="B209:B223" si="1">B208+1</f>
        <v>2086</v>
      </c>
      <c r="C209" s="113">
        <f>[16]С2.5!$BS$11</f>
        <v>0</v>
      </c>
    </row>
    <row r="210" spans="2:3" hidden="1">
      <c r="B210" s="112">
        <f t="shared" si="1"/>
        <v>2087</v>
      </c>
      <c r="C210" s="113">
        <f>[16]С2.5!$BT$11</f>
        <v>0</v>
      </c>
    </row>
    <row r="211" spans="2:3" hidden="1">
      <c r="B211" s="112">
        <f t="shared" si="1"/>
        <v>2088</v>
      </c>
      <c r="C211" s="113">
        <f>[16]С2.5!$BU$11</f>
        <v>0</v>
      </c>
    </row>
    <row r="212" spans="2:3" hidden="1">
      <c r="B212" s="112">
        <f t="shared" si="1"/>
        <v>2089</v>
      </c>
      <c r="C212" s="113">
        <f>[16]С2.5!$BV$11</f>
        <v>0</v>
      </c>
    </row>
    <row r="213" spans="2:3" hidden="1">
      <c r="B213" s="112">
        <f t="shared" si="1"/>
        <v>2090</v>
      </c>
      <c r="C213" s="113">
        <f>[16]С2.5!$BW$11</f>
        <v>0</v>
      </c>
    </row>
    <row r="214" spans="2:3" hidden="1">
      <c r="B214" s="112">
        <f t="shared" si="1"/>
        <v>2091</v>
      </c>
      <c r="C214" s="113">
        <f>[16]С2.5!$BX$11</f>
        <v>0</v>
      </c>
    </row>
    <row r="215" spans="2:3" hidden="1">
      <c r="B215" s="112">
        <f t="shared" si="1"/>
        <v>2092</v>
      </c>
      <c r="C215" s="113">
        <f>[16]С2.5!$BY$11</f>
        <v>0</v>
      </c>
    </row>
    <row r="216" spans="2:3" hidden="1">
      <c r="B216" s="112">
        <f t="shared" si="1"/>
        <v>2093</v>
      </c>
      <c r="C216" s="113">
        <f>[16]С2.5!$BZ$11</f>
        <v>0</v>
      </c>
    </row>
    <row r="217" spans="2:3" hidden="1">
      <c r="B217" s="112">
        <f t="shared" si="1"/>
        <v>2094</v>
      </c>
      <c r="C217" s="113">
        <f>[16]С2.5!$CA$11</f>
        <v>0</v>
      </c>
    </row>
    <row r="218" spans="2:3" hidden="1">
      <c r="B218" s="112">
        <f t="shared" si="1"/>
        <v>2095</v>
      </c>
      <c r="C218" s="113">
        <f>[16]С2.5!$CB$11</f>
        <v>0</v>
      </c>
    </row>
    <row r="219" spans="2:3" hidden="1">
      <c r="B219" s="112">
        <f t="shared" si="1"/>
        <v>2096</v>
      </c>
      <c r="C219" s="113">
        <f>[16]С2.5!$CC$11</f>
        <v>0</v>
      </c>
    </row>
    <row r="220" spans="2:3" hidden="1">
      <c r="B220" s="112">
        <f t="shared" si="1"/>
        <v>2097</v>
      </c>
      <c r="C220" s="113">
        <f>[16]С2.5!$CD$11</f>
        <v>0</v>
      </c>
    </row>
    <row r="221" spans="2:3" hidden="1">
      <c r="B221" s="112">
        <f t="shared" si="1"/>
        <v>2098</v>
      </c>
      <c r="C221" s="113">
        <f>[16]С2.5!$CE$11</f>
        <v>0</v>
      </c>
    </row>
    <row r="222" spans="2:3" hidden="1">
      <c r="B222" s="112">
        <f t="shared" si="1"/>
        <v>2099</v>
      </c>
      <c r="C222" s="113">
        <f>[16]С2.5!$CF$11</f>
        <v>0</v>
      </c>
    </row>
    <row r="223" spans="2:3" ht="13.5" hidden="1" thickBot="1">
      <c r="B223" s="114">
        <f t="shared" si="1"/>
        <v>2100</v>
      </c>
      <c r="C223" s="115">
        <f>[16]С2.5!$CG$11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I1048576"/>
    </sheetView>
  </sheetViews>
  <sheetFormatPr defaultRowHeight="12.75"/>
  <cols>
    <col min="1" max="1" width="7.28515625" style="2" customWidth="1"/>
    <col min="2" max="2" width="100.7109375" style="2" customWidth="1"/>
    <col min="3" max="3" width="20.85546875" style="141" customWidth="1"/>
    <col min="4" max="153" width="9.140625" style="2"/>
    <col min="154" max="235" width="0" style="2" hidden="1" customWidth="1"/>
    <col min="236" max="244" width="9.140625" style="2"/>
    <col min="245" max="245" width="3.710937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710937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710937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710937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710937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710937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710937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710937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710937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710937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710937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710937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710937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710937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710937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710937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710937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710937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710937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710937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710937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710937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710937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710937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710937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710937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710937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710937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710937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710937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710937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710937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710937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710937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710937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710937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710937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710937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710937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710937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710937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710937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710937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710937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710937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710937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710937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710937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710937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710937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710937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710937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710937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710937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710937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710937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710937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710937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710937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710937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710937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710937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710937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3"/>
      <c r="B1" s="145" t="s">
        <v>227</v>
      </c>
      <c r="C1" s="145"/>
    </row>
    <row r="2" spans="1:3">
      <c r="A2" s="3"/>
      <c r="B2" s="4" t="s">
        <v>1</v>
      </c>
      <c r="C2" s="5">
        <f ca="1">TODAY()</f>
        <v>44944</v>
      </c>
    </row>
    <row r="3" spans="1:3">
      <c r="A3" s="3"/>
      <c r="B3" s="119" t="s">
        <v>2</v>
      </c>
      <c r="C3" s="7"/>
    </row>
    <row r="4" spans="1:3" ht="25.5">
      <c r="A4" s="8"/>
      <c r="B4" s="9" t="str">
        <f>[17]И1!D13</f>
        <v>Субъект Российской Федерации</v>
      </c>
      <c r="C4" s="10" t="str">
        <f>[17]И1!E13</f>
        <v>Новосибирская область</v>
      </c>
    </row>
    <row r="5" spans="1:3" ht="15.95" customHeight="1">
      <c r="A5" s="8"/>
      <c r="B5" s="9" t="str">
        <f>[17]И1!D14</f>
        <v>Тип муниципального образования (выберите из списка)</v>
      </c>
      <c r="C5" s="10" t="str">
        <f>[17]И1!E14</f>
        <v>село Нагорное</v>
      </c>
    </row>
    <row r="6" spans="1:3">
      <c r="A6" s="8"/>
      <c r="B6" s="9" t="str">
        <f>IF([17]И1!E15="","",[17]И1!D15)</f>
        <v/>
      </c>
      <c r="C6" s="7" t="str">
        <f>IF([17]И1!E15="","",[17]И1!E15)</f>
        <v/>
      </c>
    </row>
    <row r="7" spans="1:3">
      <c r="A7" s="8"/>
      <c r="B7" s="9" t="str">
        <f>[17]И1!D16</f>
        <v>Код ОКТМО</v>
      </c>
      <c r="C7" s="11" t="str">
        <f>[17]И1!E16</f>
        <v>50630434101</v>
      </c>
    </row>
    <row r="8" spans="1:3">
      <c r="A8" s="8"/>
      <c r="B8" s="12" t="str">
        <f>[17]И1!D17</f>
        <v>Система теплоснабжения</v>
      </c>
      <c r="C8" s="13">
        <f>[17]И1!E17</f>
        <v>0</v>
      </c>
    </row>
    <row r="9" spans="1:3">
      <c r="A9" s="8"/>
      <c r="B9" s="9" t="str">
        <f>[17]И1!D8</f>
        <v>Период регулирования (i)-й</v>
      </c>
      <c r="C9" s="14">
        <f>[17]И1!E8</f>
        <v>2023</v>
      </c>
    </row>
    <row r="10" spans="1:3">
      <c r="A10" s="8"/>
      <c r="B10" s="9" t="str">
        <f>[17]И1!D9</f>
        <v>Период регулирования (i-1)-й</v>
      </c>
      <c r="C10" s="14">
        <f>[17]И1!E9</f>
        <v>2022</v>
      </c>
    </row>
    <row r="11" spans="1:3">
      <c r="A11" s="8"/>
      <c r="B11" s="9" t="str">
        <f>[17]И1!D10</f>
        <v>Период регулирования (i-2)-й</v>
      </c>
      <c r="C11" s="14">
        <f>[17]И1!E10</f>
        <v>2021</v>
      </c>
    </row>
    <row r="12" spans="1:3">
      <c r="A12" s="8"/>
      <c r="B12" s="9" t="str">
        <f>[17]И1!D11</f>
        <v>Базовый год (б)</v>
      </c>
      <c r="C12" s="14">
        <f>[17]И1!E11</f>
        <v>2019</v>
      </c>
    </row>
    <row r="13" spans="1:3">
      <c r="A13" s="8"/>
      <c r="B13" s="9" t="str">
        <f>[17]И1!D18</f>
        <v>Вид топлива, использование которого преобладает в системе теплоснабжения</v>
      </c>
      <c r="C13" s="15" t="str">
        <f>[17]И1!E18</f>
        <v>Газ</v>
      </c>
    </row>
    <row r="14" spans="1:3" ht="26.25" customHeight="1" thickBot="1">
      <c r="A14" s="148" t="s">
        <v>3</v>
      </c>
      <c r="B14" s="148"/>
      <c r="C14" s="148"/>
    </row>
    <row r="15" spans="1:3">
      <c r="A15" s="16" t="s">
        <v>4</v>
      </c>
      <c r="B15" s="31" t="s">
        <v>5</v>
      </c>
      <c r="C15" s="120" t="s">
        <v>6</v>
      </c>
    </row>
    <row r="16" spans="1:3">
      <c r="A16" s="19">
        <v>1</v>
      </c>
      <c r="B16" s="121">
        <v>2</v>
      </c>
      <c r="C16" s="122">
        <v>3</v>
      </c>
    </row>
    <row r="17" spans="1:3">
      <c r="A17" s="22">
        <v>1</v>
      </c>
      <c r="B17" s="23" t="s">
        <v>7</v>
      </c>
      <c r="C17" s="24">
        <f>SUM(C18:C23)</f>
        <v>2985.0270838252054</v>
      </c>
    </row>
    <row r="18" spans="1:3" ht="42.75">
      <c r="A18" s="22" t="s">
        <v>8</v>
      </c>
      <c r="B18" s="25" t="s">
        <v>9</v>
      </c>
      <c r="C18" s="26">
        <f>[17]С1!F12</f>
        <v>912.75572352910331</v>
      </c>
    </row>
    <row r="19" spans="1:3" ht="42.75">
      <c r="A19" s="22" t="s">
        <v>10</v>
      </c>
      <c r="B19" s="25" t="s">
        <v>11</v>
      </c>
      <c r="C19" s="26">
        <f>[17]С2!F12</f>
        <v>1417.5113880718404</v>
      </c>
    </row>
    <row r="20" spans="1:3" ht="30">
      <c r="A20" s="22" t="s">
        <v>12</v>
      </c>
      <c r="B20" s="25" t="s">
        <v>13</v>
      </c>
      <c r="C20" s="26">
        <f>[17]С3!F12</f>
        <v>338.99415932646599</v>
      </c>
    </row>
    <row r="21" spans="1:3" ht="42.75">
      <c r="A21" s="22" t="s">
        <v>14</v>
      </c>
      <c r="B21" s="25" t="s">
        <v>228</v>
      </c>
      <c r="C21" s="26">
        <f>[17]С4!F12</f>
        <v>257.23587007769368</v>
      </c>
    </row>
    <row r="22" spans="1:3" ht="33" customHeight="1">
      <c r="A22" s="22" t="s">
        <v>16</v>
      </c>
      <c r="B22" s="25" t="s">
        <v>229</v>
      </c>
      <c r="C22" s="26">
        <f>[17]С5!F12</f>
        <v>58.529942820102072</v>
      </c>
    </row>
    <row r="23" spans="1:3" ht="45.75" customHeight="1" thickBot="1">
      <c r="A23" s="27" t="s">
        <v>18</v>
      </c>
      <c r="B23" s="28" t="s">
        <v>230</v>
      </c>
      <c r="C23" s="29">
        <f>[17]С6!F12</f>
        <v>0</v>
      </c>
    </row>
    <row r="24" spans="1:3" ht="13.5" thickBot="1">
      <c r="A24" s="3"/>
      <c r="C24" s="7"/>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231</v>
      </c>
      <c r="C28" s="35">
        <f>[17]С1.1!E16</f>
        <v>7900</v>
      </c>
    </row>
    <row r="29" spans="1:3" ht="42.75">
      <c r="A29" s="22" t="s">
        <v>10</v>
      </c>
      <c r="B29" s="34" t="s">
        <v>232</v>
      </c>
      <c r="C29" s="35">
        <f>[17]С1.1!E32</f>
        <v>5591.16</v>
      </c>
    </row>
    <row r="30" spans="1:3" ht="38.25">
      <c r="A30" s="22" t="s">
        <v>233</v>
      </c>
      <c r="B30" s="34" t="s">
        <v>234</v>
      </c>
      <c r="C30" s="86" t="str">
        <f>[17]С1.1!E25</f>
        <v>ООО "Газпром газораспределение Томск"</v>
      </c>
    </row>
    <row r="31" spans="1:3" ht="38.25">
      <c r="A31" s="22" t="s">
        <v>235</v>
      </c>
      <c r="B31" s="34" t="str">
        <f>[17]С1.1!D26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5">
        <f>[17]С1.1!E26</f>
        <v>4475.5</v>
      </c>
    </row>
    <row r="32" spans="1:3" ht="25.5">
      <c r="A32" s="22" t="s">
        <v>236</v>
      </c>
      <c r="B32" s="34" t="str">
        <f>[17]С1.1!D27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5">
        <f>[17]С1.1!E27</f>
        <v>952.13</v>
      </c>
    </row>
    <row r="33" spans="1:3" ht="25.5">
      <c r="A33" s="22" t="s">
        <v>237</v>
      </c>
      <c r="B33" s="34" t="str">
        <f>[17]С1.1!D28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5">
        <f>[17]С1.1!E28</f>
        <v>132.9</v>
      </c>
    </row>
    <row r="34" spans="1:3" ht="38.25">
      <c r="A34" s="22" t="s">
        <v>238</v>
      </c>
      <c r="B34" s="34" t="str">
        <f>[17]С1.1!D29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5">
        <f>[17]С1.1!E29</f>
        <v>30.63</v>
      </c>
    </row>
    <row r="35" spans="1:3" ht="17.25">
      <c r="A35" s="22" t="s">
        <v>12</v>
      </c>
      <c r="B35" s="34" t="s">
        <v>23</v>
      </c>
      <c r="C35" s="36">
        <f>[17]С1.1!E20</f>
        <v>0.1392500000000001</v>
      </c>
    </row>
    <row r="36" spans="1:3" ht="17.25">
      <c r="A36" s="22" t="s">
        <v>14</v>
      </c>
      <c r="B36" s="34" t="s">
        <v>24</v>
      </c>
      <c r="C36" s="36">
        <f>[17]С1.1!E21</f>
        <v>0</v>
      </c>
    </row>
    <row r="37" spans="1:3" ht="30">
      <c r="A37" s="22" t="s">
        <v>16</v>
      </c>
      <c r="B37" s="37" t="s">
        <v>239</v>
      </c>
      <c r="C37" s="123">
        <f>[17]С1!F13</f>
        <v>156.1</v>
      </c>
    </row>
    <row r="38" spans="1:3">
      <c r="A38" s="22" t="s">
        <v>18</v>
      </c>
      <c r="B38" s="37" t="s">
        <v>26</v>
      </c>
      <c r="C38" s="39">
        <f>[17]С1!F16</f>
        <v>7000</v>
      </c>
    </row>
    <row r="39" spans="1:3" ht="14.25">
      <c r="A39" s="124" t="s">
        <v>27</v>
      </c>
      <c r="B39" s="40" t="s">
        <v>240</v>
      </c>
      <c r="C39" s="41">
        <f>[17]С1!F17</f>
        <v>1.1285714285714286</v>
      </c>
    </row>
    <row r="40" spans="1:3" ht="15.75">
      <c r="A40" s="125" t="s">
        <v>29</v>
      </c>
      <c r="B40" s="43" t="s">
        <v>30</v>
      </c>
      <c r="C40" s="41">
        <f>[17]С1!F20</f>
        <v>22.307053372799995</v>
      </c>
    </row>
    <row r="41" spans="1:3" ht="15.75">
      <c r="A41" s="125" t="s">
        <v>31</v>
      </c>
      <c r="B41" s="44" t="s">
        <v>32</v>
      </c>
      <c r="C41" s="41">
        <f>[17]С1!F21</f>
        <v>21.531904799999996</v>
      </c>
    </row>
    <row r="42" spans="1:3" ht="14.25">
      <c r="A42" s="125" t="s">
        <v>33</v>
      </c>
      <c r="B42" s="45" t="s">
        <v>34</v>
      </c>
      <c r="C42" s="41">
        <f>[17]С1!F22</f>
        <v>1.036</v>
      </c>
    </row>
    <row r="43" spans="1:3" ht="53.25" thickBot="1">
      <c r="A43" s="27" t="s">
        <v>35</v>
      </c>
      <c r="B43" s="46" t="s">
        <v>36</v>
      </c>
      <c r="C43" s="47" t="str">
        <f>[17]С1!F23</f>
        <v>-</v>
      </c>
    </row>
    <row r="44" spans="1:3" ht="13.5" thickBot="1">
      <c r="A44" s="48"/>
      <c r="B44" s="76"/>
      <c r="C44" s="15"/>
    </row>
    <row r="45" spans="1:3" ht="30" customHeight="1">
      <c r="A45" s="51" t="s">
        <v>37</v>
      </c>
      <c r="B45" s="142" t="s">
        <v>38</v>
      </c>
      <c r="C45" s="142"/>
    </row>
    <row r="46" spans="1:3" ht="25.5">
      <c r="A46" s="22" t="s">
        <v>39</v>
      </c>
      <c r="B46" s="37" t="s">
        <v>40</v>
      </c>
      <c r="C46" s="52" t="str">
        <f>[17]С2.1!E12</f>
        <v>V</v>
      </c>
    </row>
    <row r="47" spans="1:3" ht="25.5">
      <c r="A47" s="22" t="s">
        <v>41</v>
      </c>
      <c r="B47" s="34" t="s">
        <v>42</v>
      </c>
      <c r="C47" s="52" t="str">
        <f>[17]С2.1!E13</f>
        <v>6 и менее баллов</v>
      </c>
    </row>
    <row r="48" spans="1:3" ht="25.5">
      <c r="A48" s="22" t="s">
        <v>43</v>
      </c>
      <c r="B48" s="34" t="s">
        <v>241</v>
      </c>
      <c r="C48" s="52" t="str">
        <f>[17]С2.1!E14</f>
        <v>от 200 до 500</v>
      </c>
    </row>
    <row r="49" spans="1:3" ht="25.5">
      <c r="A49" s="22" t="s">
        <v>45</v>
      </c>
      <c r="B49" s="34" t="s">
        <v>242</v>
      </c>
      <c r="C49" s="53" t="str">
        <f>[17]С2.1!E15</f>
        <v>нет</v>
      </c>
    </row>
    <row r="50" spans="1:3" ht="30">
      <c r="A50" s="22" t="s">
        <v>47</v>
      </c>
      <c r="B50" s="34" t="s">
        <v>48</v>
      </c>
      <c r="C50" s="35">
        <f>[17]С2!F18</f>
        <v>32402.627334033532</v>
      </c>
    </row>
    <row r="51" spans="1:3" ht="30">
      <c r="A51" s="22" t="s">
        <v>49</v>
      </c>
      <c r="B51" s="54" t="s">
        <v>50</v>
      </c>
      <c r="C51" s="35">
        <f>IF([17]С2!F19&gt;0,[17]С2!F19,[17]С2!F20)</f>
        <v>23441.524932855718</v>
      </c>
    </row>
    <row r="52" spans="1:3" ht="25.5">
      <c r="A52" s="22" t="s">
        <v>51</v>
      </c>
      <c r="B52" s="55" t="s">
        <v>52</v>
      </c>
      <c r="C52" s="35">
        <f>[17]С2.1!E20</f>
        <v>-38</v>
      </c>
    </row>
    <row r="53" spans="1:3" ht="25.5">
      <c r="A53" s="22" t="s">
        <v>53</v>
      </c>
      <c r="B53" s="55" t="s">
        <v>54</v>
      </c>
      <c r="C53" s="35" t="str">
        <f>[17]С2.1!E23</f>
        <v>нет</v>
      </c>
    </row>
    <row r="54" spans="1:3" ht="38.25">
      <c r="A54" s="22" t="s">
        <v>55</v>
      </c>
      <c r="B54" s="56" t="s">
        <v>56</v>
      </c>
      <c r="C54" s="35">
        <f>[17]С2.2!E10</f>
        <v>1287</v>
      </c>
    </row>
    <row r="55" spans="1:3" ht="25.5">
      <c r="A55" s="22" t="s">
        <v>57</v>
      </c>
      <c r="B55" s="57" t="s">
        <v>58</v>
      </c>
      <c r="C55" s="35">
        <f>[17]С2.2!E12</f>
        <v>5.97</v>
      </c>
    </row>
    <row r="56" spans="1:3" ht="52.5">
      <c r="A56" s="22" t="s">
        <v>59</v>
      </c>
      <c r="B56" s="58" t="s">
        <v>60</v>
      </c>
      <c r="C56" s="35">
        <f>[17]С2.2!E13</f>
        <v>1</v>
      </c>
    </row>
    <row r="57" spans="1:3" ht="27.75">
      <c r="A57" s="22" t="s">
        <v>61</v>
      </c>
      <c r="B57" s="57" t="s">
        <v>62</v>
      </c>
      <c r="C57" s="35">
        <f>[17]С2.2!E14</f>
        <v>12104</v>
      </c>
    </row>
    <row r="58" spans="1:3" ht="25.5">
      <c r="A58" s="22" t="s">
        <v>63</v>
      </c>
      <c r="B58" s="58" t="s">
        <v>64</v>
      </c>
      <c r="C58" s="36">
        <f>[17]С2.2!E15</f>
        <v>4.8000000000000001E-2</v>
      </c>
    </row>
    <row r="59" spans="1:3">
      <c r="A59" s="22" t="s">
        <v>65</v>
      </c>
      <c r="B59" s="58" t="s">
        <v>66</v>
      </c>
      <c r="C59" s="126">
        <f>[17]С2.2!E16</f>
        <v>1</v>
      </c>
    </row>
    <row r="60" spans="1:3" ht="15.75">
      <c r="A60" s="22" t="s">
        <v>67</v>
      </c>
      <c r="B60" s="59" t="s">
        <v>68</v>
      </c>
      <c r="C60" s="35">
        <f>[17]С2!F21</f>
        <v>1</v>
      </c>
    </row>
    <row r="61" spans="1:3" ht="30">
      <c r="A61" s="60" t="s">
        <v>69</v>
      </c>
      <c r="B61" s="34" t="s">
        <v>243</v>
      </c>
      <c r="C61" s="35">
        <f>[17]С2!F13</f>
        <v>97038.307983185223</v>
      </c>
    </row>
    <row r="62" spans="1:3" ht="30">
      <c r="A62" s="60" t="s">
        <v>71</v>
      </c>
      <c r="B62" s="61" t="s">
        <v>244</v>
      </c>
      <c r="C62" s="35">
        <f>[17]С2!F14</f>
        <v>64899</v>
      </c>
    </row>
    <row r="63" spans="1:3" ht="15.75">
      <c r="A63" s="60" t="s">
        <v>73</v>
      </c>
      <c r="B63" s="61" t="s">
        <v>74</v>
      </c>
      <c r="C63" s="41">
        <f>[17]С2!F15</f>
        <v>1.071</v>
      </c>
    </row>
    <row r="64" spans="1:3" ht="15.75">
      <c r="A64" s="60" t="s">
        <v>75</v>
      </c>
      <c r="B64" s="61" t="s">
        <v>76</v>
      </c>
      <c r="C64" s="127">
        <f>[17]С2!F16</f>
        <v>1</v>
      </c>
    </row>
    <row r="65" spans="1:3" ht="17.25">
      <c r="A65" s="60" t="s">
        <v>77</v>
      </c>
      <c r="B65" s="61" t="s">
        <v>78</v>
      </c>
      <c r="C65" s="128">
        <f>[17]С2!F17</f>
        <v>1.01</v>
      </c>
    </row>
    <row r="66" spans="1:3" s="64" customFormat="1" ht="14.25">
      <c r="A66" s="60" t="s">
        <v>79</v>
      </c>
      <c r="B66" s="62" t="s">
        <v>80</v>
      </c>
      <c r="C66" s="63">
        <f>[17]С2!F35</f>
        <v>10</v>
      </c>
    </row>
    <row r="67" spans="1:3" ht="30">
      <c r="A67" s="60" t="s">
        <v>81</v>
      </c>
      <c r="B67" s="65" t="s">
        <v>82</v>
      </c>
      <c r="C67" s="35">
        <f>[17]С2!F28</f>
        <v>270.76109819265224</v>
      </c>
    </row>
    <row r="68" spans="1:3" ht="17.25">
      <c r="A68" s="60" t="s">
        <v>83</v>
      </c>
      <c r="B68" s="54" t="s">
        <v>245</v>
      </c>
      <c r="C68" s="41">
        <f>[17]С2!F29</f>
        <v>0.391761629</v>
      </c>
    </row>
    <row r="69" spans="1:3" ht="17.25">
      <c r="A69" s="60" t="s">
        <v>85</v>
      </c>
      <c r="B69" s="59" t="s">
        <v>246</v>
      </c>
      <c r="C69" s="63">
        <f>[17]С2!F30</f>
        <v>500</v>
      </c>
    </row>
    <row r="70" spans="1:3" ht="42.75">
      <c r="A70" s="60" t="s">
        <v>87</v>
      </c>
      <c r="B70" s="34" t="s">
        <v>247</v>
      </c>
      <c r="C70" s="35">
        <f>[17]С2!F22</f>
        <v>36585.255753162281</v>
      </c>
    </row>
    <row r="71" spans="1:3" ht="30">
      <c r="A71" s="60" t="s">
        <v>89</v>
      </c>
      <c r="B71" s="61" t="s">
        <v>248</v>
      </c>
      <c r="C71" s="35">
        <f>[17]С2!F23</f>
        <v>21</v>
      </c>
    </row>
    <row r="72" spans="1:3" ht="30">
      <c r="A72" s="60" t="s">
        <v>91</v>
      </c>
      <c r="B72" s="54" t="s">
        <v>92</v>
      </c>
      <c r="C72" s="35">
        <f>[17]С2.1!E28</f>
        <v>14036.09995</v>
      </c>
    </row>
    <row r="73" spans="1:3" ht="38.25">
      <c r="A73" s="60" t="s">
        <v>93</v>
      </c>
      <c r="B73" s="66" t="s">
        <v>94</v>
      </c>
      <c r="C73" s="53">
        <f>[17]С2.3!E21</f>
        <v>0</v>
      </c>
    </row>
    <row r="74" spans="1:3" ht="25.5">
      <c r="A74" s="60" t="s">
        <v>95</v>
      </c>
      <c r="B74" s="67" t="s">
        <v>96</v>
      </c>
      <c r="C74" s="68">
        <f>[17]С2.3!E11</f>
        <v>5.45</v>
      </c>
    </row>
    <row r="75" spans="1:3" ht="25.5">
      <c r="A75" s="60" t="s">
        <v>97</v>
      </c>
      <c r="B75" s="67" t="s">
        <v>98</v>
      </c>
      <c r="C75" s="63">
        <f>[17]С2.3!E13</f>
        <v>300</v>
      </c>
    </row>
    <row r="76" spans="1:3" ht="25.5">
      <c r="A76" s="60" t="s">
        <v>99</v>
      </c>
      <c r="B76" s="66" t="s">
        <v>100</v>
      </c>
      <c r="C76" s="69">
        <f>IF([17]С2.3!E22&gt;0,[17]С2.3!E22,[17]С2.3!E14)</f>
        <v>61211</v>
      </c>
    </row>
    <row r="77" spans="1:3" ht="38.25">
      <c r="A77" s="60" t="s">
        <v>101</v>
      </c>
      <c r="B77" s="66" t="s">
        <v>102</v>
      </c>
      <c r="C77" s="69">
        <f>IF([17]С2.3!E23&gt;0,[17]С2.3!E23,[17]С2.3!E15)</f>
        <v>45675</v>
      </c>
    </row>
    <row r="78" spans="1:3" ht="30">
      <c r="A78" s="60" t="s">
        <v>103</v>
      </c>
      <c r="B78" s="54" t="s">
        <v>104</v>
      </c>
      <c r="C78" s="35">
        <f>[17]С2.1!E29</f>
        <v>9518.3274000000001</v>
      </c>
    </row>
    <row r="79" spans="1:3" ht="38.25">
      <c r="A79" s="60" t="s">
        <v>105</v>
      </c>
      <c r="B79" s="66" t="s">
        <v>106</v>
      </c>
      <c r="C79" s="53">
        <f>[17]С2.3!E25</f>
        <v>0</v>
      </c>
    </row>
    <row r="80" spans="1:3" ht="25.5">
      <c r="A80" s="60" t="s">
        <v>107</v>
      </c>
      <c r="B80" s="67" t="s">
        <v>108</v>
      </c>
      <c r="C80" s="68">
        <f>[17]С2.3!E12</f>
        <v>0.2</v>
      </c>
    </row>
    <row r="81" spans="1:3" ht="25.5">
      <c r="A81" s="60" t="s">
        <v>109</v>
      </c>
      <c r="B81" s="67" t="s">
        <v>98</v>
      </c>
      <c r="C81" s="63">
        <f>[17]С2.3!E13</f>
        <v>300</v>
      </c>
    </row>
    <row r="82" spans="1:3" ht="25.5">
      <c r="A82" s="60" t="s">
        <v>110</v>
      </c>
      <c r="B82" s="70" t="s">
        <v>111</v>
      </c>
      <c r="C82" s="69">
        <f>IF([17]С2.3!E26&gt;0,[17]С2.3!E26,[17]С2.3!E16)</f>
        <v>65637</v>
      </c>
    </row>
    <row r="83" spans="1:3" ht="38.25">
      <c r="A83" s="60" t="s">
        <v>112</v>
      </c>
      <c r="B83" s="70" t="s">
        <v>113</v>
      </c>
      <c r="C83" s="69">
        <f>IF([17]С2.3!E27&gt;0,[17]С2.3!E27,[17]С2.3!E17)</f>
        <v>31684</v>
      </c>
    </row>
    <row r="84" spans="1:3" ht="30">
      <c r="A84" s="60" t="s">
        <v>249</v>
      </c>
      <c r="B84" s="61" t="s">
        <v>250</v>
      </c>
      <c r="C84" s="69">
        <f>IF([17]С2.1!E19&gt;0,[17]С2.1!E19,[17]С2!F26)</f>
        <v>2892</v>
      </c>
    </row>
    <row r="85" spans="1:3" ht="17.25">
      <c r="A85" s="60" t="s">
        <v>114</v>
      </c>
      <c r="B85" s="34" t="s">
        <v>115</v>
      </c>
      <c r="C85" s="36">
        <f>[17]С2!F31</f>
        <v>0.128978033685065</v>
      </c>
    </row>
    <row r="86" spans="1:3" ht="30">
      <c r="A86" s="60" t="s">
        <v>116</v>
      </c>
      <c r="B86" s="54" t="s">
        <v>117</v>
      </c>
      <c r="C86" s="71">
        <f>[17]С2!F32</f>
        <v>0.11668498168498169</v>
      </c>
    </row>
    <row r="87" spans="1:3" ht="17.25">
      <c r="A87" s="60" t="s">
        <v>118</v>
      </c>
      <c r="B87" s="72" t="s">
        <v>119</v>
      </c>
      <c r="C87" s="36">
        <f>[17]С2!F33</f>
        <v>0.13880000000000001</v>
      </c>
    </row>
    <row r="88" spans="1:3" s="64" customFormat="1" ht="18" thickBot="1">
      <c r="A88" s="73" t="s">
        <v>120</v>
      </c>
      <c r="B88" s="74" t="s">
        <v>121</v>
      </c>
      <c r="C88" s="75">
        <f>[17]С2!F34</f>
        <v>0.12640000000000001</v>
      </c>
    </row>
    <row r="89" spans="1:3" ht="13.5" thickBot="1">
      <c r="A89" s="48"/>
      <c r="B89" s="76"/>
      <c r="C89" s="15"/>
    </row>
    <row r="90" spans="1:3" s="64" customFormat="1" ht="30" customHeight="1">
      <c r="A90" s="77" t="s">
        <v>122</v>
      </c>
      <c r="B90" s="142" t="s">
        <v>123</v>
      </c>
      <c r="C90" s="142"/>
    </row>
    <row r="91" spans="1:3" s="64" customFormat="1" ht="30">
      <c r="A91" s="78" t="s">
        <v>124</v>
      </c>
      <c r="B91" s="34" t="s">
        <v>125</v>
      </c>
      <c r="C91" s="35">
        <f>[17]С3!F14</f>
        <v>4863.32688071333</v>
      </c>
    </row>
    <row r="92" spans="1:3" s="64" customFormat="1" ht="42.75">
      <c r="A92" s="78" t="s">
        <v>126</v>
      </c>
      <c r="B92" s="54" t="s">
        <v>127</v>
      </c>
      <c r="C92" s="79">
        <f>[17]С3!F15</f>
        <v>0.2</v>
      </c>
    </row>
    <row r="93" spans="1:3" s="64" customFormat="1" ht="14.25">
      <c r="A93" s="78" t="s">
        <v>128</v>
      </c>
      <c r="B93" s="80" t="s">
        <v>129</v>
      </c>
      <c r="C93" s="63">
        <f>[17]С3!F18</f>
        <v>15</v>
      </c>
    </row>
    <row r="94" spans="1:3" s="64" customFormat="1" ht="17.25">
      <c r="A94" s="78" t="s">
        <v>130</v>
      </c>
      <c r="B94" s="34" t="s">
        <v>131</v>
      </c>
      <c r="C94" s="35">
        <f>[17]С3!F19</f>
        <v>2435.0508023655884</v>
      </c>
    </row>
    <row r="95" spans="1:3" s="64" customFormat="1" ht="55.5">
      <c r="A95" s="78" t="s">
        <v>132</v>
      </c>
      <c r="B95" s="54" t="s">
        <v>133</v>
      </c>
      <c r="C95" s="81">
        <f>[17]С3!F20</f>
        <v>2.1999999999999999E-2</v>
      </c>
    </row>
    <row r="96" spans="1:3" s="64" customFormat="1" ht="14.25">
      <c r="A96" s="78" t="s">
        <v>134</v>
      </c>
      <c r="B96" s="59" t="s">
        <v>80</v>
      </c>
      <c r="C96" s="63">
        <f>[17]С3!F21</f>
        <v>10</v>
      </c>
    </row>
    <row r="97" spans="1:3" s="64" customFormat="1" ht="17.25">
      <c r="A97" s="78" t="s">
        <v>135</v>
      </c>
      <c r="B97" s="34" t="s">
        <v>136</v>
      </c>
      <c r="C97" s="35">
        <f>[17]С3!F22</f>
        <v>0.81228329457795678</v>
      </c>
    </row>
    <row r="98" spans="1:3" s="64" customFormat="1" ht="55.5">
      <c r="A98" s="78" t="s">
        <v>137</v>
      </c>
      <c r="B98" s="54" t="s">
        <v>138</v>
      </c>
      <c r="C98" s="81">
        <f>[17]С3!F23</f>
        <v>3.0000000000000001E-3</v>
      </c>
    </row>
    <row r="99" spans="1:3" s="64" customFormat="1" ht="30.75" thickBot="1">
      <c r="A99" s="82" t="s">
        <v>139</v>
      </c>
      <c r="B99" s="83" t="s">
        <v>82</v>
      </c>
      <c r="C99" s="84">
        <f>[17]С3!F24</f>
        <v>270.76109819265224</v>
      </c>
    </row>
    <row r="100" spans="1:3" ht="13.5" thickBot="1">
      <c r="A100" s="48"/>
      <c r="B100" s="76"/>
      <c r="C100" s="15"/>
    </row>
    <row r="101" spans="1:3" ht="30" customHeight="1">
      <c r="A101" s="85" t="s">
        <v>141</v>
      </c>
      <c r="B101" s="142" t="s">
        <v>142</v>
      </c>
      <c r="C101" s="142"/>
    </row>
    <row r="102" spans="1:3" ht="30">
      <c r="A102" s="60" t="s">
        <v>143</v>
      </c>
      <c r="B102" s="34" t="s">
        <v>251</v>
      </c>
      <c r="C102" s="35">
        <f>[17]С4!F16</f>
        <v>832.33500000000004</v>
      </c>
    </row>
    <row r="103" spans="1:3" ht="30">
      <c r="A103" s="60" t="s">
        <v>145</v>
      </c>
      <c r="B103" s="59" t="s">
        <v>252</v>
      </c>
      <c r="C103" s="35">
        <f>[17]С4!F17</f>
        <v>43385</v>
      </c>
    </row>
    <row r="104" spans="1:3" ht="17.25">
      <c r="A104" s="60" t="s">
        <v>147</v>
      </c>
      <c r="B104" s="59" t="s">
        <v>148</v>
      </c>
      <c r="C104" s="41">
        <f>[17]С4!F18</f>
        <v>1.4999999999999999E-2</v>
      </c>
    </row>
    <row r="105" spans="1:3" ht="30">
      <c r="A105" s="60" t="s">
        <v>149</v>
      </c>
      <c r="B105" s="59" t="s">
        <v>150</v>
      </c>
      <c r="C105" s="35">
        <f>[17]С4!F19</f>
        <v>12104</v>
      </c>
    </row>
    <row r="106" spans="1:3" ht="31.5">
      <c r="A106" s="60" t="s">
        <v>151</v>
      </c>
      <c r="B106" s="59" t="s">
        <v>152</v>
      </c>
      <c r="C106" s="41">
        <f>[17]С4!F20</f>
        <v>1.4999999999999999E-2</v>
      </c>
    </row>
    <row r="107" spans="1:3" ht="30">
      <c r="A107" s="60" t="s">
        <v>153</v>
      </c>
      <c r="B107" s="34" t="s">
        <v>253</v>
      </c>
      <c r="C107" s="35">
        <f>[17]С4!F21</f>
        <v>1221.9019409821399</v>
      </c>
    </row>
    <row r="108" spans="1:3" ht="45.6" customHeight="1">
      <c r="A108" s="60" t="s">
        <v>155</v>
      </c>
      <c r="B108" s="54" t="s">
        <v>156</v>
      </c>
      <c r="C108" s="86" t="str">
        <f>IF([17]С4.2!F8="да",[17]С4.2!D21,[17]С4.2!D15)</f>
        <v>АО "Новосибирскэнергосбыт"</v>
      </c>
    </row>
    <row r="109" spans="1:3" ht="68.25" customHeight="1">
      <c r="A109" s="60" t="s">
        <v>157</v>
      </c>
      <c r="B109" s="54" t="s">
        <v>158</v>
      </c>
      <c r="C109" s="35">
        <f>[17]С4!F22</f>
        <v>3.6112641666666665</v>
      </c>
    </row>
    <row r="110" spans="1:3" ht="30">
      <c r="A110" s="60" t="s">
        <v>159</v>
      </c>
      <c r="B110" s="59" t="s">
        <v>254</v>
      </c>
      <c r="C110" s="63">
        <f>[17]С4!F23</f>
        <v>110</v>
      </c>
    </row>
    <row r="111" spans="1:3" ht="14.25">
      <c r="A111" s="60" t="s">
        <v>161</v>
      </c>
      <c r="B111" s="54" t="s">
        <v>162</v>
      </c>
      <c r="C111" s="35">
        <f>[17]С4!F24</f>
        <v>8497.1999999999989</v>
      </c>
    </row>
    <row r="112" spans="1:3" ht="14.25">
      <c r="A112" s="60" t="s">
        <v>163</v>
      </c>
      <c r="B112" s="59" t="s">
        <v>164</v>
      </c>
      <c r="C112" s="41">
        <f>[17]С4!F25</f>
        <v>0.36199999999999999</v>
      </c>
    </row>
    <row r="113" spans="1:3" ht="17.25">
      <c r="A113" s="60" t="s">
        <v>165</v>
      </c>
      <c r="B113" s="34" t="s">
        <v>166</v>
      </c>
      <c r="C113" s="35">
        <f>[17]С4!F26</f>
        <v>52.090409999999999</v>
      </c>
    </row>
    <row r="114" spans="1:3" ht="25.5">
      <c r="A114" s="60" t="s">
        <v>167</v>
      </c>
      <c r="B114" s="54" t="s">
        <v>94</v>
      </c>
      <c r="C114" s="86">
        <f>[17]С4.3!E16</f>
        <v>0</v>
      </c>
    </row>
    <row r="115" spans="1:3" ht="25.5">
      <c r="A115" s="60" t="s">
        <v>168</v>
      </c>
      <c r="B115" s="54" t="s">
        <v>169</v>
      </c>
      <c r="C115" s="35">
        <f>[17]С4.3!E17</f>
        <v>26.36</v>
      </c>
    </row>
    <row r="116" spans="1:3" ht="38.25">
      <c r="A116" s="60" t="s">
        <v>170</v>
      </c>
      <c r="B116" s="54" t="s">
        <v>106</v>
      </c>
      <c r="C116" s="86">
        <f>[17]С4.3!E18</f>
        <v>0</v>
      </c>
    </row>
    <row r="117" spans="1:3">
      <c r="A117" s="60" t="s">
        <v>171</v>
      </c>
      <c r="B117" s="54" t="s">
        <v>172</v>
      </c>
      <c r="C117" s="35">
        <f>[17]С4.3!E19</f>
        <v>15.93</v>
      </c>
    </row>
    <row r="118" spans="1:3">
      <c r="A118" s="60" t="s">
        <v>173</v>
      </c>
      <c r="B118" s="59" t="s">
        <v>174</v>
      </c>
      <c r="C118" s="63">
        <f>[17]С4.3!E11</f>
        <v>1871</v>
      </c>
    </row>
    <row r="119" spans="1:3">
      <c r="A119" s="60" t="s">
        <v>175</v>
      </c>
      <c r="B119" s="59" t="s">
        <v>176</v>
      </c>
      <c r="C119" s="53">
        <f>[17]С4.3!E12</f>
        <v>61</v>
      </c>
    </row>
    <row r="120" spans="1:3">
      <c r="A120" s="60" t="s">
        <v>177</v>
      </c>
      <c r="B120" s="59" t="s">
        <v>178</v>
      </c>
      <c r="C120" s="53">
        <f>[17]С4.3!E13</f>
        <v>73</v>
      </c>
    </row>
    <row r="121" spans="1:3" ht="30">
      <c r="A121" s="60" t="s">
        <v>179</v>
      </c>
      <c r="B121" s="34" t="s">
        <v>255</v>
      </c>
      <c r="C121" s="35">
        <f>[17]С4!F27</f>
        <v>1516.5958922062039</v>
      </c>
    </row>
    <row r="122" spans="1:3" ht="25.5">
      <c r="A122" s="60" t="s">
        <v>181</v>
      </c>
      <c r="B122" s="54" t="s">
        <v>256</v>
      </c>
      <c r="C122" s="35">
        <f>[17]С4!F28</f>
        <v>1164.8201937067618</v>
      </c>
    </row>
    <row r="123" spans="1:3" ht="42.75">
      <c r="A123" s="60" t="s">
        <v>183</v>
      </c>
      <c r="B123" s="54" t="s">
        <v>184</v>
      </c>
      <c r="C123" s="35">
        <f>[17]С4!F29</f>
        <v>351.77569849944206</v>
      </c>
    </row>
    <row r="124" spans="1:3" ht="30.75" thickBot="1">
      <c r="A124" s="73" t="s">
        <v>185</v>
      </c>
      <c r="B124" s="91" t="s">
        <v>186</v>
      </c>
      <c r="C124" s="84">
        <f>[17]С4!F30</f>
        <v>530.90305083777662</v>
      </c>
    </row>
    <row r="125" spans="1:3" s="90" customFormat="1" ht="13.5" thickBot="1">
      <c r="A125" s="48"/>
      <c r="B125" s="76"/>
      <c r="C125" s="15"/>
    </row>
    <row r="126" spans="1:3" s="64" customFormat="1" ht="30" customHeight="1">
      <c r="A126" s="77" t="s">
        <v>195</v>
      </c>
      <c r="B126" s="142" t="s">
        <v>196</v>
      </c>
      <c r="C126" s="142"/>
    </row>
    <row r="127" spans="1:3" ht="30.6" customHeight="1" thickBot="1">
      <c r="A127" s="27" t="s">
        <v>197</v>
      </c>
      <c r="B127" s="91" t="s">
        <v>198</v>
      </c>
      <c r="C127" s="84">
        <f>[17]С5!F17</f>
        <v>0.02</v>
      </c>
    </row>
    <row r="128" spans="1:3" s="90" customFormat="1" ht="13.5" thickBot="1">
      <c r="A128" s="48"/>
      <c r="B128" s="76"/>
      <c r="C128" s="15"/>
    </row>
    <row r="129" spans="1:3" ht="42.75" customHeight="1">
      <c r="A129" s="85" t="s">
        <v>199</v>
      </c>
      <c r="B129" s="142" t="s">
        <v>200</v>
      </c>
      <c r="C129" s="142"/>
    </row>
    <row r="130" spans="1:3" ht="68.25">
      <c r="A130" s="60" t="s">
        <v>201</v>
      </c>
      <c r="B130" s="92" t="s">
        <v>202</v>
      </c>
      <c r="C130" s="35" t="str">
        <f>IF([17]С6.1!E11="нет",[17]С6!F13,"")</f>
        <v/>
      </c>
    </row>
    <row r="131" spans="1:3" ht="42.75">
      <c r="A131" s="60" t="s">
        <v>204</v>
      </c>
      <c r="B131" s="87" t="s">
        <v>205</v>
      </c>
      <c r="C131" s="93" t="str">
        <f>IF([17]С6.1!E12="нет",[17]С6.1!E17,"")</f>
        <v/>
      </c>
    </row>
    <row r="132" spans="1:3" ht="68.25">
      <c r="A132" s="60" t="s">
        <v>206</v>
      </c>
      <c r="B132" s="92" t="s">
        <v>207</v>
      </c>
      <c r="C132" s="129" t="str">
        <f>IF([17]С6.1!E18="нет",[17]С6!F19,"")</f>
        <v/>
      </c>
    </row>
    <row r="133" spans="1:3" ht="55.5">
      <c r="A133" s="60" t="s">
        <v>208</v>
      </c>
      <c r="B133" s="87" t="s">
        <v>209</v>
      </c>
      <c r="C133" s="36" t="str">
        <f>IF([17]С6.1!E18="нет",[17]С6.1!E19,"")</f>
        <v/>
      </c>
    </row>
    <row r="134" spans="1:3" ht="61.5" customHeight="1">
      <c r="A134" s="60" t="s">
        <v>210</v>
      </c>
      <c r="B134" s="87" t="s">
        <v>257</v>
      </c>
      <c r="C134" s="36" t="str">
        <f>IF([17]С6.1!E18="нет",[17]С6.1!E22,"")</f>
        <v/>
      </c>
    </row>
    <row r="135" spans="1:3" ht="69" thickBot="1">
      <c r="A135" s="73" t="s">
        <v>212</v>
      </c>
      <c r="B135" s="99" t="s">
        <v>213</v>
      </c>
      <c r="C135" s="75" t="str">
        <f>IF([17]С6.1!E18="нет",[17]С6.1!E23,"")</f>
        <v/>
      </c>
    </row>
    <row r="136" spans="1:3" s="90" customFormat="1" ht="13.5" thickBot="1">
      <c r="A136" s="48"/>
      <c r="B136" s="76"/>
      <c r="C136" s="15"/>
    </row>
    <row r="137" spans="1:3" ht="15.75">
      <c r="A137" s="85" t="s">
        <v>214</v>
      </c>
      <c r="B137" s="100" t="s">
        <v>215</v>
      </c>
      <c r="C137" s="101">
        <f>[17]С2!F39</f>
        <v>21.531904799999996</v>
      </c>
    </row>
    <row r="138" spans="1:3" ht="14.25">
      <c r="A138" s="60" t="s">
        <v>216</v>
      </c>
      <c r="B138" s="59" t="s">
        <v>217</v>
      </c>
      <c r="C138" s="35">
        <f>[17]С2!F40</f>
        <v>7</v>
      </c>
    </row>
    <row r="139" spans="1:3" ht="17.25">
      <c r="A139" s="60" t="s">
        <v>218</v>
      </c>
      <c r="B139" s="59" t="s">
        <v>219</v>
      </c>
      <c r="C139" s="35">
        <f>[17]С2!F42</f>
        <v>0.97</v>
      </c>
    </row>
    <row r="140" spans="1:3" ht="15" thickBot="1">
      <c r="A140" s="73" t="s">
        <v>220</v>
      </c>
      <c r="B140" s="74" t="s">
        <v>221</v>
      </c>
      <c r="C140" s="47">
        <f>[17]С2!F44</f>
        <v>0.36199999999999999</v>
      </c>
    </row>
    <row r="141" spans="1:3" s="90" customFormat="1" ht="13.5" thickBot="1">
      <c r="A141" s="48"/>
      <c r="B141" s="76"/>
      <c r="C141" s="15"/>
    </row>
    <row r="142" spans="1:3" ht="17.25">
      <c r="A142" s="85" t="s">
        <v>222</v>
      </c>
      <c r="B142" s="104" t="s">
        <v>258</v>
      </c>
      <c r="C142" s="130">
        <f>[17]С2!F37</f>
        <v>1.3822747209000001</v>
      </c>
    </row>
    <row r="143" spans="1:3" ht="17.25" customHeight="1" thickBot="1">
      <c r="A143" s="73" t="s">
        <v>224</v>
      </c>
      <c r="B143" s="144" t="s">
        <v>225</v>
      </c>
      <c r="C143" s="144"/>
    </row>
    <row r="144" spans="1:3">
      <c r="A144" s="107"/>
      <c r="B144" s="131" t="s">
        <v>226</v>
      </c>
      <c r="C144" s="132"/>
    </row>
    <row r="145" spans="1:3">
      <c r="A145" s="107"/>
      <c r="B145" s="133">
        <v>2020</v>
      </c>
      <c r="C145" s="134">
        <f>[17]С2.5!$E$11</f>
        <v>-2.9000000000000026E-2</v>
      </c>
    </row>
    <row r="146" spans="1:3">
      <c r="B146" s="133">
        <f>B145+1</f>
        <v>2021</v>
      </c>
      <c r="C146" s="135">
        <f>[17]С2.5!$F$11</f>
        <v>0.245</v>
      </c>
    </row>
    <row r="147" spans="1:3">
      <c r="B147" s="133">
        <f t="shared" ref="B147:B210" si="0">B146+1</f>
        <v>2022</v>
      </c>
      <c r="C147" s="136">
        <f>[17]С2.5!$G$11</f>
        <v>0.121</v>
      </c>
    </row>
    <row r="148" spans="1:3" ht="13.5" thickBot="1">
      <c r="B148" s="112">
        <f t="shared" si="0"/>
        <v>2023</v>
      </c>
      <c r="C148" s="137">
        <f>[17]С2.5!$H$11</f>
        <v>0.02</v>
      </c>
    </row>
    <row r="149" spans="1:3" ht="13.5" hidden="1" thickBot="1">
      <c r="B149" s="112">
        <f t="shared" si="0"/>
        <v>2024</v>
      </c>
      <c r="C149" s="137">
        <f>[17]С2.5!$I$11</f>
        <v>0</v>
      </c>
    </row>
    <row r="150" spans="1:3" ht="13.5" hidden="1" thickBot="1">
      <c r="B150" s="112">
        <f t="shared" si="0"/>
        <v>2025</v>
      </c>
      <c r="C150" s="137">
        <f>[17]С2.5!$J$11</f>
        <v>0</v>
      </c>
    </row>
    <row r="151" spans="1:3" ht="13.5" hidden="1" thickBot="1">
      <c r="B151" s="112">
        <f t="shared" si="0"/>
        <v>2026</v>
      </c>
      <c r="C151" s="137">
        <f>[17]С2.5!$K$11</f>
        <v>0</v>
      </c>
    </row>
    <row r="152" spans="1:3" ht="13.5" hidden="1" thickBot="1">
      <c r="B152" s="112">
        <f t="shared" si="0"/>
        <v>2027</v>
      </c>
      <c r="C152" s="137">
        <f>[17]С2.5!$L$11</f>
        <v>0</v>
      </c>
    </row>
    <row r="153" spans="1:3" ht="13.5" hidden="1" thickBot="1">
      <c r="B153" s="112">
        <f t="shared" si="0"/>
        <v>2028</v>
      </c>
      <c r="C153" s="137">
        <f>[17]С2.5!$M$11</f>
        <v>0</v>
      </c>
    </row>
    <row r="154" spans="1:3" ht="13.5" hidden="1" thickBot="1">
      <c r="B154" s="112">
        <f t="shared" si="0"/>
        <v>2029</v>
      </c>
      <c r="C154" s="137">
        <f>[17]С2.5!$N$11</f>
        <v>0</v>
      </c>
    </row>
    <row r="155" spans="1:3" ht="13.5" hidden="1" thickBot="1">
      <c r="B155" s="112">
        <f t="shared" si="0"/>
        <v>2030</v>
      </c>
      <c r="C155" s="137">
        <f>[17]С2.5!$O$11</f>
        <v>0</v>
      </c>
    </row>
    <row r="156" spans="1:3" ht="13.5" hidden="1" thickBot="1">
      <c r="B156" s="112">
        <f t="shared" si="0"/>
        <v>2031</v>
      </c>
      <c r="C156" s="137">
        <f>[17]С2.5!$P$11</f>
        <v>0</v>
      </c>
    </row>
    <row r="157" spans="1:3" ht="13.5" hidden="1" thickBot="1">
      <c r="B157" s="112">
        <f t="shared" si="0"/>
        <v>2032</v>
      </c>
      <c r="C157" s="137">
        <f>[17]С2.5!$Q$11</f>
        <v>0</v>
      </c>
    </row>
    <row r="158" spans="1:3" ht="13.5" hidden="1" thickBot="1">
      <c r="B158" s="112">
        <f t="shared" si="0"/>
        <v>2033</v>
      </c>
      <c r="C158" s="137">
        <f>[17]С2.5!$R$11</f>
        <v>0</v>
      </c>
    </row>
    <row r="159" spans="1:3" ht="13.5" hidden="1" thickBot="1">
      <c r="B159" s="112">
        <f t="shared" si="0"/>
        <v>2034</v>
      </c>
      <c r="C159" s="137">
        <f>[17]С2.5!$S$11</f>
        <v>0</v>
      </c>
    </row>
    <row r="160" spans="1:3" ht="13.5" hidden="1" thickBot="1">
      <c r="B160" s="112">
        <f t="shared" si="0"/>
        <v>2035</v>
      </c>
      <c r="C160" s="137">
        <f>[17]С2.5!$T$11</f>
        <v>0</v>
      </c>
    </row>
    <row r="161" spans="2:3" ht="13.5" hidden="1" thickBot="1">
      <c r="B161" s="112">
        <f t="shared" si="0"/>
        <v>2036</v>
      </c>
      <c r="C161" s="137">
        <f>[17]С2.5!$U$11</f>
        <v>0</v>
      </c>
    </row>
    <row r="162" spans="2:3" ht="13.5" hidden="1" thickBot="1">
      <c r="B162" s="112">
        <f t="shared" si="0"/>
        <v>2037</v>
      </c>
      <c r="C162" s="137">
        <f>[17]С2.5!$V$11</f>
        <v>0</v>
      </c>
    </row>
    <row r="163" spans="2:3" ht="13.5" hidden="1" thickBot="1">
      <c r="B163" s="112">
        <f t="shared" si="0"/>
        <v>2038</v>
      </c>
      <c r="C163" s="137">
        <f>[17]С2.5!$W$11</f>
        <v>0</v>
      </c>
    </row>
    <row r="164" spans="2:3" ht="13.5" hidden="1" thickBot="1">
      <c r="B164" s="112">
        <f t="shared" si="0"/>
        <v>2039</v>
      </c>
      <c r="C164" s="137">
        <f>[17]С2.5!$X$11</f>
        <v>0</v>
      </c>
    </row>
    <row r="165" spans="2:3" ht="13.5" hidden="1" thickBot="1">
      <c r="B165" s="112">
        <f t="shared" si="0"/>
        <v>2040</v>
      </c>
      <c r="C165" s="137">
        <f>[17]С2.5!$Y$11</f>
        <v>0</v>
      </c>
    </row>
    <row r="166" spans="2:3" ht="13.5" hidden="1" thickBot="1">
      <c r="B166" s="112">
        <f t="shared" si="0"/>
        <v>2041</v>
      </c>
      <c r="C166" s="137">
        <f>[17]С2.5!$Z$11</f>
        <v>0</v>
      </c>
    </row>
    <row r="167" spans="2:3" ht="13.5" hidden="1" thickBot="1">
      <c r="B167" s="112">
        <f t="shared" si="0"/>
        <v>2042</v>
      </c>
      <c r="C167" s="137">
        <f>[17]С2.5!$AA$11</f>
        <v>0</v>
      </c>
    </row>
    <row r="168" spans="2:3" ht="13.5" hidden="1" thickBot="1">
      <c r="B168" s="112">
        <f t="shared" si="0"/>
        <v>2043</v>
      </c>
      <c r="C168" s="137">
        <f>[17]С2.5!$AB$11</f>
        <v>0</v>
      </c>
    </row>
    <row r="169" spans="2:3" ht="13.5" hidden="1" thickBot="1">
      <c r="B169" s="112">
        <f t="shared" si="0"/>
        <v>2044</v>
      </c>
      <c r="C169" s="137">
        <f>[17]С2.5!$AC$11</f>
        <v>0</v>
      </c>
    </row>
    <row r="170" spans="2:3" ht="13.5" hidden="1" thickBot="1">
      <c r="B170" s="112">
        <f t="shared" si="0"/>
        <v>2045</v>
      </c>
      <c r="C170" s="137">
        <f>[17]С2.5!$AD$11</f>
        <v>0</v>
      </c>
    </row>
    <row r="171" spans="2:3" ht="13.5" hidden="1" thickBot="1">
      <c r="B171" s="112">
        <f t="shared" si="0"/>
        <v>2046</v>
      </c>
      <c r="C171" s="137">
        <f>[17]С2.5!$AE$11</f>
        <v>0</v>
      </c>
    </row>
    <row r="172" spans="2:3" ht="13.5" hidden="1" thickBot="1">
      <c r="B172" s="112">
        <f t="shared" si="0"/>
        <v>2047</v>
      </c>
      <c r="C172" s="137">
        <f>[17]С2.5!$AF$11</f>
        <v>0</v>
      </c>
    </row>
    <row r="173" spans="2:3" ht="13.5" hidden="1" thickBot="1">
      <c r="B173" s="112">
        <f t="shared" si="0"/>
        <v>2048</v>
      </c>
      <c r="C173" s="137">
        <f>[17]С2.5!$AG$11</f>
        <v>0</v>
      </c>
    </row>
    <row r="174" spans="2:3" ht="13.5" hidden="1" thickBot="1">
      <c r="B174" s="112">
        <f t="shared" si="0"/>
        <v>2049</v>
      </c>
      <c r="C174" s="137">
        <f>[17]С2.5!$AH$11</f>
        <v>0</v>
      </c>
    </row>
    <row r="175" spans="2:3" ht="13.5" hidden="1" thickBot="1">
      <c r="B175" s="112">
        <f t="shared" si="0"/>
        <v>2050</v>
      </c>
      <c r="C175" s="137">
        <f>[17]С2.5!$AI$11</f>
        <v>0</v>
      </c>
    </row>
    <row r="176" spans="2:3" ht="13.5" hidden="1" thickBot="1">
      <c r="B176" s="112">
        <f t="shared" si="0"/>
        <v>2051</v>
      </c>
      <c r="C176" s="137">
        <f>[17]С2.5!$AJ$11</f>
        <v>0</v>
      </c>
    </row>
    <row r="177" spans="2:3" ht="13.5" hidden="1" thickBot="1">
      <c r="B177" s="112">
        <f t="shared" si="0"/>
        <v>2052</v>
      </c>
      <c r="C177" s="137">
        <f>[17]С2.5!$AK$11</f>
        <v>0</v>
      </c>
    </row>
    <row r="178" spans="2:3" ht="13.5" hidden="1" thickBot="1">
      <c r="B178" s="112">
        <f t="shared" si="0"/>
        <v>2053</v>
      </c>
      <c r="C178" s="137">
        <f>[17]С2.5!$AL$11</f>
        <v>0</v>
      </c>
    </row>
    <row r="179" spans="2:3" ht="13.5" hidden="1" thickBot="1">
      <c r="B179" s="112">
        <f t="shared" si="0"/>
        <v>2054</v>
      </c>
      <c r="C179" s="137">
        <f>[17]С2.5!$AM$11</f>
        <v>0</v>
      </c>
    </row>
    <row r="180" spans="2:3" ht="13.5" hidden="1" thickBot="1">
      <c r="B180" s="112">
        <f t="shared" si="0"/>
        <v>2055</v>
      </c>
      <c r="C180" s="137">
        <f>[17]С2.5!$AN$11</f>
        <v>0</v>
      </c>
    </row>
    <row r="181" spans="2:3" ht="13.5" hidden="1" thickBot="1">
      <c r="B181" s="112">
        <f t="shared" si="0"/>
        <v>2056</v>
      </c>
      <c r="C181" s="137">
        <f>[17]С2.5!$AO$11</f>
        <v>0</v>
      </c>
    </row>
    <row r="182" spans="2:3" ht="13.5" hidden="1" thickBot="1">
      <c r="B182" s="112">
        <f t="shared" si="0"/>
        <v>2057</v>
      </c>
      <c r="C182" s="137">
        <f>[17]С2.5!$AP$11</f>
        <v>0</v>
      </c>
    </row>
    <row r="183" spans="2:3" ht="13.5" hidden="1" thickBot="1">
      <c r="B183" s="112">
        <f t="shared" si="0"/>
        <v>2058</v>
      </c>
      <c r="C183" s="137">
        <f>[17]С2.5!$AQ$11</f>
        <v>0</v>
      </c>
    </row>
    <row r="184" spans="2:3" ht="13.5" hidden="1" thickBot="1">
      <c r="B184" s="112">
        <f t="shared" si="0"/>
        <v>2059</v>
      </c>
      <c r="C184" s="137">
        <f>[17]С2.5!$AR$11</f>
        <v>0</v>
      </c>
    </row>
    <row r="185" spans="2:3" ht="13.5" hidden="1" thickBot="1">
      <c r="B185" s="112">
        <f t="shared" si="0"/>
        <v>2060</v>
      </c>
      <c r="C185" s="137">
        <f>[17]С2.5!$AS$11</f>
        <v>0</v>
      </c>
    </row>
    <row r="186" spans="2:3" ht="13.5" hidden="1" thickBot="1">
      <c r="B186" s="112">
        <f t="shared" si="0"/>
        <v>2061</v>
      </c>
      <c r="C186" s="137">
        <f>[17]С2.5!$AT$11</f>
        <v>0</v>
      </c>
    </row>
    <row r="187" spans="2:3" ht="13.5" hidden="1" thickBot="1">
      <c r="B187" s="112">
        <f t="shared" si="0"/>
        <v>2062</v>
      </c>
      <c r="C187" s="137">
        <f>[17]С2.5!$AU$11</f>
        <v>0</v>
      </c>
    </row>
    <row r="188" spans="2:3" ht="13.5" hidden="1" thickBot="1">
      <c r="B188" s="112">
        <f t="shared" si="0"/>
        <v>2063</v>
      </c>
      <c r="C188" s="137">
        <f>[17]С2.5!$AV$11</f>
        <v>0</v>
      </c>
    </row>
    <row r="189" spans="2:3" ht="13.5" hidden="1" thickBot="1">
      <c r="B189" s="112">
        <f t="shared" si="0"/>
        <v>2064</v>
      </c>
      <c r="C189" s="137">
        <f>[17]С2.5!$AW$11</f>
        <v>0</v>
      </c>
    </row>
    <row r="190" spans="2:3" ht="13.5" hidden="1" thickBot="1">
      <c r="B190" s="112">
        <f t="shared" si="0"/>
        <v>2065</v>
      </c>
      <c r="C190" s="137">
        <f>[17]С2.5!$AX$11</f>
        <v>0</v>
      </c>
    </row>
    <row r="191" spans="2:3" ht="13.5" hidden="1" thickBot="1">
      <c r="B191" s="112">
        <f t="shared" si="0"/>
        <v>2066</v>
      </c>
      <c r="C191" s="137">
        <f>[17]С2.5!$AY$11</f>
        <v>0</v>
      </c>
    </row>
    <row r="192" spans="2:3" ht="13.5" hidden="1" thickBot="1">
      <c r="B192" s="112">
        <f t="shared" si="0"/>
        <v>2067</v>
      </c>
      <c r="C192" s="137">
        <f>[17]С2.5!$AZ$11</f>
        <v>0</v>
      </c>
    </row>
    <row r="193" spans="2:3" ht="13.5" hidden="1" thickBot="1">
      <c r="B193" s="112">
        <f t="shared" si="0"/>
        <v>2068</v>
      </c>
      <c r="C193" s="137">
        <f>[17]С2.5!$BA$11</f>
        <v>0</v>
      </c>
    </row>
    <row r="194" spans="2:3" ht="13.5" hidden="1" thickBot="1">
      <c r="B194" s="112">
        <f t="shared" si="0"/>
        <v>2069</v>
      </c>
      <c r="C194" s="137">
        <f>[17]С2.5!$BB$11</f>
        <v>0</v>
      </c>
    </row>
    <row r="195" spans="2:3" ht="13.5" hidden="1" thickBot="1">
      <c r="B195" s="112">
        <f t="shared" si="0"/>
        <v>2070</v>
      </c>
      <c r="C195" s="137">
        <f>[17]С2.5!$BC$11</f>
        <v>0</v>
      </c>
    </row>
    <row r="196" spans="2:3" ht="13.5" hidden="1" thickBot="1">
      <c r="B196" s="112">
        <f t="shared" si="0"/>
        <v>2071</v>
      </c>
      <c r="C196" s="137">
        <f>[17]С2.5!$BD$11</f>
        <v>0</v>
      </c>
    </row>
    <row r="197" spans="2:3" ht="13.5" hidden="1" thickBot="1">
      <c r="B197" s="112">
        <f t="shared" si="0"/>
        <v>2072</v>
      </c>
      <c r="C197" s="137">
        <f>[17]С2.5!$BE$11</f>
        <v>0</v>
      </c>
    </row>
    <row r="198" spans="2:3" ht="13.5" hidden="1" thickBot="1">
      <c r="B198" s="112">
        <f t="shared" si="0"/>
        <v>2073</v>
      </c>
      <c r="C198" s="137">
        <f>[17]С2.5!$BF$11</f>
        <v>0</v>
      </c>
    </row>
    <row r="199" spans="2:3" ht="13.5" hidden="1" thickBot="1">
      <c r="B199" s="112">
        <f t="shared" si="0"/>
        <v>2074</v>
      </c>
      <c r="C199" s="137">
        <f>[17]С2.5!$BG$11</f>
        <v>0</v>
      </c>
    </row>
    <row r="200" spans="2:3" ht="13.5" hidden="1" thickBot="1">
      <c r="B200" s="112">
        <f t="shared" si="0"/>
        <v>2075</v>
      </c>
      <c r="C200" s="137">
        <f>[17]С2.5!$BH$11</f>
        <v>0</v>
      </c>
    </row>
    <row r="201" spans="2:3" ht="13.5" hidden="1" thickBot="1">
      <c r="B201" s="112">
        <f t="shared" si="0"/>
        <v>2076</v>
      </c>
      <c r="C201" s="137">
        <f>[17]С2.5!$BI$11</f>
        <v>0</v>
      </c>
    </row>
    <row r="202" spans="2:3" ht="13.5" hidden="1" thickBot="1">
      <c r="B202" s="112">
        <f t="shared" si="0"/>
        <v>2077</v>
      </c>
      <c r="C202" s="137">
        <f>[17]С2.5!$BJ$11</f>
        <v>0</v>
      </c>
    </row>
    <row r="203" spans="2:3" ht="13.5" hidden="1" thickBot="1">
      <c r="B203" s="112">
        <f t="shared" si="0"/>
        <v>2078</v>
      </c>
      <c r="C203" s="137">
        <f>[17]С2.5!$BK$11</f>
        <v>0</v>
      </c>
    </row>
    <row r="204" spans="2:3" ht="13.5" hidden="1" thickBot="1">
      <c r="B204" s="112">
        <f t="shared" si="0"/>
        <v>2079</v>
      </c>
      <c r="C204" s="137">
        <f>[17]С2.5!$BL$11</f>
        <v>0</v>
      </c>
    </row>
    <row r="205" spans="2:3" ht="13.5" hidden="1" thickBot="1">
      <c r="B205" s="112">
        <f t="shared" si="0"/>
        <v>2080</v>
      </c>
      <c r="C205" s="137">
        <f>[17]С2.5!$BM$11</f>
        <v>0</v>
      </c>
    </row>
    <row r="206" spans="2:3" ht="13.5" hidden="1" thickBot="1">
      <c r="B206" s="112">
        <f t="shared" si="0"/>
        <v>2081</v>
      </c>
      <c r="C206" s="137">
        <f>[17]С2.5!$BN$11</f>
        <v>0</v>
      </c>
    </row>
    <row r="207" spans="2:3" ht="13.5" hidden="1" thickBot="1">
      <c r="B207" s="112">
        <f t="shared" si="0"/>
        <v>2082</v>
      </c>
      <c r="C207" s="137">
        <f>[17]С2.5!$BO$11</f>
        <v>0</v>
      </c>
    </row>
    <row r="208" spans="2:3" ht="13.5" hidden="1" thickBot="1">
      <c r="B208" s="112">
        <f t="shared" si="0"/>
        <v>2083</v>
      </c>
      <c r="C208" s="137">
        <f>[17]С2.5!$BP$11</f>
        <v>0</v>
      </c>
    </row>
    <row r="209" spans="2:3" ht="13.5" hidden="1" thickBot="1">
      <c r="B209" s="112">
        <f t="shared" si="0"/>
        <v>2084</v>
      </c>
      <c r="C209" s="137">
        <f>[17]С2.5!$BQ$11</f>
        <v>0</v>
      </c>
    </row>
    <row r="210" spans="2:3" ht="13.5" hidden="1" thickBot="1">
      <c r="B210" s="112">
        <f t="shared" si="0"/>
        <v>2085</v>
      </c>
      <c r="C210" s="137">
        <f>[17]С2.5!$BR$11</f>
        <v>0</v>
      </c>
    </row>
    <row r="211" spans="2:3" ht="13.5" hidden="1" thickBot="1">
      <c r="B211" s="112">
        <f t="shared" ref="B211:B224" si="1">B210+1</f>
        <v>2086</v>
      </c>
      <c r="C211" s="137">
        <f>[17]С2.5!$BS$11</f>
        <v>0</v>
      </c>
    </row>
    <row r="212" spans="2:3" ht="13.5" hidden="1" thickBot="1">
      <c r="B212" s="112">
        <f t="shared" si="1"/>
        <v>2087</v>
      </c>
      <c r="C212" s="137">
        <f>[17]С2.5!$BT$11</f>
        <v>0</v>
      </c>
    </row>
    <row r="213" spans="2:3" ht="13.5" hidden="1" thickBot="1">
      <c r="B213" s="112">
        <f t="shared" si="1"/>
        <v>2088</v>
      </c>
      <c r="C213" s="137">
        <f>[17]С2.5!$BU$11</f>
        <v>0</v>
      </c>
    </row>
    <row r="214" spans="2:3" ht="13.5" hidden="1" thickBot="1">
      <c r="B214" s="112">
        <f t="shared" si="1"/>
        <v>2089</v>
      </c>
      <c r="C214" s="137">
        <f>[17]С2.5!$BV$11</f>
        <v>0</v>
      </c>
    </row>
    <row r="215" spans="2:3" ht="13.5" hidden="1" thickBot="1">
      <c r="B215" s="112">
        <f t="shared" si="1"/>
        <v>2090</v>
      </c>
      <c r="C215" s="137">
        <f>[17]С2.5!$BW$11</f>
        <v>0</v>
      </c>
    </row>
    <row r="216" spans="2:3" ht="13.5" hidden="1" thickBot="1">
      <c r="B216" s="112">
        <f t="shared" si="1"/>
        <v>2091</v>
      </c>
      <c r="C216" s="137">
        <f>[17]С2.5!$BX$11</f>
        <v>0</v>
      </c>
    </row>
    <row r="217" spans="2:3" ht="13.5" hidden="1" thickBot="1">
      <c r="B217" s="112">
        <f t="shared" si="1"/>
        <v>2092</v>
      </c>
      <c r="C217" s="137">
        <f>[17]С2.5!$BY$11</f>
        <v>0</v>
      </c>
    </row>
    <row r="218" spans="2:3" ht="13.5" hidden="1" thickBot="1">
      <c r="B218" s="112">
        <f t="shared" si="1"/>
        <v>2093</v>
      </c>
      <c r="C218" s="137">
        <f>[17]С2.5!$BZ$11</f>
        <v>0</v>
      </c>
    </row>
    <row r="219" spans="2:3" ht="13.5" hidden="1" thickBot="1">
      <c r="B219" s="112">
        <f t="shared" si="1"/>
        <v>2094</v>
      </c>
      <c r="C219" s="137">
        <f>[17]С2.5!$CA$11</f>
        <v>0</v>
      </c>
    </row>
    <row r="220" spans="2:3" ht="13.5" hidden="1" thickBot="1">
      <c r="B220" s="112">
        <f t="shared" si="1"/>
        <v>2095</v>
      </c>
      <c r="C220" s="137">
        <f>[17]С2.5!$CB$11</f>
        <v>0</v>
      </c>
    </row>
    <row r="221" spans="2:3" ht="13.5" hidden="1" thickBot="1">
      <c r="B221" s="112">
        <f t="shared" si="1"/>
        <v>2096</v>
      </c>
      <c r="C221" s="137">
        <f>[17]С2.5!$CC$11</f>
        <v>0</v>
      </c>
    </row>
    <row r="222" spans="2:3" ht="13.5" hidden="1" thickBot="1">
      <c r="B222" s="112">
        <f t="shared" si="1"/>
        <v>2097</v>
      </c>
      <c r="C222" s="137">
        <f>[17]С2.5!$CD$11</f>
        <v>0</v>
      </c>
    </row>
    <row r="223" spans="2:3" ht="13.5" hidden="1" thickBot="1">
      <c r="B223" s="112">
        <f t="shared" si="1"/>
        <v>2098</v>
      </c>
      <c r="C223" s="137">
        <f>[17]С2.5!$CE$11</f>
        <v>0</v>
      </c>
    </row>
    <row r="224" spans="2:3" ht="13.5" hidden="1" thickBot="1">
      <c r="B224" s="112">
        <f t="shared" si="1"/>
        <v>2099</v>
      </c>
      <c r="C224" s="137">
        <f>[17]С2.5!$CF$11</f>
        <v>0</v>
      </c>
    </row>
    <row r="225" spans="2:3" ht="13.5" hidden="1" thickBot="1">
      <c r="B225" s="114">
        <f>B162+1</f>
        <v>2038</v>
      </c>
      <c r="C225" s="138" t="e">
        <f>[17]С2.5!#REF!</f>
        <v>#REF!</v>
      </c>
    </row>
    <row r="226" spans="2:3">
      <c r="B226" s="139"/>
      <c r="C226" s="14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226"/>
  <sheetViews>
    <sheetView workbookViewId="0">
      <selection activeCell="B23" sqref="B23"/>
    </sheetView>
  </sheetViews>
  <sheetFormatPr defaultRowHeight="12.75"/>
  <cols>
    <col min="1" max="1" width="9.140625" style="2" customWidth="1"/>
    <col min="2" max="2" width="100.5703125" style="2" customWidth="1"/>
    <col min="3" max="3" width="20.85546875" style="7" customWidth="1"/>
    <col min="4" max="4" width="28.5703125" style="149" customWidth="1"/>
    <col min="5" max="5" width="5.140625" style="2" customWidth="1"/>
    <col min="6" max="6" width="17.5703125" style="2" customWidth="1"/>
    <col min="7" max="250" width="9.140625" style="2"/>
    <col min="251" max="251" width="3.5703125" style="2" customWidth="1"/>
    <col min="252" max="252" width="96.85546875" style="2" customWidth="1"/>
    <col min="253" max="253" width="30.85546875" style="2" customWidth="1"/>
    <col min="254" max="254" width="12.5703125" style="2" customWidth="1"/>
    <col min="255" max="255" width="5.140625" style="2" customWidth="1"/>
    <col min="256" max="256" width="9.140625" style="2"/>
    <col min="257" max="257" width="4.85546875" style="2" customWidth="1"/>
    <col min="258" max="258" width="30.5703125" style="2" customWidth="1"/>
    <col min="259" max="259" width="33.85546875" style="2" customWidth="1"/>
    <col min="260" max="260" width="5.140625" style="2" customWidth="1"/>
    <col min="261" max="262" width="17.5703125" style="2" customWidth="1"/>
    <col min="263" max="506" width="9.140625" style="2"/>
    <col min="507" max="507" width="3.5703125" style="2" customWidth="1"/>
    <col min="508" max="508" width="96.85546875" style="2" customWidth="1"/>
    <col min="509" max="509" width="30.85546875" style="2" customWidth="1"/>
    <col min="510" max="510" width="12.5703125" style="2" customWidth="1"/>
    <col min="511" max="511" width="5.140625" style="2" customWidth="1"/>
    <col min="512" max="512" width="9.140625" style="2"/>
    <col min="513" max="513" width="4.85546875" style="2" customWidth="1"/>
    <col min="514" max="514" width="30.5703125" style="2" customWidth="1"/>
    <col min="515" max="515" width="33.85546875" style="2" customWidth="1"/>
    <col min="516" max="516" width="5.140625" style="2" customWidth="1"/>
    <col min="517" max="518" width="17.5703125" style="2" customWidth="1"/>
    <col min="519" max="762" width="9.140625" style="2"/>
    <col min="763" max="763" width="3.5703125" style="2" customWidth="1"/>
    <col min="764" max="764" width="96.85546875" style="2" customWidth="1"/>
    <col min="765" max="765" width="30.85546875" style="2" customWidth="1"/>
    <col min="766" max="766" width="12.5703125" style="2" customWidth="1"/>
    <col min="767" max="767" width="5.140625" style="2" customWidth="1"/>
    <col min="768" max="768" width="9.140625" style="2"/>
    <col min="769" max="769" width="4.85546875" style="2" customWidth="1"/>
    <col min="770" max="770" width="30.5703125" style="2" customWidth="1"/>
    <col min="771" max="771" width="33.85546875" style="2" customWidth="1"/>
    <col min="772" max="772" width="5.140625" style="2" customWidth="1"/>
    <col min="773" max="774" width="17.5703125" style="2" customWidth="1"/>
    <col min="775" max="1018" width="9.140625" style="2"/>
    <col min="1019" max="1019" width="3.5703125" style="2" customWidth="1"/>
    <col min="1020" max="1020" width="96.85546875" style="2" customWidth="1"/>
    <col min="1021" max="1021" width="30.85546875" style="2" customWidth="1"/>
    <col min="1022" max="1022" width="12.5703125" style="2" customWidth="1"/>
    <col min="1023" max="1023" width="5.140625" style="2" customWidth="1"/>
    <col min="1024" max="1024" width="9.140625" style="2"/>
    <col min="1025" max="1025" width="4.85546875" style="2" customWidth="1"/>
    <col min="1026" max="1026" width="30.5703125" style="2" customWidth="1"/>
    <col min="1027" max="1027" width="33.85546875" style="2" customWidth="1"/>
    <col min="1028" max="1028" width="5.140625" style="2" customWidth="1"/>
    <col min="1029" max="1030" width="17.5703125" style="2" customWidth="1"/>
    <col min="1031" max="1274" width="9.140625" style="2"/>
    <col min="1275" max="1275" width="3.5703125" style="2" customWidth="1"/>
    <col min="1276" max="1276" width="96.85546875" style="2" customWidth="1"/>
    <col min="1277" max="1277" width="30.85546875" style="2" customWidth="1"/>
    <col min="1278" max="1278" width="12.5703125" style="2" customWidth="1"/>
    <col min="1279" max="1279" width="5.140625" style="2" customWidth="1"/>
    <col min="1280" max="1280" width="9.140625" style="2"/>
    <col min="1281" max="1281" width="4.85546875" style="2" customWidth="1"/>
    <col min="1282" max="1282" width="30.5703125" style="2" customWidth="1"/>
    <col min="1283" max="1283" width="33.85546875" style="2" customWidth="1"/>
    <col min="1284" max="1284" width="5.140625" style="2" customWidth="1"/>
    <col min="1285" max="1286" width="17.5703125" style="2" customWidth="1"/>
    <col min="1287" max="1530" width="9.140625" style="2"/>
    <col min="1531" max="1531" width="3.5703125" style="2" customWidth="1"/>
    <col min="1532" max="1532" width="96.85546875" style="2" customWidth="1"/>
    <col min="1533" max="1533" width="30.85546875" style="2" customWidth="1"/>
    <col min="1534" max="1534" width="12.5703125" style="2" customWidth="1"/>
    <col min="1535" max="1535" width="5.140625" style="2" customWidth="1"/>
    <col min="1536" max="1536" width="9.140625" style="2"/>
    <col min="1537" max="1537" width="4.85546875" style="2" customWidth="1"/>
    <col min="1538" max="1538" width="30.5703125" style="2" customWidth="1"/>
    <col min="1539" max="1539" width="33.85546875" style="2" customWidth="1"/>
    <col min="1540" max="1540" width="5.140625" style="2" customWidth="1"/>
    <col min="1541" max="1542" width="17.5703125" style="2" customWidth="1"/>
    <col min="1543" max="1786" width="9.140625" style="2"/>
    <col min="1787" max="1787" width="3.5703125" style="2" customWidth="1"/>
    <col min="1788" max="1788" width="96.85546875" style="2" customWidth="1"/>
    <col min="1789" max="1789" width="30.85546875" style="2" customWidth="1"/>
    <col min="1790" max="1790" width="12.5703125" style="2" customWidth="1"/>
    <col min="1791" max="1791" width="5.140625" style="2" customWidth="1"/>
    <col min="1792" max="1792" width="9.140625" style="2"/>
    <col min="1793" max="1793" width="4.85546875" style="2" customWidth="1"/>
    <col min="1794" max="1794" width="30.5703125" style="2" customWidth="1"/>
    <col min="1795" max="1795" width="33.85546875" style="2" customWidth="1"/>
    <col min="1796" max="1796" width="5.140625" style="2" customWidth="1"/>
    <col min="1797" max="1798" width="17.5703125" style="2" customWidth="1"/>
    <col min="1799" max="2042" width="9.140625" style="2"/>
    <col min="2043" max="2043" width="3.5703125" style="2" customWidth="1"/>
    <col min="2044" max="2044" width="96.85546875" style="2" customWidth="1"/>
    <col min="2045" max="2045" width="30.85546875" style="2" customWidth="1"/>
    <col min="2046" max="2046" width="12.5703125" style="2" customWidth="1"/>
    <col min="2047" max="2047" width="5.140625" style="2" customWidth="1"/>
    <col min="2048" max="2048" width="9.140625" style="2"/>
    <col min="2049" max="2049" width="4.85546875" style="2" customWidth="1"/>
    <col min="2050" max="2050" width="30.5703125" style="2" customWidth="1"/>
    <col min="2051" max="2051" width="33.85546875" style="2" customWidth="1"/>
    <col min="2052" max="2052" width="5.140625" style="2" customWidth="1"/>
    <col min="2053" max="2054" width="17.5703125" style="2" customWidth="1"/>
    <col min="2055" max="2298" width="9.140625" style="2"/>
    <col min="2299" max="2299" width="3.5703125" style="2" customWidth="1"/>
    <col min="2300" max="2300" width="96.85546875" style="2" customWidth="1"/>
    <col min="2301" max="2301" width="30.85546875" style="2" customWidth="1"/>
    <col min="2302" max="2302" width="12.5703125" style="2" customWidth="1"/>
    <col min="2303" max="2303" width="5.140625" style="2" customWidth="1"/>
    <col min="2304" max="2304" width="9.140625" style="2"/>
    <col min="2305" max="2305" width="4.85546875" style="2" customWidth="1"/>
    <col min="2306" max="2306" width="30.5703125" style="2" customWidth="1"/>
    <col min="2307" max="2307" width="33.85546875" style="2" customWidth="1"/>
    <col min="2308" max="2308" width="5.140625" style="2" customWidth="1"/>
    <col min="2309" max="2310" width="17.5703125" style="2" customWidth="1"/>
    <col min="2311" max="2554" width="9.140625" style="2"/>
    <col min="2555" max="2555" width="3.5703125" style="2" customWidth="1"/>
    <col min="2556" max="2556" width="96.85546875" style="2" customWidth="1"/>
    <col min="2557" max="2557" width="30.85546875" style="2" customWidth="1"/>
    <col min="2558" max="2558" width="12.5703125" style="2" customWidth="1"/>
    <col min="2559" max="2559" width="5.140625" style="2" customWidth="1"/>
    <col min="2560" max="2560" width="9.140625" style="2"/>
    <col min="2561" max="2561" width="4.85546875" style="2" customWidth="1"/>
    <col min="2562" max="2562" width="30.5703125" style="2" customWidth="1"/>
    <col min="2563" max="2563" width="33.85546875" style="2" customWidth="1"/>
    <col min="2564" max="2564" width="5.140625" style="2" customWidth="1"/>
    <col min="2565" max="2566" width="17.5703125" style="2" customWidth="1"/>
    <col min="2567" max="2810" width="9.140625" style="2"/>
    <col min="2811" max="2811" width="3.5703125" style="2" customWidth="1"/>
    <col min="2812" max="2812" width="96.85546875" style="2" customWidth="1"/>
    <col min="2813" max="2813" width="30.85546875" style="2" customWidth="1"/>
    <col min="2814" max="2814" width="12.5703125" style="2" customWidth="1"/>
    <col min="2815" max="2815" width="5.140625" style="2" customWidth="1"/>
    <col min="2816" max="2816" width="9.140625" style="2"/>
    <col min="2817" max="2817" width="4.85546875" style="2" customWidth="1"/>
    <col min="2818" max="2818" width="30.5703125" style="2" customWidth="1"/>
    <col min="2819" max="2819" width="33.85546875" style="2" customWidth="1"/>
    <col min="2820" max="2820" width="5.140625" style="2" customWidth="1"/>
    <col min="2821" max="2822" width="17.5703125" style="2" customWidth="1"/>
    <col min="2823" max="3066" width="9.140625" style="2"/>
    <col min="3067" max="3067" width="3.5703125" style="2" customWidth="1"/>
    <col min="3068" max="3068" width="96.85546875" style="2" customWidth="1"/>
    <col min="3069" max="3069" width="30.85546875" style="2" customWidth="1"/>
    <col min="3070" max="3070" width="12.5703125" style="2" customWidth="1"/>
    <col min="3071" max="3071" width="5.140625" style="2" customWidth="1"/>
    <col min="3072" max="3072" width="9.140625" style="2"/>
    <col min="3073" max="3073" width="4.85546875" style="2" customWidth="1"/>
    <col min="3074" max="3074" width="30.5703125" style="2" customWidth="1"/>
    <col min="3075" max="3075" width="33.85546875" style="2" customWidth="1"/>
    <col min="3076" max="3076" width="5.140625" style="2" customWidth="1"/>
    <col min="3077" max="3078" width="17.5703125" style="2" customWidth="1"/>
    <col min="3079" max="3322" width="9.140625" style="2"/>
    <col min="3323" max="3323" width="3.5703125" style="2" customWidth="1"/>
    <col min="3324" max="3324" width="96.85546875" style="2" customWidth="1"/>
    <col min="3325" max="3325" width="30.85546875" style="2" customWidth="1"/>
    <col min="3326" max="3326" width="12.5703125" style="2" customWidth="1"/>
    <col min="3327" max="3327" width="5.140625" style="2" customWidth="1"/>
    <col min="3328" max="3328" width="9.140625" style="2"/>
    <col min="3329" max="3329" width="4.85546875" style="2" customWidth="1"/>
    <col min="3330" max="3330" width="30.5703125" style="2" customWidth="1"/>
    <col min="3331" max="3331" width="33.85546875" style="2" customWidth="1"/>
    <col min="3332" max="3332" width="5.140625" style="2" customWidth="1"/>
    <col min="3333" max="3334" width="17.5703125" style="2" customWidth="1"/>
    <col min="3335" max="3578" width="9.140625" style="2"/>
    <col min="3579" max="3579" width="3.5703125" style="2" customWidth="1"/>
    <col min="3580" max="3580" width="96.85546875" style="2" customWidth="1"/>
    <col min="3581" max="3581" width="30.85546875" style="2" customWidth="1"/>
    <col min="3582" max="3582" width="12.5703125" style="2" customWidth="1"/>
    <col min="3583" max="3583" width="5.140625" style="2" customWidth="1"/>
    <col min="3584" max="3584" width="9.140625" style="2"/>
    <col min="3585" max="3585" width="4.85546875" style="2" customWidth="1"/>
    <col min="3586" max="3586" width="30.5703125" style="2" customWidth="1"/>
    <col min="3587" max="3587" width="33.85546875" style="2" customWidth="1"/>
    <col min="3588" max="3588" width="5.140625" style="2" customWidth="1"/>
    <col min="3589" max="3590" width="17.5703125" style="2" customWidth="1"/>
    <col min="3591" max="3834" width="9.140625" style="2"/>
    <col min="3835" max="3835" width="3.5703125" style="2" customWidth="1"/>
    <col min="3836" max="3836" width="96.85546875" style="2" customWidth="1"/>
    <col min="3837" max="3837" width="30.85546875" style="2" customWidth="1"/>
    <col min="3838" max="3838" width="12.5703125" style="2" customWidth="1"/>
    <col min="3839" max="3839" width="5.140625" style="2" customWidth="1"/>
    <col min="3840" max="3840" width="9.140625" style="2"/>
    <col min="3841" max="3841" width="4.85546875" style="2" customWidth="1"/>
    <col min="3842" max="3842" width="30.5703125" style="2" customWidth="1"/>
    <col min="3843" max="3843" width="33.85546875" style="2" customWidth="1"/>
    <col min="3844" max="3844" width="5.140625" style="2" customWidth="1"/>
    <col min="3845" max="3846" width="17.5703125" style="2" customWidth="1"/>
    <col min="3847" max="4090" width="9.140625" style="2"/>
    <col min="4091" max="4091" width="3.5703125" style="2" customWidth="1"/>
    <col min="4092" max="4092" width="96.85546875" style="2" customWidth="1"/>
    <col min="4093" max="4093" width="30.85546875" style="2" customWidth="1"/>
    <col min="4094" max="4094" width="12.5703125" style="2" customWidth="1"/>
    <col min="4095" max="4095" width="5.140625" style="2" customWidth="1"/>
    <col min="4096" max="4096" width="9.140625" style="2"/>
    <col min="4097" max="4097" width="4.85546875" style="2" customWidth="1"/>
    <col min="4098" max="4098" width="30.5703125" style="2" customWidth="1"/>
    <col min="4099" max="4099" width="33.85546875" style="2" customWidth="1"/>
    <col min="4100" max="4100" width="5.140625" style="2" customWidth="1"/>
    <col min="4101" max="4102" width="17.5703125" style="2" customWidth="1"/>
    <col min="4103" max="4346" width="9.140625" style="2"/>
    <col min="4347" max="4347" width="3.5703125" style="2" customWidth="1"/>
    <col min="4348" max="4348" width="96.85546875" style="2" customWidth="1"/>
    <col min="4349" max="4349" width="30.85546875" style="2" customWidth="1"/>
    <col min="4350" max="4350" width="12.5703125" style="2" customWidth="1"/>
    <col min="4351" max="4351" width="5.140625" style="2" customWidth="1"/>
    <col min="4352" max="4352" width="9.140625" style="2"/>
    <col min="4353" max="4353" width="4.85546875" style="2" customWidth="1"/>
    <col min="4354" max="4354" width="30.5703125" style="2" customWidth="1"/>
    <col min="4355" max="4355" width="33.85546875" style="2" customWidth="1"/>
    <col min="4356" max="4356" width="5.140625" style="2" customWidth="1"/>
    <col min="4357" max="4358" width="17.5703125" style="2" customWidth="1"/>
    <col min="4359" max="4602" width="9.140625" style="2"/>
    <col min="4603" max="4603" width="3.5703125" style="2" customWidth="1"/>
    <col min="4604" max="4604" width="96.85546875" style="2" customWidth="1"/>
    <col min="4605" max="4605" width="30.85546875" style="2" customWidth="1"/>
    <col min="4606" max="4606" width="12.5703125" style="2" customWidth="1"/>
    <col min="4607" max="4607" width="5.140625" style="2" customWidth="1"/>
    <col min="4608" max="4608" width="9.140625" style="2"/>
    <col min="4609" max="4609" width="4.85546875" style="2" customWidth="1"/>
    <col min="4610" max="4610" width="30.5703125" style="2" customWidth="1"/>
    <col min="4611" max="4611" width="33.85546875" style="2" customWidth="1"/>
    <col min="4612" max="4612" width="5.140625" style="2" customWidth="1"/>
    <col min="4613" max="4614" width="17.5703125" style="2" customWidth="1"/>
    <col min="4615" max="4858" width="9.140625" style="2"/>
    <col min="4859" max="4859" width="3.5703125" style="2" customWidth="1"/>
    <col min="4860" max="4860" width="96.85546875" style="2" customWidth="1"/>
    <col min="4861" max="4861" width="30.85546875" style="2" customWidth="1"/>
    <col min="4862" max="4862" width="12.5703125" style="2" customWidth="1"/>
    <col min="4863" max="4863" width="5.140625" style="2" customWidth="1"/>
    <col min="4864" max="4864" width="9.140625" style="2"/>
    <col min="4865" max="4865" width="4.85546875" style="2" customWidth="1"/>
    <col min="4866" max="4866" width="30.5703125" style="2" customWidth="1"/>
    <col min="4867" max="4867" width="33.85546875" style="2" customWidth="1"/>
    <col min="4868" max="4868" width="5.140625" style="2" customWidth="1"/>
    <col min="4869" max="4870" width="17.5703125" style="2" customWidth="1"/>
    <col min="4871" max="5114" width="9.140625" style="2"/>
    <col min="5115" max="5115" width="3.5703125" style="2" customWidth="1"/>
    <col min="5116" max="5116" width="96.85546875" style="2" customWidth="1"/>
    <col min="5117" max="5117" width="30.85546875" style="2" customWidth="1"/>
    <col min="5118" max="5118" width="12.5703125" style="2" customWidth="1"/>
    <col min="5119" max="5119" width="5.140625" style="2" customWidth="1"/>
    <col min="5120" max="5120" width="9.140625" style="2"/>
    <col min="5121" max="5121" width="4.85546875" style="2" customWidth="1"/>
    <col min="5122" max="5122" width="30.5703125" style="2" customWidth="1"/>
    <col min="5123" max="5123" width="33.85546875" style="2" customWidth="1"/>
    <col min="5124" max="5124" width="5.140625" style="2" customWidth="1"/>
    <col min="5125" max="5126" width="17.5703125" style="2" customWidth="1"/>
    <col min="5127" max="5370" width="9.140625" style="2"/>
    <col min="5371" max="5371" width="3.5703125" style="2" customWidth="1"/>
    <col min="5372" max="5372" width="96.85546875" style="2" customWidth="1"/>
    <col min="5373" max="5373" width="30.85546875" style="2" customWidth="1"/>
    <col min="5374" max="5374" width="12.5703125" style="2" customWidth="1"/>
    <col min="5375" max="5375" width="5.140625" style="2" customWidth="1"/>
    <col min="5376" max="5376" width="9.140625" style="2"/>
    <col min="5377" max="5377" width="4.85546875" style="2" customWidth="1"/>
    <col min="5378" max="5378" width="30.5703125" style="2" customWidth="1"/>
    <col min="5379" max="5379" width="33.85546875" style="2" customWidth="1"/>
    <col min="5380" max="5380" width="5.140625" style="2" customWidth="1"/>
    <col min="5381" max="5382" width="17.5703125" style="2" customWidth="1"/>
    <col min="5383" max="5626" width="9.140625" style="2"/>
    <col min="5627" max="5627" width="3.5703125" style="2" customWidth="1"/>
    <col min="5628" max="5628" width="96.85546875" style="2" customWidth="1"/>
    <col min="5629" max="5629" width="30.85546875" style="2" customWidth="1"/>
    <col min="5630" max="5630" width="12.5703125" style="2" customWidth="1"/>
    <col min="5631" max="5631" width="5.140625" style="2" customWidth="1"/>
    <col min="5632" max="5632" width="9.140625" style="2"/>
    <col min="5633" max="5633" width="4.85546875" style="2" customWidth="1"/>
    <col min="5634" max="5634" width="30.5703125" style="2" customWidth="1"/>
    <col min="5635" max="5635" width="33.85546875" style="2" customWidth="1"/>
    <col min="5636" max="5636" width="5.140625" style="2" customWidth="1"/>
    <col min="5637" max="5638" width="17.5703125" style="2" customWidth="1"/>
    <col min="5639" max="5882" width="9.140625" style="2"/>
    <col min="5883" max="5883" width="3.5703125" style="2" customWidth="1"/>
    <col min="5884" max="5884" width="96.85546875" style="2" customWidth="1"/>
    <col min="5885" max="5885" width="30.85546875" style="2" customWidth="1"/>
    <col min="5886" max="5886" width="12.5703125" style="2" customWidth="1"/>
    <col min="5887" max="5887" width="5.140625" style="2" customWidth="1"/>
    <col min="5888" max="5888" width="9.140625" style="2"/>
    <col min="5889" max="5889" width="4.85546875" style="2" customWidth="1"/>
    <col min="5890" max="5890" width="30.5703125" style="2" customWidth="1"/>
    <col min="5891" max="5891" width="33.85546875" style="2" customWidth="1"/>
    <col min="5892" max="5892" width="5.140625" style="2" customWidth="1"/>
    <col min="5893" max="5894" width="17.5703125" style="2" customWidth="1"/>
    <col min="5895" max="6138" width="9.140625" style="2"/>
    <col min="6139" max="6139" width="3.5703125" style="2" customWidth="1"/>
    <col min="6140" max="6140" width="96.85546875" style="2" customWidth="1"/>
    <col min="6141" max="6141" width="30.85546875" style="2" customWidth="1"/>
    <col min="6142" max="6142" width="12.5703125" style="2" customWidth="1"/>
    <col min="6143" max="6143" width="5.140625" style="2" customWidth="1"/>
    <col min="6144" max="6144" width="9.140625" style="2"/>
    <col min="6145" max="6145" width="4.85546875" style="2" customWidth="1"/>
    <col min="6146" max="6146" width="30.5703125" style="2" customWidth="1"/>
    <col min="6147" max="6147" width="33.85546875" style="2" customWidth="1"/>
    <col min="6148" max="6148" width="5.140625" style="2" customWidth="1"/>
    <col min="6149" max="6150" width="17.5703125" style="2" customWidth="1"/>
    <col min="6151" max="6394" width="9.140625" style="2"/>
    <col min="6395" max="6395" width="3.5703125" style="2" customWidth="1"/>
    <col min="6396" max="6396" width="96.85546875" style="2" customWidth="1"/>
    <col min="6397" max="6397" width="30.85546875" style="2" customWidth="1"/>
    <col min="6398" max="6398" width="12.5703125" style="2" customWidth="1"/>
    <col min="6399" max="6399" width="5.140625" style="2" customWidth="1"/>
    <col min="6400" max="6400" width="9.140625" style="2"/>
    <col min="6401" max="6401" width="4.85546875" style="2" customWidth="1"/>
    <col min="6402" max="6402" width="30.5703125" style="2" customWidth="1"/>
    <col min="6403" max="6403" width="33.85546875" style="2" customWidth="1"/>
    <col min="6404" max="6404" width="5.140625" style="2" customWidth="1"/>
    <col min="6405" max="6406" width="17.5703125" style="2" customWidth="1"/>
    <col min="6407" max="6650" width="9.140625" style="2"/>
    <col min="6651" max="6651" width="3.5703125" style="2" customWidth="1"/>
    <col min="6652" max="6652" width="96.85546875" style="2" customWidth="1"/>
    <col min="6653" max="6653" width="30.85546875" style="2" customWidth="1"/>
    <col min="6654" max="6654" width="12.5703125" style="2" customWidth="1"/>
    <col min="6655" max="6655" width="5.140625" style="2" customWidth="1"/>
    <col min="6656" max="6656" width="9.140625" style="2"/>
    <col min="6657" max="6657" width="4.85546875" style="2" customWidth="1"/>
    <col min="6658" max="6658" width="30.5703125" style="2" customWidth="1"/>
    <col min="6659" max="6659" width="33.85546875" style="2" customWidth="1"/>
    <col min="6660" max="6660" width="5.140625" style="2" customWidth="1"/>
    <col min="6661" max="6662" width="17.5703125" style="2" customWidth="1"/>
    <col min="6663" max="6906" width="9.140625" style="2"/>
    <col min="6907" max="6907" width="3.5703125" style="2" customWidth="1"/>
    <col min="6908" max="6908" width="96.85546875" style="2" customWidth="1"/>
    <col min="6909" max="6909" width="30.85546875" style="2" customWidth="1"/>
    <col min="6910" max="6910" width="12.5703125" style="2" customWidth="1"/>
    <col min="6911" max="6911" width="5.140625" style="2" customWidth="1"/>
    <col min="6912" max="6912" width="9.140625" style="2"/>
    <col min="6913" max="6913" width="4.85546875" style="2" customWidth="1"/>
    <col min="6914" max="6914" width="30.5703125" style="2" customWidth="1"/>
    <col min="6915" max="6915" width="33.85546875" style="2" customWidth="1"/>
    <col min="6916" max="6916" width="5.140625" style="2" customWidth="1"/>
    <col min="6917" max="6918" width="17.5703125" style="2" customWidth="1"/>
    <col min="6919" max="7162" width="9.140625" style="2"/>
    <col min="7163" max="7163" width="3.5703125" style="2" customWidth="1"/>
    <col min="7164" max="7164" width="96.85546875" style="2" customWidth="1"/>
    <col min="7165" max="7165" width="30.85546875" style="2" customWidth="1"/>
    <col min="7166" max="7166" width="12.5703125" style="2" customWidth="1"/>
    <col min="7167" max="7167" width="5.140625" style="2" customWidth="1"/>
    <col min="7168" max="7168" width="9.140625" style="2"/>
    <col min="7169" max="7169" width="4.85546875" style="2" customWidth="1"/>
    <col min="7170" max="7170" width="30.5703125" style="2" customWidth="1"/>
    <col min="7171" max="7171" width="33.85546875" style="2" customWidth="1"/>
    <col min="7172" max="7172" width="5.140625" style="2" customWidth="1"/>
    <col min="7173" max="7174" width="17.5703125" style="2" customWidth="1"/>
    <col min="7175" max="7418" width="9.140625" style="2"/>
    <col min="7419" max="7419" width="3.5703125" style="2" customWidth="1"/>
    <col min="7420" max="7420" width="96.85546875" style="2" customWidth="1"/>
    <col min="7421" max="7421" width="30.85546875" style="2" customWidth="1"/>
    <col min="7422" max="7422" width="12.5703125" style="2" customWidth="1"/>
    <col min="7423" max="7423" width="5.140625" style="2" customWidth="1"/>
    <col min="7424" max="7424" width="9.140625" style="2"/>
    <col min="7425" max="7425" width="4.85546875" style="2" customWidth="1"/>
    <col min="7426" max="7426" width="30.5703125" style="2" customWidth="1"/>
    <col min="7427" max="7427" width="33.85546875" style="2" customWidth="1"/>
    <col min="7428" max="7428" width="5.140625" style="2" customWidth="1"/>
    <col min="7429" max="7430" width="17.5703125" style="2" customWidth="1"/>
    <col min="7431" max="7674" width="9.140625" style="2"/>
    <col min="7675" max="7675" width="3.5703125" style="2" customWidth="1"/>
    <col min="7676" max="7676" width="96.85546875" style="2" customWidth="1"/>
    <col min="7677" max="7677" width="30.85546875" style="2" customWidth="1"/>
    <col min="7678" max="7678" width="12.5703125" style="2" customWidth="1"/>
    <col min="7679" max="7679" width="5.140625" style="2" customWidth="1"/>
    <col min="7680" max="7680" width="9.140625" style="2"/>
    <col min="7681" max="7681" width="4.85546875" style="2" customWidth="1"/>
    <col min="7682" max="7682" width="30.5703125" style="2" customWidth="1"/>
    <col min="7683" max="7683" width="33.85546875" style="2" customWidth="1"/>
    <col min="7684" max="7684" width="5.140625" style="2" customWidth="1"/>
    <col min="7685" max="7686" width="17.5703125" style="2" customWidth="1"/>
    <col min="7687" max="7930" width="9.140625" style="2"/>
    <col min="7931" max="7931" width="3.5703125" style="2" customWidth="1"/>
    <col min="7932" max="7932" width="96.85546875" style="2" customWidth="1"/>
    <col min="7933" max="7933" width="30.85546875" style="2" customWidth="1"/>
    <col min="7934" max="7934" width="12.5703125" style="2" customWidth="1"/>
    <col min="7935" max="7935" width="5.140625" style="2" customWidth="1"/>
    <col min="7936" max="7936" width="9.140625" style="2"/>
    <col min="7937" max="7937" width="4.85546875" style="2" customWidth="1"/>
    <col min="7938" max="7938" width="30.5703125" style="2" customWidth="1"/>
    <col min="7939" max="7939" width="33.85546875" style="2" customWidth="1"/>
    <col min="7940" max="7940" width="5.140625" style="2" customWidth="1"/>
    <col min="7941" max="7942" width="17.5703125" style="2" customWidth="1"/>
    <col min="7943" max="8186" width="9.140625" style="2"/>
    <col min="8187" max="8187" width="3.5703125" style="2" customWidth="1"/>
    <col min="8188" max="8188" width="96.85546875" style="2" customWidth="1"/>
    <col min="8189" max="8189" width="30.85546875" style="2" customWidth="1"/>
    <col min="8190" max="8190" width="12.5703125" style="2" customWidth="1"/>
    <col min="8191" max="8191" width="5.140625" style="2" customWidth="1"/>
    <col min="8192" max="8192" width="9.140625" style="2"/>
    <col min="8193" max="8193" width="4.85546875" style="2" customWidth="1"/>
    <col min="8194" max="8194" width="30.5703125" style="2" customWidth="1"/>
    <col min="8195" max="8195" width="33.85546875" style="2" customWidth="1"/>
    <col min="8196" max="8196" width="5.140625" style="2" customWidth="1"/>
    <col min="8197" max="8198" width="17.5703125" style="2" customWidth="1"/>
    <col min="8199" max="8442" width="9.140625" style="2"/>
    <col min="8443" max="8443" width="3.5703125" style="2" customWidth="1"/>
    <col min="8444" max="8444" width="96.85546875" style="2" customWidth="1"/>
    <col min="8445" max="8445" width="30.85546875" style="2" customWidth="1"/>
    <col min="8446" max="8446" width="12.5703125" style="2" customWidth="1"/>
    <col min="8447" max="8447" width="5.140625" style="2" customWidth="1"/>
    <col min="8448" max="8448" width="9.140625" style="2"/>
    <col min="8449" max="8449" width="4.85546875" style="2" customWidth="1"/>
    <col min="8450" max="8450" width="30.5703125" style="2" customWidth="1"/>
    <col min="8451" max="8451" width="33.85546875" style="2" customWidth="1"/>
    <col min="8452" max="8452" width="5.140625" style="2" customWidth="1"/>
    <col min="8453" max="8454" width="17.5703125" style="2" customWidth="1"/>
    <col min="8455" max="8698" width="9.140625" style="2"/>
    <col min="8699" max="8699" width="3.5703125" style="2" customWidth="1"/>
    <col min="8700" max="8700" width="96.85546875" style="2" customWidth="1"/>
    <col min="8701" max="8701" width="30.85546875" style="2" customWidth="1"/>
    <col min="8702" max="8702" width="12.5703125" style="2" customWidth="1"/>
    <col min="8703" max="8703" width="5.140625" style="2" customWidth="1"/>
    <col min="8704" max="8704" width="9.140625" style="2"/>
    <col min="8705" max="8705" width="4.85546875" style="2" customWidth="1"/>
    <col min="8706" max="8706" width="30.5703125" style="2" customWidth="1"/>
    <col min="8707" max="8707" width="33.85546875" style="2" customWidth="1"/>
    <col min="8708" max="8708" width="5.140625" style="2" customWidth="1"/>
    <col min="8709" max="8710" width="17.5703125" style="2" customWidth="1"/>
    <col min="8711" max="8954" width="9.140625" style="2"/>
    <col min="8955" max="8955" width="3.5703125" style="2" customWidth="1"/>
    <col min="8956" max="8956" width="96.85546875" style="2" customWidth="1"/>
    <col min="8957" max="8957" width="30.85546875" style="2" customWidth="1"/>
    <col min="8958" max="8958" width="12.5703125" style="2" customWidth="1"/>
    <col min="8959" max="8959" width="5.140625" style="2" customWidth="1"/>
    <col min="8960" max="8960" width="9.140625" style="2"/>
    <col min="8961" max="8961" width="4.85546875" style="2" customWidth="1"/>
    <col min="8962" max="8962" width="30.5703125" style="2" customWidth="1"/>
    <col min="8963" max="8963" width="33.85546875" style="2" customWidth="1"/>
    <col min="8964" max="8964" width="5.140625" style="2" customWidth="1"/>
    <col min="8965" max="8966" width="17.5703125" style="2" customWidth="1"/>
    <col min="8967" max="9210" width="9.140625" style="2"/>
    <col min="9211" max="9211" width="3.5703125" style="2" customWidth="1"/>
    <col min="9212" max="9212" width="96.85546875" style="2" customWidth="1"/>
    <col min="9213" max="9213" width="30.85546875" style="2" customWidth="1"/>
    <col min="9214" max="9214" width="12.5703125" style="2" customWidth="1"/>
    <col min="9215" max="9215" width="5.140625" style="2" customWidth="1"/>
    <col min="9216" max="9216" width="9.140625" style="2"/>
    <col min="9217" max="9217" width="4.85546875" style="2" customWidth="1"/>
    <col min="9218" max="9218" width="30.5703125" style="2" customWidth="1"/>
    <col min="9219" max="9219" width="33.85546875" style="2" customWidth="1"/>
    <col min="9220" max="9220" width="5.140625" style="2" customWidth="1"/>
    <col min="9221" max="9222" width="17.5703125" style="2" customWidth="1"/>
    <col min="9223" max="9466" width="9.140625" style="2"/>
    <col min="9467" max="9467" width="3.5703125" style="2" customWidth="1"/>
    <col min="9468" max="9468" width="96.85546875" style="2" customWidth="1"/>
    <col min="9469" max="9469" width="30.85546875" style="2" customWidth="1"/>
    <col min="9470" max="9470" width="12.5703125" style="2" customWidth="1"/>
    <col min="9471" max="9471" width="5.140625" style="2" customWidth="1"/>
    <col min="9472" max="9472" width="9.140625" style="2"/>
    <col min="9473" max="9473" width="4.85546875" style="2" customWidth="1"/>
    <col min="9474" max="9474" width="30.5703125" style="2" customWidth="1"/>
    <col min="9475" max="9475" width="33.85546875" style="2" customWidth="1"/>
    <col min="9476" max="9476" width="5.140625" style="2" customWidth="1"/>
    <col min="9477" max="9478" width="17.5703125" style="2" customWidth="1"/>
    <col min="9479" max="9722" width="9.140625" style="2"/>
    <col min="9723" max="9723" width="3.5703125" style="2" customWidth="1"/>
    <col min="9724" max="9724" width="96.85546875" style="2" customWidth="1"/>
    <col min="9725" max="9725" width="30.85546875" style="2" customWidth="1"/>
    <col min="9726" max="9726" width="12.5703125" style="2" customWidth="1"/>
    <col min="9727" max="9727" width="5.140625" style="2" customWidth="1"/>
    <col min="9728" max="9728" width="9.140625" style="2"/>
    <col min="9729" max="9729" width="4.85546875" style="2" customWidth="1"/>
    <col min="9730" max="9730" width="30.5703125" style="2" customWidth="1"/>
    <col min="9731" max="9731" width="33.85546875" style="2" customWidth="1"/>
    <col min="9732" max="9732" width="5.140625" style="2" customWidth="1"/>
    <col min="9733" max="9734" width="17.5703125" style="2" customWidth="1"/>
    <col min="9735" max="9978" width="9.140625" style="2"/>
    <col min="9979" max="9979" width="3.5703125" style="2" customWidth="1"/>
    <col min="9980" max="9980" width="96.85546875" style="2" customWidth="1"/>
    <col min="9981" max="9981" width="30.85546875" style="2" customWidth="1"/>
    <col min="9982" max="9982" width="12.5703125" style="2" customWidth="1"/>
    <col min="9983" max="9983" width="5.140625" style="2" customWidth="1"/>
    <col min="9984" max="9984" width="9.140625" style="2"/>
    <col min="9985" max="9985" width="4.85546875" style="2" customWidth="1"/>
    <col min="9986" max="9986" width="30.5703125" style="2" customWidth="1"/>
    <col min="9987" max="9987" width="33.85546875" style="2" customWidth="1"/>
    <col min="9988" max="9988" width="5.140625" style="2" customWidth="1"/>
    <col min="9989" max="9990" width="17.5703125" style="2" customWidth="1"/>
    <col min="9991" max="10234" width="9.140625" style="2"/>
    <col min="10235" max="10235" width="3.5703125" style="2" customWidth="1"/>
    <col min="10236" max="10236" width="96.85546875" style="2" customWidth="1"/>
    <col min="10237" max="10237" width="30.85546875" style="2" customWidth="1"/>
    <col min="10238" max="10238" width="12.5703125" style="2" customWidth="1"/>
    <col min="10239" max="10239" width="5.140625" style="2" customWidth="1"/>
    <col min="10240" max="10240" width="9.140625" style="2"/>
    <col min="10241" max="10241" width="4.85546875" style="2" customWidth="1"/>
    <col min="10242" max="10242" width="30.5703125" style="2" customWidth="1"/>
    <col min="10243" max="10243" width="33.85546875" style="2" customWidth="1"/>
    <col min="10244" max="10244" width="5.140625" style="2" customWidth="1"/>
    <col min="10245" max="10246" width="17.5703125" style="2" customWidth="1"/>
    <col min="10247" max="10490" width="9.140625" style="2"/>
    <col min="10491" max="10491" width="3.5703125" style="2" customWidth="1"/>
    <col min="10492" max="10492" width="96.85546875" style="2" customWidth="1"/>
    <col min="10493" max="10493" width="30.85546875" style="2" customWidth="1"/>
    <col min="10494" max="10494" width="12.5703125" style="2" customWidth="1"/>
    <col min="10495" max="10495" width="5.140625" style="2" customWidth="1"/>
    <col min="10496" max="10496" width="9.140625" style="2"/>
    <col min="10497" max="10497" width="4.85546875" style="2" customWidth="1"/>
    <col min="10498" max="10498" width="30.5703125" style="2" customWidth="1"/>
    <col min="10499" max="10499" width="33.85546875" style="2" customWidth="1"/>
    <col min="10500" max="10500" width="5.140625" style="2" customWidth="1"/>
    <col min="10501" max="10502" width="17.5703125" style="2" customWidth="1"/>
    <col min="10503" max="10746" width="9.140625" style="2"/>
    <col min="10747" max="10747" width="3.5703125" style="2" customWidth="1"/>
    <col min="10748" max="10748" width="96.85546875" style="2" customWidth="1"/>
    <col min="10749" max="10749" width="30.85546875" style="2" customWidth="1"/>
    <col min="10750" max="10750" width="12.5703125" style="2" customWidth="1"/>
    <col min="10751" max="10751" width="5.140625" style="2" customWidth="1"/>
    <col min="10752" max="10752" width="9.140625" style="2"/>
    <col min="10753" max="10753" width="4.85546875" style="2" customWidth="1"/>
    <col min="10754" max="10754" width="30.5703125" style="2" customWidth="1"/>
    <col min="10755" max="10755" width="33.85546875" style="2" customWidth="1"/>
    <col min="10756" max="10756" width="5.140625" style="2" customWidth="1"/>
    <col min="10757" max="10758" width="17.5703125" style="2" customWidth="1"/>
    <col min="10759" max="11002" width="9.140625" style="2"/>
    <col min="11003" max="11003" width="3.5703125" style="2" customWidth="1"/>
    <col min="11004" max="11004" width="96.85546875" style="2" customWidth="1"/>
    <col min="11005" max="11005" width="30.85546875" style="2" customWidth="1"/>
    <col min="11006" max="11006" width="12.5703125" style="2" customWidth="1"/>
    <col min="11007" max="11007" width="5.140625" style="2" customWidth="1"/>
    <col min="11008" max="11008" width="9.140625" style="2"/>
    <col min="11009" max="11009" width="4.85546875" style="2" customWidth="1"/>
    <col min="11010" max="11010" width="30.5703125" style="2" customWidth="1"/>
    <col min="11011" max="11011" width="33.85546875" style="2" customWidth="1"/>
    <col min="11012" max="11012" width="5.140625" style="2" customWidth="1"/>
    <col min="11013" max="11014" width="17.5703125" style="2" customWidth="1"/>
    <col min="11015" max="11258" width="9.140625" style="2"/>
    <col min="11259" max="11259" width="3.5703125" style="2" customWidth="1"/>
    <col min="11260" max="11260" width="96.85546875" style="2" customWidth="1"/>
    <col min="11261" max="11261" width="30.85546875" style="2" customWidth="1"/>
    <col min="11262" max="11262" width="12.5703125" style="2" customWidth="1"/>
    <col min="11263" max="11263" width="5.140625" style="2" customWidth="1"/>
    <col min="11264" max="11264" width="9.140625" style="2"/>
    <col min="11265" max="11265" width="4.85546875" style="2" customWidth="1"/>
    <col min="11266" max="11266" width="30.5703125" style="2" customWidth="1"/>
    <col min="11267" max="11267" width="33.85546875" style="2" customWidth="1"/>
    <col min="11268" max="11268" width="5.140625" style="2" customWidth="1"/>
    <col min="11269" max="11270" width="17.5703125" style="2" customWidth="1"/>
    <col min="11271" max="11514" width="9.140625" style="2"/>
    <col min="11515" max="11515" width="3.5703125" style="2" customWidth="1"/>
    <col min="11516" max="11516" width="96.85546875" style="2" customWidth="1"/>
    <col min="11517" max="11517" width="30.85546875" style="2" customWidth="1"/>
    <col min="11518" max="11518" width="12.5703125" style="2" customWidth="1"/>
    <col min="11519" max="11519" width="5.140625" style="2" customWidth="1"/>
    <col min="11520" max="11520" width="9.140625" style="2"/>
    <col min="11521" max="11521" width="4.85546875" style="2" customWidth="1"/>
    <col min="11522" max="11522" width="30.5703125" style="2" customWidth="1"/>
    <col min="11523" max="11523" width="33.85546875" style="2" customWidth="1"/>
    <col min="11524" max="11524" width="5.140625" style="2" customWidth="1"/>
    <col min="11525" max="11526" width="17.5703125" style="2" customWidth="1"/>
    <col min="11527" max="11770" width="9.140625" style="2"/>
    <col min="11771" max="11771" width="3.5703125" style="2" customWidth="1"/>
    <col min="11772" max="11772" width="96.85546875" style="2" customWidth="1"/>
    <col min="11773" max="11773" width="30.85546875" style="2" customWidth="1"/>
    <col min="11774" max="11774" width="12.5703125" style="2" customWidth="1"/>
    <col min="11775" max="11775" width="5.140625" style="2" customWidth="1"/>
    <col min="11776" max="11776" width="9.140625" style="2"/>
    <col min="11777" max="11777" width="4.85546875" style="2" customWidth="1"/>
    <col min="11778" max="11778" width="30.5703125" style="2" customWidth="1"/>
    <col min="11779" max="11779" width="33.85546875" style="2" customWidth="1"/>
    <col min="11780" max="11780" width="5.140625" style="2" customWidth="1"/>
    <col min="11781" max="11782" width="17.5703125" style="2" customWidth="1"/>
    <col min="11783" max="12026" width="9.140625" style="2"/>
    <col min="12027" max="12027" width="3.5703125" style="2" customWidth="1"/>
    <col min="12028" max="12028" width="96.85546875" style="2" customWidth="1"/>
    <col min="12029" max="12029" width="30.85546875" style="2" customWidth="1"/>
    <col min="12030" max="12030" width="12.5703125" style="2" customWidth="1"/>
    <col min="12031" max="12031" width="5.140625" style="2" customWidth="1"/>
    <col min="12032" max="12032" width="9.140625" style="2"/>
    <col min="12033" max="12033" width="4.85546875" style="2" customWidth="1"/>
    <col min="12034" max="12034" width="30.5703125" style="2" customWidth="1"/>
    <col min="12035" max="12035" width="33.85546875" style="2" customWidth="1"/>
    <col min="12036" max="12036" width="5.140625" style="2" customWidth="1"/>
    <col min="12037" max="12038" width="17.5703125" style="2" customWidth="1"/>
    <col min="12039" max="12282" width="9.140625" style="2"/>
    <col min="12283" max="12283" width="3.5703125" style="2" customWidth="1"/>
    <col min="12284" max="12284" width="96.85546875" style="2" customWidth="1"/>
    <col min="12285" max="12285" width="30.85546875" style="2" customWidth="1"/>
    <col min="12286" max="12286" width="12.5703125" style="2" customWidth="1"/>
    <col min="12287" max="12287" width="5.140625" style="2" customWidth="1"/>
    <col min="12288" max="12288" width="9.140625" style="2"/>
    <col min="12289" max="12289" width="4.85546875" style="2" customWidth="1"/>
    <col min="12290" max="12290" width="30.5703125" style="2" customWidth="1"/>
    <col min="12291" max="12291" width="33.85546875" style="2" customWidth="1"/>
    <col min="12292" max="12292" width="5.140625" style="2" customWidth="1"/>
    <col min="12293" max="12294" width="17.5703125" style="2" customWidth="1"/>
    <col min="12295" max="12538" width="9.140625" style="2"/>
    <col min="12539" max="12539" width="3.5703125" style="2" customWidth="1"/>
    <col min="12540" max="12540" width="96.85546875" style="2" customWidth="1"/>
    <col min="12541" max="12541" width="30.85546875" style="2" customWidth="1"/>
    <col min="12542" max="12542" width="12.5703125" style="2" customWidth="1"/>
    <col min="12543" max="12543" width="5.140625" style="2" customWidth="1"/>
    <col min="12544" max="12544" width="9.140625" style="2"/>
    <col min="12545" max="12545" width="4.85546875" style="2" customWidth="1"/>
    <col min="12546" max="12546" width="30.5703125" style="2" customWidth="1"/>
    <col min="12547" max="12547" width="33.85546875" style="2" customWidth="1"/>
    <col min="12548" max="12548" width="5.140625" style="2" customWidth="1"/>
    <col min="12549" max="12550" width="17.5703125" style="2" customWidth="1"/>
    <col min="12551" max="12794" width="9.140625" style="2"/>
    <col min="12795" max="12795" width="3.5703125" style="2" customWidth="1"/>
    <col min="12796" max="12796" width="96.85546875" style="2" customWidth="1"/>
    <col min="12797" max="12797" width="30.85546875" style="2" customWidth="1"/>
    <col min="12798" max="12798" width="12.5703125" style="2" customWidth="1"/>
    <col min="12799" max="12799" width="5.140625" style="2" customWidth="1"/>
    <col min="12800" max="12800" width="9.140625" style="2"/>
    <col min="12801" max="12801" width="4.85546875" style="2" customWidth="1"/>
    <col min="12802" max="12802" width="30.5703125" style="2" customWidth="1"/>
    <col min="12803" max="12803" width="33.85546875" style="2" customWidth="1"/>
    <col min="12804" max="12804" width="5.140625" style="2" customWidth="1"/>
    <col min="12805" max="12806" width="17.5703125" style="2" customWidth="1"/>
    <col min="12807" max="13050" width="9.140625" style="2"/>
    <col min="13051" max="13051" width="3.5703125" style="2" customWidth="1"/>
    <col min="13052" max="13052" width="96.85546875" style="2" customWidth="1"/>
    <col min="13053" max="13053" width="30.85546875" style="2" customWidth="1"/>
    <col min="13054" max="13054" width="12.5703125" style="2" customWidth="1"/>
    <col min="13055" max="13055" width="5.140625" style="2" customWidth="1"/>
    <col min="13056" max="13056" width="9.140625" style="2"/>
    <col min="13057" max="13057" width="4.85546875" style="2" customWidth="1"/>
    <col min="13058" max="13058" width="30.5703125" style="2" customWidth="1"/>
    <col min="13059" max="13059" width="33.85546875" style="2" customWidth="1"/>
    <col min="13060" max="13060" width="5.140625" style="2" customWidth="1"/>
    <col min="13061" max="13062" width="17.5703125" style="2" customWidth="1"/>
    <col min="13063" max="13306" width="9.140625" style="2"/>
    <col min="13307" max="13307" width="3.5703125" style="2" customWidth="1"/>
    <col min="13308" max="13308" width="96.85546875" style="2" customWidth="1"/>
    <col min="13309" max="13309" width="30.85546875" style="2" customWidth="1"/>
    <col min="13310" max="13310" width="12.5703125" style="2" customWidth="1"/>
    <col min="13311" max="13311" width="5.140625" style="2" customWidth="1"/>
    <col min="13312" max="13312" width="9.140625" style="2"/>
    <col min="13313" max="13313" width="4.85546875" style="2" customWidth="1"/>
    <col min="13314" max="13314" width="30.5703125" style="2" customWidth="1"/>
    <col min="13315" max="13315" width="33.85546875" style="2" customWidth="1"/>
    <col min="13316" max="13316" width="5.140625" style="2" customWidth="1"/>
    <col min="13317" max="13318" width="17.5703125" style="2" customWidth="1"/>
    <col min="13319" max="13562" width="9.140625" style="2"/>
    <col min="13563" max="13563" width="3.5703125" style="2" customWidth="1"/>
    <col min="13564" max="13564" width="96.85546875" style="2" customWidth="1"/>
    <col min="13565" max="13565" width="30.85546875" style="2" customWidth="1"/>
    <col min="13566" max="13566" width="12.5703125" style="2" customWidth="1"/>
    <col min="13567" max="13567" width="5.140625" style="2" customWidth="1"/>
    <col min="13568" max="13568" width="9.140625" style="2"/>
    <col min="13569" max="13569" width="4.85546875" style="2" customWidth="1"/>
    <col min="13570" max="13570" width="30.5703125" style="2" customWidth="1"/>
    <col min="13571" max="13571" width="33.85546875" style="2" customWidth="1"/>
    <col min="13572" max="13572" width="5.140625" style="2" customWidth="1"/>
    <col min="13573" max="13574" width="17.5703125" style="2" customWidth="1"/>
    <col min="13575" max="13818" width="9.140625" style="2"/>
    <col min="13819" max="13819" width="3.5703125" style="2" customWidth="1"/>
    <col min="13820" max="13820" width="96.85546875" style="2" customWidth="1"/>
    <col min="13821" max="13821" width="30.85546875" style="2" customWidth="1"/>
    <col min="13822" max="13822" width="12.5703125" style="2" customWidth="1"/>
    <col min="13823" max="13823" width="5.140625" style="2" customWidth="1"/>
    <col min="13824" max="13824" width="9.140625" style="2"/>
    <col min="13825" max="13825" width="4.85546875" style="2" customWidth="1"/>
    <col min="13826" max="13826" width="30.5703125" style="2" customWidth="1"/>
    <col min="13827" max="13827" width="33.85546875" style="2" customWidth="1"/>
    <col min="13828" max="13828" width="5.140625" style="2" customWidth="1"/>
    <col min="13829" max="13830" width="17.5703125" style="2" customWidth="1"/>
    <col min="13831" max="14074" width="9.140625" style="2"/>
    <col min="14075" max="14075" width="3.5703125" style="2" customWidth="1"/>
    <col min="14076" max="14076" width="96.85546875" style="2" customWidth="1"/>
    <col min="14077" max="14077" width="30.85546875" style="2" customWidth="1"/>
    <col min="14078" max="14078" width="12.5703125" style="2" customWidth="1"/>
    <col min="14079" max="14079" width="5.140625" style="2" customWidth="1"/>
    <col min="14080" max="14080" width="9.140625" style="2"/>
    <col min="14081" max="14081" width="4.85546875" style="2" customWidth="1"/>
    <col min="14082" max="14082" width="30.5703125" style="2" customWidth="1"/>
    <col min="14083" max="14083" width="33.85546875" style="2" customWidth="1"/>
    <col min="14084" max="14084" width="5.140625" style="2" customWidth="1"/>
    <col min="14085" max="14086" width="17.5703125" style="2" customWidth="1"/>
    <col min="14087" max="14330" width="9.140625" style="2"/>
    <col min="14331" max="14331" width="3.5703125" style="2" customWidth="1"/>
    <col min="14332" max="14332" width="96.85546875" style="2" customWidth="1"/>
    <col min="14333" max="14333" width="30.85546875" style="2" customWidth="1"/>
    <col min="14334" max="14334" width="12.5703125" style="2" customWidth="1"/>
    <col min="14335" max="14335" width="5.140625" style="2" customWidth="1"/>
    <col min="14336" max="14336" width="9.140625" style="2"/>
    <col min="14337" max="14337" width="4.85546875" style="2" customWidth="1"/>
    <col min="14338" max="14338" width="30.5703125" style="2" customWidth="1"/>
    <col min="14339" max="14339" width="33.85546875" style="2" customWidth="1"/>
    <col min="14340" max="14340" width="5.140625" style="2" customWidth="1"/>
    <col min="14341" max="14342" width="17.5703125" style="2" customWidth="1"/>
    <col min="14343" max="14586" width="9.140625" style="2"/>
    <col min="14587" max="14587" width="3.5703125" style="2" customWidth="1"/>
    <col min="14588" max="14588" width="96.85546875" style="2" customWidth="1"/>
    <col min="14589" max="14589" width="30.85546875" style="2" customWidth="1"/>
    <col min="14590" max="14590" width="12.5703125" style="2" customWidth="1"/>
    <col min="14591" max="14591" width="5.140625" style="2" customWidth="1"/>
    <col min="14592" max="14592" width="9.140625" style="2"/>
    <col min="14593" max="14593" width="4.85546875" style="2" customWidth="1"/>
    <col min="14594" max="14594" width="30.5703125" style="2" customWidth="1"/>
    <col min="14595" max="14595" width="33.85546875" style="2" customWidth="1"/>
    <col min="14596" max="14596" width="5.140625" style="2" customWidth="1"/>
    <col min="14597" max="14598" width="17.5703125" style="2" customWidth="1"/>
    <col min="14599" max="14842" width="9.140625" style="2"/>
    <col min="14843" max="14843" width="3.5703125" style="2" customWidth="1"/>
    <col min="14844" max="14844" width="96.85546875" style="2" customWidth="1"/>
    <col min="14845" max="14845" width="30.85546875" style="2" customWidth="1"/>
    <col min="14846" max="14846" width="12.5703125" style="2" customWidth="1"/>
    <col min="14847" max="14847" width="5.140625" style="2" customWidth="1"/>
    <col min="14848" max="14848" width="9.140625" style="2"/>
    <col min="14849" max="14849" width="4.85546875" style="2" customWidth="1"/>
    <col min="14850" max="14850" width="30.5703125" style="2" customWidth="1"/>
    <col min="14851" max="14851" width="33.85546875" style="2" customWidth="1"/>
    <col min="14852" max="14852" width="5.140625" style="2" customWidth="1"/>
    <col min="14853" max="14854" width="17.5703125" style="2" customWidth="1"/>
    <col min="14855" max="15098" width="9.140625" style="2"/>
    <col min="15099" max="15099" width="3.5703125" style="2" customWidth="1"/>
    <col min="15100" max="15100" width="96.85546875" style="2" customWidth="1"/>
    <col min="15101" max="15101" width="30.85546875" style="2" customWidth="1"/>
    <col min="15102" max="15102" width="12.5703125" style="2" customWidth="1"/>
    <col min="15103" max="15103" width="5.140625" style="2" customWidth="1"/>
    <col min="15104" max="15104" width="9.140625" style="2"/>
    <col min="15105" max="15105" width="4.85546875" style="2" customWidth="1"/>
    <col min="15106" max="15106" width="30.5703125" style="2" customWidth="1"/>
    <col min="15107" max="15107" width="33.85546875" style="2" customWidth="1"/>
    <col min="15108" max="15108" width="5.140625" style="2" customWidth="1"/>
    <col min="15109" max="15110" width="17.5703125" style="2" customWidth="1"/>
    <col min="15111" max="15354" width="9.140625" style="2"/>
    <col min="15355" max="15355" width="3.5703125" style="2" customWidth="1"/>
    <col min="15356" max="15356" width="96.85546875" style="2" customWidth="1"/>
    <col min="15357" max="15357" width="30.85546875" style="2" customWidth="1"/>
    <col min="15358" max="15358" width="12.5703125" style="2" customWidth="1"/>
    <col min="15359" max="15359" width="5.140625" style="2" customWidth="1"/>
    <col min="15360" max="15360" width="9.140625" style="2"/>
    <col min="15361" max="15361" width="4.85546875" style="2" customWidth="1"/>
    <col min="15362" max="15362" width="30.5703125" style="2" customWidth="1"/>
    <col min="15363" max="15363" width="33.85546875" style="2" customWidth="1"/>
    <col min="15364" max="15364" width="5.140625" style="2" customWidth="1"/>
    <col min="15365" max="15366" width="17.5703125" style="2" customWidth="1"/>
    <col min="15367" max="15610" width="9.140625" style="2"/>
    <col min="15611" max="15611" width="3.5703125" style="2" customWidth="1"/>
    <col min="15612" max="15612" width="96.85546875" style="2" customWidth="1"/>
    <col min="15613" max="15613" width="30.85546875" style="2" customWidth="1"/>
    <col min="15614" max="15614" width="12.5703125" style="2" customWidth="1"/>
    <col min="15615" max="15615" width="5.140625" style="2" customWidth="1"/>
    <col min="15616" max="15616" width="9.140625" style="2"/>
    <col min="15617" max="15617" width="4.85546875" style="2" customWidth="1"/>
    <col min="15618" max="15618" width="30.5703125" style="2" customWidth="1"/>
    <col min="15619" max="15619" width="33.85546875" style="2" customWidth="1"/>
    <col min="15620" max="15620" width="5.140625" style="2" customWidth="1"/>
    <col min="15621" max="15622" width="17.5703125" style="2" customWidth="1"/>
    <col min="15623" max="15866" width="9.140625" style="2"/>
    <col min="15867" max="15867" width="3.5703125" style="2" customWidth="1"/>
    <col min="15868" max="15868" width="96.85546875" style="2" customWidth="1"/>
    <col min="15869" max="15869" width="30.85546875" style="2" customWidth="1"/>
    <col min="15870" max="15870" width="12.5703125" style="2" customWidth="1"/>
    <col min="15871" max="15871" width="5.140625" style="2" customWidth="1"/>
    <col min="15872" max="15872" width="9.140625" style="2"/>
    <col min="15873" max="15873" width="4.85546875" style="2" customWidth="1"/>
    <col min="15874" max="15874" width="30.5703125" style="2" customWidth="1"/>
    <col min="15875" max="15875" width="33.85546875" style="2" customWidth="1"/>
    <col min="15876" max="15876" width="5.140625" style="2" customWidth="1"/>
    <col min="15877" max="15878" width="17.5703125" style="2" customWidth="1"/>
    <col min="15879" max="16122" width="9.140625" style="2"/>
    <col min="16123" max="16123" width="3.5703125" style="2" customWidth="1"/>
    <col min="16124" max="16124" width="96.85546875" style="2" customWidth="1"/>
    <col min="16125" max="16125" width="30.85546875" style="2" customWidth="1"/>
    <col min="16126" max="16126" width="12.5703125" style="2" customWidth="1"/>
    <col min="16127" max="16127" width="5.140625" style="2" customWidth="1"/>
    <col min="16128" max="16128" width="9.140625" style="2"/>
    <col min="16129" max="16129" width="4.85546875" style="2" customWidth="1"/>
    <col min="16130" max="16130" width="30.5703125" style="2" customWidth="1"/>
    <col min="16131" max="16131" width="33.85546875" style="2" customWidth="1"/>
    <col min="16132" max="16132" width="5.140625" style="2" customWidth="1"/>
    <col min="16133" max="16134" width="17.5703125" style="2" customWidth="1"/>
    <col min="16135" max="16384" width="9.140625" style="2"/>
  </cols>
  <sheetData>
    <row r="1" spans="1:4" ht="48" customHeight="1">
      <c r="A1" s="1"/>
      <c r="B1" s="145" t="s">
        <v>0</v>
      </c>
      <c r="C1" s="145"/>
      <c r="D1" s="145"/>
    </row>
    <row r="2" spans="1:4">
      <c r="A2" s="3"/>
      <c r="B2" s="4" t="s">
        <v>1</v>
      </c>
      <c r="C2" s="5">
        <f ca="1">TODAY()</f>
        <v>44944</v>
      </c>
    </row>
    <row r="3" spans="1:4">
      <c r="A3" s="3"/>
      <c r="B3" s="6" t="s">
        <v>2</v>
      </c>
    </row>
    <row r="4" spans="1:4" ht="25.5">
      <c r="A4" s="8"/>
      <c r="B4" s="9" t="str">
        <f>[21]И1!D13</f>
        <v>Субъект Российской Федерации</v>
      </c>
      <c r="C4" s="10" t="str">
        <f>[21]И1!E13</f>
        <v>Новосибирская область</v>
      </c>
      <c r="D4" s="150"/>
    </row>
    <row r="5" spans="1:4">
      <c r="A5" s="8"/>
      <c r="B5" s="9" t="str">
        <f>[21]И1!D14</f>
        <v>Тип муниципального образования (выберите из списка)</v>
      </c>
      <c r="C5" s="10" t="str">
        <f>[21]И1!E14</f>
        <v>село Осиново</v>
      </c>
      <c r="D5" s="150"/>
    </row>
    <row r="6" spans="1:4">
      <c r="A6" s="8"/>
      <c r="B6" s="9" t="str">
        <f>IF([21]И1!E15="","",[21]И1!D15)</f>
        <v/>
      </c>
      <c r="C6" s="10" t="str">
        <f>IF([21]И1!E15="","",[21]И1!E15)</f>
        <v/>
      </c>
      <c r="D6" s="150"/>
    </row>
    <row r="7" spans="1:4">
      <c r="A7" s="8"/>
      <c r="B7" s="9" t="str">
        <f>[21]И1!D16</f>
        <v>Код ОКТМО</v>
      </c>
      <c r="C7" s="11" t="str">
        <f>[21]И1!E16</f>
        <v>50630431101</v>
      </c>
      <c r="D7" s="150"/>
    </row>
    <row r="8" spans="1:4">
      <c r="A8" s="8"/>
      <c r="B8" s="12" t="str">
        <f>[21]И1!D17</f>
        <v>Система теплоснабжения</v>
      </c>
      <c r="C8" s="13">
        <f>[21]И1!E17</f>
        <v>0</v>
      </c>
      <c r="D8" s="150"/>
    </row>
    <row r="9" spans="1:4">
      <c r="A9" s="8"/>
      <c r="B9" s="9" t="str">
        <f>[21]И1!D8</f>
        <v>Период регулирования (i)-й</v>
      </c>
      <c r="C9" s="14">
        <f>[21]И1!E8</f>
        <v>2023</v>
      </c>
      <c r="D9" s="150"/>
    </row>
    <row r="10" spans="1:4">
      <c r="A10" s="8"/>
      <c r="B10" s="9" t="str">
        <f>[21]И1!D9</f>
        <v>Период регулирования (i-1)-й</v>
      </c>
      <c r="C10" s="14">
        <f>[21]И1!E9</f>
        <v>2022</v>
      </c>
      <c r="D10" s="150"/>
    </row>
    <row r="11" spans="1:4">
      <c r="A11" s="8"/>
      <c r="B11" s="9" t="str">
        <f>[21]И1!D10</f>
        <v>Период регулирования (i-2)-й</v>
      </c>
      <c r="C11" s="14">
        <f>[21]И1!E10</f>
        <v>2021</v>
      </c>
      <c r="D11" s="150"/>
    </row>
    <row r="12" spans="1:4">
      <c r="A12" s="8"/>
      <c r="B12" s="9" t="str">
        <f>[21]И1!D11</f>
        <v>Базовый год (б)</v>
      </c>
      <c r="C12" s="14">
        <f>[21]И1!E11</f>
        <v>2019</v>
      </c>
      <c r="D12" s="150"/>
    </row>
    <row r="13" spans="1:4" ht="38.25">
      <c r="A13" s="8"/>
      <c r="B13" s="9" t="str">
        <f>[21]И1!D18</f>
        <v>Вид топлива, использование которого преобладает в системе теплоснабжения</v>
      </c>
      <c r="C13" s="15" t="str">
        <f>[21]С1.1!E13</f>
        <v>уголь (вид угля не указан в топливном балансе)</v>
      </c>
      <c r="D13" s="150"/>
    </row>
    <row r="14" spans="1:4" ht="31.7" customHeight="1" thickBot="1">
      <c r="A14" s="146" t="s">
        <v>3</v>
      </c>
      <c r="B14" s="146"/>
      <c r="C14" s="146"/>
    </row>
    <row r="15" spans="1:4">
      <c r="A15" s="16" t="s">
        <v>4</v>
      </c>
      <c r="B15" s="17" t="s">
        <v>5</v>
      </c>
      <c r="C15" s="18" t="s">
        <v>6</v>
      </c>
    </row>
    <row r="16" spans="1:4">
      <c r="A16" s="19">
        <v>1</v>
      </c>
      <c r="B16" s="20">
        <v>2</v>
      </c>
      <c r="C16" s="21">
        <v>3</v>
      </c>
    </row>
    <row r="17" spans="1:4">
      <c r="A17" s="22">
        <v>1</v>
      </c>
      <c r="B17" s="23" t="s">
        <v>7</v>
      </c>
      <c r="C17" s="24">
        <f>SUM(C18:C22)</f>
        <v>4197.393256755875</v>
      </c>
    </row>
    <row r="18" spans="1:4" ht="42.75">
      <c r="A18" s="22" t="s">
        <v>8</v>
      </c>
      <c r="B18" s="25" t="s">
        <v>9</v>
      </c>
      <c r="C18" s="26">
        <f>[21]С1!F12</f>
        <v>995.23664009414676</v>
      </c>
    </row>
    <row r="19" spans="1:4" ht="42.75">
      <c r="A19" s="22" t="s">
        <v>10</v>
      </c>
      <c r="B19" s="25" t="s">
        <v>11</v>
      </c>
      <c r="C19" s="26">
        <f>[21]С2!F12</f>
        <v>2116.2031761890698</v>
      </c>
    </row>
    <row r="20" spans="1:4" ht="30">
      <c r="A20" s="22" t="s">
        <v>12</v>
      </c>
      <c r="B20" s="25" t="s">
        <v>13</v>
      </c>
      <c r="C20" s="26">
        <f>[21]С3!F12</f>
        <v>506.5368696227419</v>
      </c>
    </row>
    <row r="21" spans="1:4" ht="42.75">
      <c r="A21" s="22" t="s">
        <v>14</v>
      </c>
      <c r="B21" s="25" t="s">
        <v>15</v>
      </c>
      <c r="C21" s="26">
        <f>[21]С4!F12</f>
        <v>497.11474228607511</v>
      </c>
    </row>
    <row r="22" spans="1:4" ht="30">
      <c r="A22" s="22" t="s">
        <v>16</v>
      </c>
      <c r="B22" s="25" t="s">
        <v>17</v>
      </c>
      <c r="C22" s="26">
        <f>[21]С5!F12</f>
        <v>82.301828563840687</v>
      </c>
    </row>
    <row r="23" spans="1:4" ht="43.5" thickBot="1">
      <c r="A23" s="27" t="s">
        <v>18</v>
      </c>
      <c r="B23" s="106" t="s">
        <v>19</v>
      </c>
      <c r="C23" s="29" t="str">
        <f>[21]С6!F12</f>
        <v>-</v>
      </c>
    </row>
    <row r="24" spans="1:4" ht="13.5" thickBot="1">
      <c r="A24" s="3"/>
    </row>
    <row r="25" spans="1:4">
      <c r="A25" s="16" t="s">
        <v>4</v>
      </c>
      <c r="B25" s="30" t="s">
        <v>5</v>
      </c>
      <c r="C25" s="31" t="s">
        <v>6</v>
      </c>
      <c r="D25" s="151" t="s">
        <v>259</v>
      </c>
    </row>
    <row r="26" spans="1:4">
      <c r="A26" s="19">
        <v>1</v>
      </c>
      <c r="B26" s="32">
        <v>2</v>
      </c>
      <c r="C26" s="33">
        <v>3</v>
      </c>
      <c r="D26" s="152">
        <v>4</v>
      </c>
    </row>
    <row r="27" spans="1:4" ht="30" customHeight="1">
      <c r="A27" s="22">
        <v>1</v>
      </c>
      <c r="B27" s="147" t="s">
        <v>20</v>
      </c>
      <c r="C27" s="147"/>
      <c r="D27" s="153"/>
    </row>
    <row r="28" spans="1:4">
      <c r="A28" s="22" t="s">
        <v>8</v>
      </c>
      <c r="B28" s="34" t="s">
        <v>21</v>
      </c>
      <c r="C28" s="35">
        <f>[21]С1.1!E16</f>
        <v>5100</v>
      </c>
      <c r="D28" s="154">
        <f>[21]С1.1!F16</f>
        <v>0</v>
      </c>
    </row>
    <row r="29" spans="1:4" ht="42.75">
      <c r="A29" s="22" t="s">
        <v>10</v>
      </c>
      <c r="B29" s="34" t="s">
        <v>22</v>
      </c>
      <c r="C29" s="35">
        <f>[21]С1.1!E27</f>
        <v>2676.0250000000001</v>
      </c>
      <c r="D29" s="154">
        <f>IF([21]С1.1!E23=[21]С1.1!I9,[21]С1.1!F24,IF([21]С1.1!E23=[21]С1.1!I10,[21]С1.1!I10,IF([21]С1.1!E23=[21]С1.1!I11,[21]С1.3!G9,IF([21]С1.1!E23=[21]С1.1!I12,[21]С1.1!F25,IF([21]С1.1!E23=[21]С1.1!I13,[21]С1.1!F26,"")))))</f>
        <v>0</v>
      </c>
    </row>
    <row r="30" spans="1:4" ht="267.75">
      <c r="A30" s="22" t="s">
        <v>12</v>
      </c>
      <c r="B30" s="34" t="s">
        <v>23</v>
      </c>
      <c r="C30" s="36">
        <f>[21]С1.1!E19</f>
        <v>0.59499999999999997</v>
      </c>
      <c r="D30" s="154" t="str">
        <f>[21]С1.1!F19</f>
        <v xml:space="preserve">Прогноз социально-экономического развития Российской Федерации на 2023 год и на плановый период 2024 и 2025 годов (размещен на официальном сайте Министерства экономического развития Российской Федерации (далее -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
    </row>
    <row r="31" spans="1:4" ht="229.5">
      <c r="A31" s="22" t="s">
        <v>14</v>
      </c>
      <c r="B31" s="34" t="s">
        <v>24</v>
      </c>
      <c r="C31" s="36">
        <f>[21]С1.1!E20</f>
        <v>-0.113</v>
      </c>
      <c r="D31" s="154" t="str">
        <f>[21]С1.1!F20</f>
        <v xml:space="preserve">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
    </row>
    <row r="32" spans="1:4" ht="30">
      <c r="A32" s="22" t="s">
        <v>16</v>
      </c>
      <c r="B32" s="37" t="s">
        <v>25</v>
      </c>
      <c r="C32" s="38">
        <f>[21]С1!F13</f>
        <v>176.4</v>
      </c>
      <c r="D32" s="155" t="s">
        <v>260</v>
      </c>
    </row>
    <row r="33" spans="1:4">
      <c r="A33" s="22" t="s">
        <v>18</v>
      </c>
      <c r="B33" s="37" t="s">
        <v>26</v>
      </c>
      <c r="C33" s="39">
        <f>[21]С1!F16</f>
        <v>7000</v>
      </c>
      <c r="D33" s="156" t="s">
        <v>261</v>
      </c>
    </row>
    <row r="34" spans="1:4" ht="14.25">
      <c r="A34" s="22" t="s">
        <v>27</v>
      </c>
      <c r="B34" s="40" t="s">
        <v>28</v>
      </c>
      <c r="C34" s="41">
        <f>[21]С1!F17</f>
        <v>0.72857142857142854</v>
      </c>
      <c r="D34" s="154"/>
    </row>
    <row r="35" spans="1:4" ht="15.75">
      <c r="A35" s="42" t="s">
        <v>29</v>
      </c>
      <c r="B35" s="43" t="s">
        <v>30</v>
      </c>
      <c r="C35" s="41">
        <f>[21]С1!F20</f>
        <v>21.588411179999994</v>
      </c>
      <c r="D35" s="154"/>
    </row>
    <row r="36" spans="1:4" ht="15.75">
      <c r="A36" s="42" t="s">
        <v>31</v>
      </c>
      <c r="B36" s="44" t="s">
        <v>32</v>
      </c>
      <c r="C36" s="41">
        <f>[21]С1!F21</f>
        <v>20.818139999999996</v>
      </c>
      <c r="D36" s="154"/>
    </row>
    <row r="37" spans="1:4" ht="14.25">
      <c r="A37" s="42" t="s">
        <v>33</v>
      </c>
      <c r="B37" s="45" t="s">
        <v>34</v>
      </c>
      <c r="C37" s="41">
        <f>[21]С1!F22</f>
        <v>1.0369999999999999</v>
      </c>
      <c r="D37" s="154" t="s">
        <v>262</v>
      </c>
    </row>
    <row r="38" spans="1:4" ht="53.25" thickBot="1">
      <c r="A38" s="27" t="s">
        <v>35</v>
      </c>
      <c r="B38" s="46" t="s">
        <v>36</v>
      </c>
      <c r="C38" s="47">
        <f>[21]С1!F23</f>
        <v>1.0469999999999999</v>
      </c>
      <c r="D38" s="157" t="s">
        <v>263</v>
      </c>
    </row>
    <row r="39" spans="1:4" ht="13.5" thickBot="1">
      <c r="A39" s="48"/>
      <c r="B39" s="49"/>
      <c r="C39" s="50"/>
      <c r="D39" s="158"/>
    </row>
    <row r="40" spans="1:4" ht="30" customHeight="1">
      <c r="A40" s="51" t="s">
        <v>37</v>
      </c>
      <c r="B40" s="142" t="s">
        <v>38</v>
      </c>
      <c r="C40" s="142"/>
      <c r="D40" s="159"/>
    </row>
    <row r="41" spans="1:4" ht="25.5">
      <c r="A41" s="22" t="s">
        <v>39</v>
      </c>
      <c r="B41" s="37" t="s">
        <v>40</v>
      </c>
      <c r="C41" s="52" t="str">
        <f>[21]С2.1!E12</f>
        <v>V</v>
      </c>
      <c r="D41" s="154" t="s">
        <v>264</v>
      </c>
    </row>
    <row r="42" spans="1:4" ht="242.25">
      <c r="A42" s="22" t="s">
        <v>41</v>
      </c>
      <c r="B42" s="34" t="s">
        <v>42</v>
      </c>
      <c r="C42" s="52" t="str">
        <f>[21]С2.1!E13</f>
        <v>6 и менее баллов</v>
      </c>
      <c r="D42" s="154" t="str">
        <f>[21]С2.1!F13</f>
        <v xml:space="preserve"> Приложение А (обязательное) "Общее сейсмическое районирование территории Российской Федерации ОСР-2015. Список населенных пунктов Российской Федерации, расположенных в сейсмических районах, с указанием расчетной сейсмической интенсивности в баллах шкалы MSK-64 для средних грунтовых условий и трех степеней сейсмической опасности - A (10%), B (5%), C (1%) в течение 50 лет" к своду правил "СП 14.13330.2018 Строительство в сейсмических районах. Актуализир. редакция СНиП II-7-81".</v>
      </c>
    </row>
    <row r="43" spans="1:4" ht="165.75">
      <c r="A43" s="22" t="s">
        <v>43</v>
      </c>
      <c r="B43" s="34" t="s">
        <v>44</v>
      </c>
      <c r="C43" s="52" t="str">
        <f>[21]С2.1!E14</f>
        <v>от 200 до 500</v>
      </c>
      <c r="D43" s="154" t="str">
        <f>[21]С2.1!F14</f>
        <v>Карта Российской Федерации в масштабе, позволяющем определить расстояние на транспортировку основных средств котельной, определяется как расстояние от границы системы теплоснабжения до границы ближайшего административного центра субъекта РФ с железнодорожным сообщением</v>
      </c>
    </row>
    <row r="44" spans="1:4" ht="25.5">
      <c r="A44" s="22" t="s">
        <v>45</v>
      </c>
      <c r="B44" s="34" t="s">
        <v>46</v>
      </c>
      <c r="C44" s="53" t="str">
        <f>[21]С2.1!E15</f>
        <v>нет</v>
      </c>
      <c r="D44" s="154">
        <f>[21]С2.1!F15</f>
        <v>0</v>
      </c>
    </row>
    <row r="45" spans="1:4" ht="30">
      <c r="A45" s="22" t="s">
        <v>47</v>
      </c>
      <c r="B45" s="34" t="s">
        <v>48</v>
      </c>
      <c r="C45" s="35">
        <f>[21]С2!F18</f>
        <v>32402.627334033532</v>
      </c>
      <c r="D45" s="155"/>
    </row>
    <row r="46" spans="1:4" ht="30">
      <c r="A46" s="22" t="s">
        <v>49</v>
      </c>
      <c r="B46" s="54" t="s">
        <v>50</v>
      </c>
      <c r="C46" s="35">
        <f>IF([21]С2!F19&gt;0,[21]С2!F19,[21]С2!F20)</f>
        <v>23441.524932855718</v>
      </c>
      <c r="D46" s="154"/>
    </row>
    <row r="47" spans="1:4" ht="38.25">
      <c r="A47" s="22" t="s">
        <v>51</v>
      </c>
      <c r="B47" s="55" t="s">
        <v>52</v>
      </c>
      <c r="C47" s="35">
        <f>[21]С2.1!E19</f>
        <v>-38</v>
      </c>
      <c r="D47" s="154" t="str">
        <f>CONCATENATE([21]С2.1!F19,"  ",[21]С2.1!F20)</f>
        <v xml:space="preserve">Схема теплоснабжения (расчетная температура наружного воздуха)  </v>
      </c>
    </row>
    <row r="48" spans="1:4" ht="25.5">
      <c r="A48" s="22" t="s">
        <v>53</v>
      </c>
      <c r="B48" s="55" t="s">
        <v>54</v>
      </c>
      <c r="C48" s="35" t="str">
        <f>[21]С2.1!E22</f>
        <v>нет</v>
      </c>
      <c r="D48" s="160">
        <f>[21]С2.1!F22</f>
        <v>0</v>
      </c>
    </row>
    <row r="49" spans="1:4" ht="38.25">
      <c r="A49" s="22" t="s">
        <v>55</v>
      </c>
      <c r="B49" s="56" t="s">
        <v>56</v>
      </c>
      <c r="C49" s="35">
        <f>[21]С2.2!E10</f>
        <v>1287</v>
      </c>
      <c r="D49" s="154" t="s">
        <v>265</v>
      </c>
    </row>
    <row r="50" spans="1:4" ht="25.5">
      <c r="A50" s="22" t="s">
        <v>57</v>
      </c>
      <c r="B50" s="57" t="s">
        <v>58</v>
      </c>
      <c r="C50" s="35">
        <f>[21]С2.2!E12</f>
        <v>5.97</v>
      </c>
      <c r="D50" s="154" t="s">
        <v>266</v>
      </c>
    </row>
    <row r="51" spans="1:4" ht="52.5">
      <c r="A51" s="22" t="s">
        <v>59</v>
      </c>
      <c r="B51" s="58" t="s">
        <v>60</v>
      </c>
      <c r="C51" s="35">
        <f>[21]С2.2!E13</f>
        <v>1</v>
      </c>
      <c r="D51" s="156" t="s">
        <v>261</v>
      </c>
    </row>
    <row r="52" spans="1:4" ht="27.75">
      <c r="A52" s="22" t="s">
        <v>61</v>
      </c>
      <c r="B52" s="57" t="s">
        <v>62</v>
      </c>
      <c r="C52" s="35">
        <f>[21]С2.2!E14</f>
        <v>12104</v>
      </c>
      <c r="D52" s="154" t="s">
        <v>265</v>
      </c>
    </row>
    <row r="53" spans="1:4" ht="63.75">
      <c r="A53" s="22" t="s">
        <v>63</v>
      </c>
      <c r="B53" s="58" t="s">
        <v>64</v>
      </c>
      <c r="C53" s="36">
        <f>[21]С2.2!E15</f>
        <v>4.8000000000000001E-2</v>
      </c>
      <c r="D53" s="154" t="s">
        <v>267</v>
      </c>
    </row>
    <row r="54" spans="1:4" ht="76.5">
      <c r="A54" s="22" t="s">
        <v>65</v>
      </c>
      <c r="B54" s="58" t="s">
        <v>66</v>
      </c>
      <c r="C54" s="35">
        <f>[21]С2.2!E16</f>
        <v>1</v>
      </c>
      <c r="D54" s="154" t="s">
        <v>268</v>
      </c>
    </row>
    <row r="55" spans="1:4" ht="15.75">
      <c r="A55" s="22" t="s">
        <v>67</v>
      </c>
      <c r="B55" s="59" t="s">
        <v>68</v>
      </c>
      <c r="C55" s="35">
        <f>[21]С2!F21</f>
        <v>1</v>
      </c>
      <c r="D55" s="155" t="s">
        <v>269</v>
      </c>
    </row>
    <row r="56" spans="1:4" ht="30">
      <c r="A56" s="60" t="s">
        <v>69</v>
      </c>
      <c r="B56" s="34" t="s">
        <v>70</v>
      </c>
      <c r="C56" s="35">
        <f>[21]С2!F13</f>
        <v>169640.22915965237</v>
      </c>
      <c r="D56" s="155"/>
    </row>
    <row r="57" spans="1:4" ht="30">
      <c r="A57" s="60" t="s">
        <v>71</v>
      </c>
      <c r="B57" s="59" t="s">
        <v>72</v>
      </c>
      <c r="C57" s="35">
        <f>[21]С2!F14</f>
        <v>113455</v>
      </c>
      <c r="D57" s="155" t="s">
        <v>260</v>
      </c>
    </row>
    <row r="58" spans="1:4" ht="15.75">
      <c r="A58" s="60" t="s">
        <v>73</v>
      </c>
      <c r="B58" s="61" t="s">
        <v>74</v>
      </c>
      <c r="C58" s="41">
        <f>[21]С2!F15</f>
        <v>1.071</v>
      </c>
      <c r="D58" s="155" t="s">
        <v>270</v>
      </c>
    </row>
    <row r="59" spans="1:4" ht="15.75">
      <c r="A59" s="60" t="s">
        <v>75</v>
      </c>
      <c r="B59" s="61" t="s">
        <v>76</v>
      </c>
      <c r="C59" s="41">
        <f>[21]С2!F16</f>
        <v>1</v>
      </c>
      <c r="D59" s="155" t="s">
        <v>269</v>
      </c>
    </row>
    <row r="60" spans="1:4" ht="17.25">
      <c r="A60" s="60" t="s">
        <v>77</v>
      </c>
      <c r="B60" s="59" t="s">
        <v>78</v>
      </c>
      <c r="C60" s="35">
        <f>[21]С2!F17</f>
        <v>1.01</v>
      </c>
      <c r="D60" s="155" t="s">
        <v>271</v>
      </c>
    </row>
    <row r="61" spans="1:4" s="64" customFormat="1" ht="14.25">
      <c r="A61" s="60" t="s">
        <v>79</v>
      </c>
      <c r="B61" s="62" t="s">
        <v>80</v>
      </c>
      <c r="C61" s="63">
        <f>[21]С2!F33</f>
        <v>10</v>
      </c>
      <c r="D61" s="155" t="s">
        <v>272</v>
      </c>
    </row>
    <row r="62" spans="1:4" ht="30">
      <c r="A62" s="60" t="s">
        <v>81</v>
      </c>
      <c r="B62" s="65" t="s">
        <v>82</v>
      </c>
      <c r="C62" s="35">
        <f>[21]С2!F26</f>
        <v>2274.3932248182782</v>
      </c>
      <c r="D62" s="155"/>
    </row>
    <row r="63" spans="1:4" ht="165.75">
      <c r="A63" s="60" t="s">
        <v>83</v>
      </c>
      <c r="B63" s="54" t="s">
        <v>84</v>
      </c>
      <c r="C63" s="35">
        <f>[21]С2!F27</f>
        <v>0.391761629</v>
      </c>
      <c r="D63" s="154" t="str">
        <f>[21]С2.4!F12</f>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
    </row>
    <row r="64" spans="1:4" ht="17.25">
      <c r="A64" s="60" t="s">
        <v>85</v>
      </c>
      <c r="B64" s="59" t="s">
        <v>86</v>
      </c>
      <c r="C64" s="63">
        <f>[21]С2!F28</f>
        <v>4200</v>
      </c>
      <c r="D64" s="155" t="s">
        <v>260</v>
      </c>
    </row>
    <row r="65" spans="1:4" ht="42.75">
      <c r="A65" s="60" t="s">
        <v>87</v>
      </c>
      <c r="B65" s="34" t="s">
        <v>88</v>
      </c>
      <c r="C65" s="35">
        <f>[21]С2!F22</f>
        <v>35717.748653137714</v>
      </c>
      <c r="D65" s="155"/>
    </row>
    <row r="66" spans="1:4" ht="30">
      <c r="A66" s="60" t="s">
        <v>89</v>
      </c>
      <c r="B66" s="61" t="s">
        <v>90</v>
      </c>
      <c r="C66" s="35">
        <f>[21]С2!F23</f>
        <v>1990</v>
      </c>
      <c r="D66" s="154" t="s">
        <v>273</v>
      </c>
    </row>
    <row r="67" spans="1:4" ht="30">
      <c r="A67" s="60" t="s">
        <v>91</v>
      </c>
      <c r="B67" s="54" t="s">
        <v>92</v>
      </c>
      <c r="C67" s="35">
        <f>[21]С2.1!E27</f>
        <v>14307.876789999998</v>
      </c>
      <c r="D67" s="155"/>
    </row>
    <row r="68" spans="1:4" ht="38.25">
      <c r="A68" s="60" t="s">
        <v>93</v>
      </c>
      <c r="B68" s="66" t="s">
        <v>94</v>
      </c>
      <c r="C68" s="53">
        <f>[21]С2.3!E21</f>
        <v>0</v>
      </c>
      <c r="D68" s="154">
        <f>[21]С2.3!F21</f>
        <v>0</v>
      </c>
    </row>
    <row r="69" spans="1:4" ht="25.5">
      <c r="A69" s="60" t="s">
        <v>95</v>
      </c>
      <c r="B69" s="67" t="s">
        <v>96</v>
      </c>
      <c r="C69" s="68">
        <f>[21]С2.3!E11</f>
        <v>9.89</v>
      </c>
      <c r="D69" s="155" t="s">
        <v>274</v>
      </c>
    </row>
    <row r="70" spans="1:4" ht="25.5">
      <c r="A70" s="60" t="s">
        <v>97</v>
      </c>
      <c r="B70" s="67" t="s">
        <v>98</v>
      </c>
      <c r="C70" s="63">
        <f>[21]С2.3!E13</f>
        <v>300</v>
      </c>
      <c r="D70" s="155" t="s">
        <v>274</v>
      </c>
    </row>
    <row r="71" spans="1:4" ht="25.5">
      <c r="A71" s="60" t="s">
        <v>99</v>
      </c>
      <c r="B71" s="66" t="s">
        <v>100</v>
      </c>
      <c r="C71" s="69">
        <f>IF([21]С2.3!E22&gt;0,[21]С2.3!E22,[21]С2.3!E14)</f>
        <v>61211</v>
      </c>
      <c r="D71" s="154" t="str">
        <f>IF(C71=[21]С2.3!E14,"Таблица ТЭП (IV)",[21]С2.3!F22)</f>
        <v>Таблица ТЭП (IV)</v>
      </c>
    </row>
    <row r="72" spans="1:4" ht="38.25">
      <c r="A72" s="60" t="s">
        <v>101</v>
      </c>
      <c r="B72" s="66" t="s">
        <v>102</v>
      </c>
      <c r="C72" s="69">
        <f>IF([21]С2.3!E23&gt;0,[21]С2.3!E23,[21]С2.3!E15)</f>
        <v>45675</v>
      </c>
      <c r="D72" s="154" t="str">
        <f>IF(C72=[21]С2.3!E15,"Таблица ТЭП (IV)",[21]С2.3!F23)</f>
        <v>Таблица ТЭП (IV)</v>
      </c>
    </row>
    <row r="73" spans="1:4" ht="30">
      <c r="A73" s="60" t="s">
        <v>103</v>
      </c>
      <c r="B73" s="54" t="s">
        <v>104</v>
      </c>
      <c r="C73" s="35">
        <f>[21]С2.1!E28</f>
        <v>9541.9567200000001</v>
      </c>
      <c r="D73" s="155"/>
    </row>
    <row r="74" spans="1:4" ht="38.25">
      <c r="A74" s="60" t="s">
        <v>105</v>
      </c>
      <c r="B74" s="66" t="s">
        <v>106</v>
      </c>
      <c r="C74" s="53">
        <f>[21]С2.3!E25</f>
        <v>0</v>
      </c>
      <c r="D74" s="154">
        <f>[21]С2.3!F25</f>
        <v>0</v>
      </c>
    </row>
    <row r="75" spans="1:4" ht="25.5">
      <c r="A75" s="60" t="s">
        <v>107</v>
      </c>
      <c r="B75" s="67" t="s">
        <v>108</v>
      </c>
      <c r="C75" s="68">
        <f>[21]С2.3!E12</f>
        <v>0.56000000000000005</v>
      </c>
      <c r="D75" s="155" t="s">
        <v>274</v>
      </c>
    </row>
    <row r="76" spans="1:4" ht="25.5">
      <c r="A76" s="60" t="s">
        <v>109</v>
      </c>
      <c r="B76" s="67" t="s">
        <v>98</v>
      </c>
      <c r="C76" s="63">
        <f>[21]С2.3!E13</f>
        <v>300</v>
      </c>
      <c r="D76" s="155" t="s">
        <v>274</v>
      </c>
    </row>
    <row r="77" spans="1:4" ht="25.5">
      <c r="A77" s="60" t="s">
        <v>110</v>
      </c>
      <c r="B77" s="70" t="s">
        <v>111</v>
      </c>
      <c r="C77" s="69">
        <f>IF([21]С2.3!E26&gt;0,[21]С2.3!E26,[21]С2.3!E16)</f>
        <v>65637</v>
      </c>
      <c r="D77" s="154" t="str">
        <f>IF(C77=[21]С2.3!E16,"Таблица ТЭП (IV)",[21]С2.3!F26)</f>
        <v>Таблица ТЭП (IV)</v>
      </c>
    </row>
    <row r="78" spans="1:4" ht="38.25">
      <c r="A78" s="60" t="s">
        <v>112</v>
      </c>
      <c r="B78" s="70" t="s">
        <v>113</v>
      </c>
      <c r="C78" s="69">
        <f>IF([21]С2.3!E27&gt;0,[21]С2.3!E27,[21]С2.3!E17)</f>
        <v>31684</v>
      </c>
      <c r="D78" s="154" t="str">
        <f>IF(C78=[21]С2.3!E17,"Таблица ТЭП (IV)",[21]С2.3!F27)</f>
        <v>Таблица ТЭП (IV)</v>
      </c>
    </row>
    <row r="79" spans="1:4" ht="17.25">
      <c r="A79" s="60" t="s">
        <v>114</v>
      </c>
      <c r="B79" s="34" t="s">
        <v>115</v>
      </c>
      <c r="C79" s="36">
        <f>[21]С2!F29</f>
        <v>0.128978033685065</v>
      </c>
      <c r="D79" s="161"/>
    </row>
    <row r="80" spans="1:4" ht="30">
      <c r="A80" s="60" t="s">
        <v>116</v>
      </c>
      <c r="B80" s="54" t="s">
        <v>117</v>
      </c>
      <c r="C80" s="71">
        <f>[21]С2!F30</f>
        <v>0.11668498168498169</v>
      </c>
      <c r="D80" s="162" t="str">
        <f>[21]С2.6!G11</f>
        <v>Информация с официального сайта Банка России</v>
      </c>
    </row>
    <row r="81" spans="1:4" ht="17.25">
      <c r="A81" s="60" t="s">
        <v>118</v>
      </c>
      <c r="B81" s="72" t="s">
        <v>119</v>
      </c>
      <c r="C81" s="36">
        <f>[21]С2!F31</f>
        <v>0.13880000000000001</v>
      </c>
      <c r="D81" s="155" t="s">
        <v>272</v>
      </c>
    </row>
    <row r="82" spans="1:4" s="64" customFormat="1" ht="18" thickBot="1">
      <c r="A82" s="73" t="s">
        <v>120</v>
      </c>
      <c r="B82" s="74" t="s">
        <v>121</v>
      </c>
      <c r="C82" s="75">
        <f>[21]С2!F32</f>
        <v>0.12640000000000001</v>
      </c>
      <c r="D82" s="163" t="s">
        <v>272</v>
      </c>
    </row>
    <row r="83" spans="1:4" ht="13.5" thickBot="1">
      <c r="A83" s="48"/>
      <c r="B83" s="76"/>
      <c r="C83" s="15"/>
      <c r="D83" s="164"/>
    </row>
    <row r="84" spans="1:4" s="64" customFormat="1" ht="30" customHeight="1">
      <c r="A84" s="77" t="s">
        <v>122</v>
      </c>
      <c r="B84" s="142" t="s">
        <v>123</v>
      </c>
      <c r="C84" s="142"/>
      <c r="D84" s="159"/>
    </row>
    <row r="85" spans="1:4" s="64" customFormat="1" ht="30">
      <c r="A85" s="78" t="s">
        <v>124</v>
      </c>
      <c r="B85" s="34" t="s">
        <v>125</v>
      </c>
      <c r="C85" s="35">
        <f>[21]С3!F14</f>
        <v>7051.1767451401192</v>
      </c>
      <c r="D85" s="154"/>
    </row>
    <row r="86" spans="1:4" s="64" customFormat="1" ht="42.75">
      <c r="A86" s="78" t="s">
        <v>126</v>
      </c>
      <c r="B86" s="54" t="s">
        <v>127</v>
      </c>
      <c r="C86" s="79">
        <f>[21]С3!F15</f>
        <v>0.2</v>
      </c>
      <c r="D86" s="154">
        <f>[21]С3.1!F12</f>
        <v>0</v>
      </c>
    </row>
    <row r="87" spans="1:4" s="64" customFormat="1" ht="14.25">
      <c r="A87" s="78" t="s">
        <v>128</v>
      </c>
      <c r="B87" s="80" t="s">
        <v>129</v>
      </c>
      <c r="C87" s="63">
        <f>[21]С3!F18</f>
        <v>15</v>
      </c>
      <c r="D87" s="154" t="s">
        <v>272</v>
      </c>
    </row>
    <row r="88" spans="1:4" s="64" customFormat="1" ht="17.25">
      <c r="A88" s="78" t="s">
        <v>130</v>
      </c>
      <c r="B88" s="34" t="s">
        <v>131</v>
      </c>
      <c r="C88" s="35">
        <f>[21]С3!F19</f>
        <v>3487.1555421534131</v>
      </c>
      <c r="D88" s="154"/>
    </row>
    <row r="89" spans="1:4" s="64" customFormat="1" ht="55.5">
      <c r="A89" s="78" t="s">
        <v>132</v>
      </c>
      <c r="B89" s="54" t="s">
        <v>133</v>
      </c>
      <c r="C89" s="81">
        <f>[21]С3!F20</f>
        <v>2.1999999999999999E-2</v>
      </c>
      <c r="D89" s="154">
        <f>[21]С3.1!F13</f>
        <v>0</v>
      </c>
    </row>
    <row r="90" spans="1:4" s="64" customFormat="1" ht="14.25">
      <c r="A90" s="78" t="s">
        <v>134</v>
      </c>
      <c r="B90" s="59" t="s">
        <v>80</v>
      </c>
      <c r="C90" s="63">
        <f>[21]С3!F21</f>
        <v>10</v>
      </c>
      <c r="D90" s="154" t="s">
        <v>272</v>
      </c>
    </row>
    <row r="91" spans="1:4" s="64" customFormat="1" ht="17.25">
      <c r="A91" s="78" t="s">
        <v>135</v>
      </c>
      <c r="B91" s="34" t="s">
        <v>136</v>
      </c>
      <c r="C91" s="35">
        <f>[21]С3!F22</f>
        <v>6.8231796744548348</v>
      </c>
      <c r="D91" s="154"/>
    </row>
    <row r="92" spans="1:4" s="64" customFormat="1" ht="55.5">
      <c r="A92" s="78" t="s">
        <v>137</v>
      </c>
      <c r="B92" s="54" t="s">
        <v>138</v>
      </c>
      <c r="C92" s="81">
        <f>[21]С3!F23</f>
        <v>3.0000000000000001E-3</v>
      </c>
      <c r="D92" s="154">
        <f>[21]С3.1!F14</f>
        <v>0</v>
      </c>
    </row>
    <row r="93" spans="1:4" s="64" customFormat="1" ht="27.75" thickBot="1">
      <c r="A93" s="82" t="s">
        <v>139</v>
      </c>
      <c r="B93" s="83" t="s">
        <v>140</v>
      </c>
      <c r="C93" s="84">
        <f>[21]С3!F24</f>
        <v>2274.3932248182782</v>
      </c>
      <c r="D93" s="157"/>
    </row>
    <row r="94" spans="1:4" ht="13.5" thickBot="1">
      <c r="A94" s="48"/>
      <c r="B94" s="76"/>
      <c r="C94" s="15"/>
      <c r="D94" s="164"/>
    </row>
    <row r="95" spans="1:4" ht="30" customHeight="1">
      <c r="A95" s="85" t="s">
        <v>141</v>
      </c>
      <c r="B95" s="142" t="s">
        <v>142</v>
      </c>
      <c r="C95" s="142"/>
      <c r="D95" s="159"/>
    </row>
    <row r="96" spans="1:4" ht="30">
      <c r="A96" s="60" t="s">
        <v>143</v>
      </c>
      <c r="B96" s="34" t="s">
        <v>144</v>
      </c>
      <c r="C96" s="35">
        <f>[21]С4!F16</f>
        <v>1652.5</v>
      </c>
      <c r="D96" s="154"/>
    </row>
    <row r="97" spans="1:4" ht="30">
      <c r="A97" s="60" t="s">
        <v>145</v>
      </c>
      <c r="B97" s="59" t="s">
        <v>146</v>
      </c>
      <c r="C97" s="35">
        <f>[21]С4!F17</f>
        <v>73547</v>
      </c>
      <c r="D97" s="154" t="s">
        <v>260</v>
      </c>
    </row>
    <row r="98" spans="1:4" ht="17.25">
      <c r="A98" s="60" t="s">
        <v>147</v>
      </c>
      <c r="B98" s="59" t="s">
        <v>148</v>
      </c>
      <c r="C98" s="41">
        <f>[21]С4!F18</f>
        <v>0.02</v>
      </c>
      <c r="D98" s="154" t="s">
        <v>260</v>
      </c>
    </row>
    <row r="99" spans="1:4" ht="30">
      <c r="A99" s="60" t="s">
        <v>149</v>
      </c>
      <c r="B99" s="59" t="s">
        <v>150</v>
      </c>
      <c r="C99" s="35">
        <f>[21]С4!F19</f>
        <v>12104</v>
      </c>
      <c r="D99" s="154" t="s">
        <v>275</v>
      </c>
    </row>
    <row r="100" spans="1:4" ht="31.5">
      <c r="A100" s="60" t="s">
        <v>151</v>
      </c>
      <c r="B100" s="59" t="s">
        <v>152</v>
      </c>
      <c r="C100" s="41">
        <f>[21]С4!F20</f>
        <v>1.4999999999999999E-2</v>
      </c>
      <c r="D100" s="154" t="s">
        <v>275</v>
      </c>
    </row>
    <row r="101" spans="1:4" ht="30">
      <c r="A101" s="60" t="s">
        <v>153</v>
      </c>
      <c r="B101" s="34" t="s">
        <v>154</v>
      </c>
      <c r="C101" s="35">
        <f>[21]С4!F21</f>
        <v>1933.1949342509995</v>
      </c>
      <c r="D101" s="154"/>
    </row>
    <row r="102" spans="1:4" ht="24" customHeight="1">
      <c r="A102" s="60" t="s">
        <v>155</v>
      </c>
      <c r="B102" s="54" t="s">
        <v>156</v>
      </c>
      <c r="C102" s="86">
        <f>IF([21]С4.2!F8="да",[21]С4.2!D21,[21]С4.2!D15)</f>
        <v>0</v>
      </c>
      <c r="D102" s="154"/>
    </row>
    <row r="103" spans="1:4" ht="68.25">
      <c r="A103" s="60" t="s">
        <v>157</v>
      </c>
      <c r="B103" s="54" t="s">
        <v>158</v>
      </c>
      <c r="C103" s="35">
        <f>[21]С4!F22</f>
        <v>3.6112641666666665</v>
      </c>
      <c r="D103" s="154">
        <f>IF([21]С4.2!F8="да",[21]С4.2!E21,[21]С4.2!E15)</f>
        <v>0</v>
      </c>
    </row>
    <row r="104" spans="1:4" ht="30">
      <c r="A104" s="60" t="s">
        <v>159</v>
      </c>
      <c r="B104" s="59" t="s">
        <v>160</v>
      </c>
      <c r="C104" s="35">
        <f>[21]С4!F23</f>
        <v>180</v>
      </c>
      <c r="D104" s="154" t="s">
        <v>273</v>
      </c>
    </row>
    <row r="105" spans="1:4" ht="14.25">
      <c r="A105" s="60" t="s">
        <v>161</v>
      </c>
      <c r="B105" s="54" t="s">
        <v>162</v>
      </c>
      <c r="C105" s="35">
        <f>[21]С4!F24</f>
        <v>8497.1999999999989</v>
      </c>
      <c r="D105" s="154" t="s">
        <v>260</v>
      </c>
    </row>
    <row r="106" spans="1:4" ht="14.25">
      <c r="A106" s="60" t="s">
        <v>163</v>
      </c>
      <c r="B106" s="59" t="s">
        <v>164</v>
      </c>
      <c r="C106" s="41">
        <f>[21]С4!F25</f>
        <v>0.35</v>
      </c>
      <c r="D106" s="154" t="s">
        <v>276</v>
      </c>
    </row>
    <row r="107" spans="1:4" ht="17.25">
      <c r="A107" s="60" t="s">
        <v>165</v>
      </c>
      <c r="B107" s="34" t="s">
        <v>166</v>
      </c>
      <c r="C107" s="35">
        <f>[21]С4!F26</f>
        <v>97.658160000000009</v>
      </c>
      <c r="D107" s="154"/>
    </row>
    <row r="108" spans="1:4" ht="25.5">
      <c r="A108" s="60" t="s">
        <v>167</v>
      </c>
      <c r="B108" s="54" t="s">
        <v>94</v>
      </c>
      <c r="C108" s="86">
        <f>[21]С4.3!E16</f>
        <v>0</v>
      </c>
      <c r="D108" s="154">
        <f>[21]С4.3!F16</f>
        <v>0</v>
      </c>
    </row>
    <row r="109" spans="1:4" ht="25.5">
      <c r="A109" s="60" t="s">
        <v>168</v>
      </c>
      <c r="B109" s="54" t="s">
        <v>169</v>
      </c>
      <c r="C109" s="35">
        <f>[21]С4.3!E17</f>
        <v>26.92</v>
      </c>
      <c r="D109" s="160">
        <f>[21]С4.3!F17</f>
        <v>0</v>
      </c>
    </row>
    <row r="110" spans="1:4" ht="38.25">
      <c r="A110" s="60" t="s">
        <v>170</v>
      </c>
      <c r="B110" s="54" t="s">
        <v>106</v>
      </c>
      <c r="C110" s="86">
        <f>[21]С4.3!E18</f>
        <v>0</v>
      </c>
      <c r="D110" s="154">
        <f>[21]С4.3!F18</f>
        <v>0</v>
      </c>
    </row>
    <row r="111" spans="1:4">
      <c r="A111" s="60" t="s">
        <v>171</v>
      </c>
      <c r="B111" s="54" t="s">
        <v>172</v>
      </c>
      <c r="C111" s="35">
        <f>[21]С4.3!E19</f>
        <v>15.93</v>
      </c>
      <c r="D111" s="160">
        <f>[21]С4.3!F19</f>
        <v>0</v>
      </c>
    </row>
    <row r="112" spans="1:4">
      <c r="A112" s="60" t="s">
        <v>173</v>
      </c>
      <c r="B112" s="59" t="s">
        <v>174</v>
      </c>
      <c r="C112" s="35">
        <f>[21]С4.3!E11</f>
        <v>1871</v>
      </c>
      <c r="D112" s="154" t="s">
        <v>260</v>
      </c>
    </row>
    <row r="113" spans="1:4">
      <c r="A113" s="60" t="s">
        <v>175</v>
      </c>
      <c r="B113" s="59" t="s">
        <v>176</v>
      </c>
      <c r="C113" s="53">
        <f>[21]С4.3!E12</f>
        <v>1636</v>
      </c>
      <c r="D113" s="154" t="s">
        <v>260</v>
      </c>
    </row>
    <row r="114" spans="1:4">
      <c r="A114" s="60" t="s">
        <v>177</v>
      </c>
      <c r="B114" s="59" t="s">
        <v>178</v>
      </c>
      <c r="C114" s="53">
        <f>[21]С4.3!E13</f>
        <v>204</v>
      </c>
      <c r="D114" s="154" t="s">
        <v>260</v>
      </c>
    </row>
    <row r="115" spans="1:4" ht="30">
      <c r="A115" s="60" t="s">
        <v>179</v>
      </c>
      <c r="B115" s="34" t="s">
        <v>180</v>
      </c>
      <c r="C115" s="35">
        <f>[21]С4!F27</f>
        <v>2164.8316773434499</v>
      </c>
      <c r="D115" s="154"/>
    </row>
    <row r="116" spans="1:4" ht="25.5">
      <c r="A116" s="60" t="s">
        <v>181</v>
      </c>
      <c r="B116" s="54" t="s">
        <v>182</v>
      </c>
      <c r="C116" s="35">
        <f>[21]С4!F28</f>
        <v>1662.6971408167815</v>
      </c>
      <c r="D116" s="160"/>
    </row>
    <row r="117" spans="1:4" ht="42.75">
      <c r="A117" s="60" t="s">
        <v>183</v>
      </c>
      <c r="B117" s="54" t="s">
        <v>184</v>
      </c>
      <c r="C117" s="35">
        <f>[21]С4!F29</f>
        <v>502.13453652666817</v>
      </c>
      <c r="D117" s="154"/>
    </row>
    <row r="118" spans="1:4" ht="30">
      <c r="A118" s="60" t="s">
        <v>185</v>
      </c>
      <c r="B118" s="40" t="s">
        <v>186</v>
      </c>
      <c r="C118" s="35">
        <f>[21]С4!F30</f>
        <v>2265.2063280480811</v>
      </c>
      <c r="D118" s="154"/>
    </row>
    <row r="119" spans="1:4" ht="42.75">
      <c r="A119" s="60" t="s">
        <v>187</v>
      </c>
      <c r="B119" s="87" t="s">
        <v>188</v>
      </c>
      <c r="C119" s="35">
        <f>[21]С4!F33</f>
        <v>1467.3689804626692</v>
      </c>
      <c r="D119" s="154"/>
    </row>
    <row r="120" spans="1:4" ht="30">
      <c r="A120" s="60" t="s">
        <v>189</v>
      </c>
      <c r="B120" s="88" t="s">
        <v>190</v>
      </c>
      <c r="C120" s="35">
        <f>[21]С4!F35</f>
        <v>17.040680999999999</v>
      </c>
      <c r="D120" s="160"/>
    </row>
    <row r="121" spans="1:4" ht="14.25">
      <c r="A121" s="60" t="s">
        <v>191</v>
      </c>
      <c r="B121" s="57" t="s">
        <v>192</v>
      </c>
      <c r="C121" s="35">
        <f>[21]С4!F36</f>
        <v>14319.9</v>
      </c>
      <c r="D121" s="154" t="s">
        <v>277</v>
      </c>
    </row>
    <row r="122" spans="1:4" ht="28.5" thickBot="1">
      <c r="A122" s="73" t="s">
        <v>193</v>
      </c>
      <c r="B122" s="89" t="s">
        <v>194</v>
      </c>
      <c r="C122" s="84">
        <f>[21]С4!F37</f>
        <v>1.19</v>
      </c>
      <c r="D122" s="157" t="str">
        <f>[21]С4.1!F12</f>
        <v>пп № 274 от 01.03.2022</v>
      </c>
    </row>
    <row r="123" spans="1:4" s="90" customFormat="1" ht="13.5" thickBot="1">
      <c r="A123" s="48"/>
      <c r="B123" s="76"/>
      <c r="C123" s="15"/>
      <c r="D123" s="164"/>
    </row>
    <row r="124" spans="1:4" s="64" customFormat="1" ht="30" customHeight="1">
      <c r="A124" s="77" t="s">
        <v>195</v>
      </c>
      <c r="B124" s="142" t="s">
        <v>196</v>
      </c>
      <c r="C124" s="142"/>
      <c r="D124" s="159"/>
    </row>
    <row r="125" spans="1:4" ht="16.5" thickBot="1">
      <c r="A125" s="27" t="s">
        <v>197</v>
      </c>
      <c r="B125" s="91" t="s">
        <v>198</v>
      </c>
      <c r="C125" s="84">
        <f>[21]С5!F17</f>
        <v>0.02</v>
      </c>
      <c r="D125" s="165" t="s">
        <v>261</v>
      </c>
    </row>
    <row r="126" spans="1:4" s="90" customFormat="1" ht="13.5" thickBot="1">
      <c r="A126" s="48"/>
      <c r="B126" s="76"/>
      <c r="C126" s="15"/>
      <c r="D126" s="164"/>
    </row>
    <row r="127" spans="1:4" ht="42.75" customHeight="1">
      <c r="A127" s="85" t="s">
        <v>199</v>
      </c>
      <c r="B127" s="143" t="s">
        <v>200</v>
      </c>
      <c r="C127" s="143"/>
      <c r="D127" s="166"/>
    </row>
    <row r="128" spans="1:4" ht="68.25">
      <c r="A128" s="60" t="s">
        <v>201</v>
      </c>
      <c r="B128" s="92" t="s">
        <v>202</v>
      </c>
      <c r="C128" s="35" t="s">
        <v>203</v>
      </c>
      <c r="D128" s="155" t="s">
        <v>261</v>
      </c>
    </row>
    <row r="129" spans="1:5" ht="42.75" hidden="1">
      <c r="A129" s="60" t="s">
        <v>204</v>
      </c>
      <c r="B129" s="87" t="s">
        <v>205</v>
      </c>
      <c r="C129" s="93"/>
      <c r="D129" s="154"/>
    </row>
    <row r="130" spans="1:5" ht="69" thickBot="1">
      <c r="A130" s="73" t="s">
        <v>206</v>
      </c>
      <c r="B130" s="94" t="s">
        <v>207</v>
      </c>
      <c r="C130" s="95" t="s">
        <v>203</v>
      </c>
      <c r="D130" s="163" t="s">
        <v>261</v>
      </c>
    </row>
    <row r="131" spans="1:5" ht="62.25" hidden="1" customHeight="1">
      <c r="A131" s="96" t="s">
        <v>208</v>
      </c>
      <c r="B131" s="97" t="s">
        <v>209</v>
      </c>
      <c r="C131" s="98"/>
      <c r="D131" s="167"/>
    </row>
    <row r="132" spans="1:5" ht="68.25" hidden="1">
      <c r="A132" s="60" t="s">
        <v>210</v>
      </c>
      <c r="B132" s="87" t="s">
        <v>211</v>
      </c>
      <c r="C132" s="36"/>
      <c r="D132" s="154"/>
    </row>
    <row r="133" spans="1:5" ht="69" hidden="1" thickBot="1">
      <c r="A133" s="73" t="s">
        <v>212</v>
      </c>
      <c r="B133" s="99" t="s">
        <v>213</v>
      </c>
      <c r="C133" s="75"/>
      <c r="D133" s="157"/>
    </row>
    <row r="134" spans="1:5" s="90" customFormat="1" ht="13.5" thickBot="1">
      <c r="A134" s="48"/>
      <c r="B134" s="76"/>
      <c r="C134" s="15"/>
      <c r="D134" s="164"/>
    </row>
    <row r="135" spans="1:5" ht="26.25" customHeight="1">
      <c r="A135" s="85" t="s">
        <v>214</v>
      </c>
      <c r="B135" s="100" t="s">
        <v>215</v>
      </c>
      <c r="C135" s="101">
        <f>[21]С2!F37</f>
        <v>20.818139999999996</v>
      </c>
      <c r="D135" s="168"/>
    </row>
    <row r="136" spans="1:5" ht="14.25">
      <c r="A136" s="60" t="s">
        <v>216</v>
      </c>
      <c r="B136" s="102" t="s">
        <v>217</v>
      </c>
      <c r="C136" s="35">
        <f>[21]С2!F38</f>
        <v>7</v>
      </c>
      <c r="D136" s="154" t="s">
        <v>260</v>
      </c>
    </row>
    <row r="137" spans="1:5" ht="17.25">
      <c r="A137" s="60" t="s">
        <v>218</v>
      </c>
      <c r="B137" s="102" t="s">
        <v>219</v>
      </c>
      <c r="C137" s="35">
        <f>[21]С2!F40</f>
        <v>0.97</v>
      </c>
      <c r="D137" s="154" t="s">
        <v>260</v>
      </c>
    </row>
    <row r="138" spans="1:5" ht="15" thickBot="1">
      <c r="A138" s="73" t="s">
        <v>220</v>
      </c>
      <c r="B138" s="103" t="s">
        <v>221</v>
      </c>
      <c r="C138" s="47">
        <f>[21]С2!F42</f>
        <v>0.35</v>
      </c>
      <c r="D138" s="157" t="s">
        <v>276</v>
      </c>
    </row>
    <row r="139" spans="1:5" s="90" customFormat="1" ht="13.5" thickBot="1">
      <c r="A139" s="48"/>
      <c r="B139" s="76"/>
      <c r="C139" s="15"/>
      <c r="D139" s="164"/>
    </row>
    <row r="140" spans="1:5" ht="409.5">
      <c r="A140" s="85" t="s">
        <v>222</v>
      </c>
      <c r="B140" s="104" t="s">
        <v>223</v>
      </c>
      <c r="C140" s="105">
        <f>[21]С2!F35</f>
        <v>1.3822747209000001</v>
      </c>
      <c r="D140" s="169" t="str">
        <f>[21]С2.5!D15</f>
        <v>на 2020: Прогноз социально-экономического развития Российской Федерации на 2022 год и на плановый период 2023 и 2024 годов (размещен на официальном сайте Минэкономразвития России 30.09.2021): файл в формате Microsoft Excel «12. Дефляторы базовый», таблица «Прогноз индексов цен производителей и индексов-дефляторов по видам экономической деятельности, в % г/г (Базовый вариант)», отрасль «Промышленность (BСDE)», (показатель «ИЦП»)
на 2021-2023 годы:  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отрасль «Промышленность (BСDE)», (показатель «ИЦП»)</v>
      </c>
      <c r="E140" s="90"/>
    </row>
    <row r="141" spans="1:5" ht="22.7" customHeight="1" thickBot="1">
      <c r="A141" s="73" t="s">
        <v>224</v>
      </c>
      <c r="B141" s="144" t="s">
        <v>225</v>
      </c>
      <c r="C141" s="144"/>
      <c r="D141" s="170"/>
      <c r="E141" s="90"/>
    </row>
    <row r="142" spans="1:5" ht="13.5" thickBot="1">
      <c r="A142" s="107"/>
      <c r="B142" s="108" t="s">
        <v>226</v>
      </c>
      <c r="C142" s="109"/>
      <c r="D142" s="150"/>
      <c r="E142" s="90"/>
    </row>
    <row r="143" spans="1:5">
      <c r="A143" s="107"/>
      <c r="B143" s="110">
        <v>2020</v>
      </c>
      <c r="C143" s="111">
        <f>[21]С2.5!$E$11</f>
        <v>-2.9000000000000026E-2</v>
      </c>
      <c r="D143" s="150"/>
      <c r="E143" s="90"/>
    </row>
    <row r="144" spans="1:5">
      <c r="A144" s="107"/>
      <c r="B144" s="112">
        <f>B143+1</f>
        <v>2021</v>
      </c>
      <c r="C144" s="113">
        <f>[21]С2.5!$F$11</f>
        <v>0.245</v>
      </c>
      <c r="D144" s="150"/>
      <c r="E144" s="90"/>
    </row>
    <row r="145" spans="1:5">
      <c r="A145" s="107"/>
      <c r="B145" s="112">
        <f t="shared" ref="B145:B208" si="0">B144+1</f>
        <v>2022</v>
      </c>
      <c r="C145" s="113">
        <f>[21]С2.5!$G$11</f>
        <v>0.121</v>
      </c>
      <c r="D145" s="150"/>
      <c r="E145" s="90"/>
    </row>
    <row r="146" spans="1:5" ht="13.5" thickBot="1">
      <c r="A146" s="107"/>
      <c r="B146" s="114">
        <f t="shared" si="0"/>
        <v>2023</v>
      </c>
      <c r="C146" s="115">
        <f>[21]С2.5!$H$11</f>
        <v>0.02</v>
      </c>
      <c r="D146" s="150"/>
      <c r="E146" s="90"/>
    </row>
    <row r="147" spans="1:5" hidden="1">
      <c r="A147" s="107"/>
      <c r="B147" s="116">
        <f t="shared" si="0"/>
        <v>2024</v>
      </c>
      <c r="C147" s="117">
        <f>[21]С2.5!$I$11</f>
        <v>-2.93E-2</v>
      </c>
      <c r="D147" s="150"/>
      <c r="E147" s="90"/>
    </row>
    <row r="148" spans="1:5" hidden="1">
      <c r="A148" s="107"/>
      <c r="B148" s="112">
        <f t="shared" si="0"/>
        <v>2025</v>
      </c>
      <c r="C148" s="113">
        <f>[21]С2.5!$J$11</f>
        <v>0.21215960863291</v>
      </c>
      <c r="D148" s="150"/>
      <c r="E148" s="90"/>
    </row>
    <row r="149" spans="1:5" hidden="1">
      <c r="A149" s="107"/>
      <c r="B149" s="112">
        <f t="shared" si="0"/>
        <v>2026</v>
      </c>
      <c r="C149" s="113">
        <f>[21]С2.5!$K$11</f>
        <v>3.5813361771260002E-2</v>
      </c>
      <c r="D149" s="150"/>
      <c r="E149" s="90"/>
    </row>
    <row r="150" spans="1:5" hidden="1">
      <c r="A150" s="107"/>
      <c r="B150" s="112">
        <f t="shared" si="0"/>
        <v>2027</v>
      </c>
      <c r="C150" s="113">
        <f>[21]С2.5!$L$11</f>
        <v>3.2682303599220003E-2</v>
      </c>
      <c r="D150" s="150"/>
      <c r="E150" s="90"/>
    </row>
    <row r="151" spans="1:5" hidden="1">
      <c r="A151" s="107"/>
      <c r="B151" s="112">
        <f t="shared" si="0"/>
        <v>2028</v>
      </c>
      <c r="C151" s="113">
        <f>[21]С2.5!$M$11</f>
        <v>0</v>
      </c>
      <c r="D151" s="150"/>
      <c r="E151" s="90"/>
    </row>
    <row r="152" spans="1:5" hidden="1">
      <c r="A152" s="107"/>
      <c r="B152" s="112">
        <f t="shared" si="0"/>
        <v>2029</v>
      </c>
      <c r="C152" s="113">
        <f>[21]С2.5!$N$11</f>
        <v>0</v>
      </c>
      <c r="D152" s="150"/>
      <c r="E152" s="90"/>
    </row>
    <row r="153" spans="1:5" hidden="1">
      <c r="A153" s="107"/>
      <c r="B153" s="112">
        <f t="shared" si="0"/>
        <v>2030</v>
      </c>
      <c r="C153" s="113">
        <f>[21]С2.5!$O$11</f>
        <v>0</v>
      </c>
      <c r="D153" s="150"/>
      <c r="E153" s="90"/>
    </row>
    <row r="154" spans="1:5" hidden="1">
      <c r="A154" s="107"/>
      <c r="B154" s="112">
        <f t="shared" si="0"/>
        <v>2031</v>
      </c>
      <c r="C154" s="113">
        <f>[21]С2.5!$P$11</f>
        <v>0</v>
      </c>
      <c r="D154" s="150"/>
      <c r="E154" s="90"/>
    </row>
    <row r="155" spans="1:5" hidden="1">
      <c r="A155" s="90"/>
      <c r="B155" s="112">
        <f t="shared" si="0"/>
        <v>2032</v>
      </c>
      <c r="C155" s="113">
        <f>[21]С2.5!$Q$11</f>
        <v>0</v>
      </c>
      <c r="D155" s="150"/>
      <c r="E155" s="90"/>
    </row>
    <row r="156" spans="1:5" hidden="1">
      <c r="A156" s="90"/>
      <c r="B156" s="112">
        <f t="shared" si="0"/>
        <v>2033</v>
      </c>
      <c r="C156" s="113">
        <f>[21]С2.5!$R$11</f>
        <v>0</v>
      </c>
      <c r="D156" s="150"/>
      <c r="E156" s="90"/>
    </row>
    <row r="157" spans="1:5" hidden="1">
      <c r="B157" s="112">
        <f t="shared" si="0"/>
        <v>2034</v>
      </c>
      <c r="C157" s="113">
        <f>[21]С2.5!$S$11</f>
        <v>0</v>
      </c>
    </row>
    <row r="158" spans="1:5" hidden="1">
      <c r="B158" s="112">
        <f t="shared" si="0"/>
        <v>2035</v>
      </c>
      <c r="C158" s="113">
        <f>[21]С2.5!$T$11</f>
        <v>0</v>
      </c>
    </row>
    <row r="159" spans="1:5" hidden="1">
      <c r="B159" s="112">
        <f t="shared" si="0"/>
        <v>2036</v>
      </c>
      <c r="C159" s="113">
        <f>[21]С2.5!$U$11</f>
        <v>0</v>
      </c>
    </row>
    <row r="160" spans="1:5" hidden="1">
      <c r="B160" s="112">
        <f t="shared" si="0"/>
        <v>2037</v>
      </c>
      <c r="C160" s="113">
        <f>[21]С2.5!$V$11</f>
        <v>0</v>
      </c>
    </row>
    <row r="161" spans="2:3" s="2" customFormat="1" hidden="1">
      <c r="B161" s="112">
        <f t="shared" si="0"/>
        <v>2038</v>
      </c>
      <c r="C161" s="113">
        <f>[21]С2.5!$W$11</f>
        <v>0</v>
      </c>
    </row>
    <row r="162" spans="2:3" s="2" customFormat="1" hidden="1">
      <c r="B162" s="112">
        <f t="shared" si="0"/>
        <v>2039</v>
      </c>
      <c r="C162" s="113">
        <f>[21]С2.5!$X$11</f>
        <v>0</v>
      </c>
    </row>
    <row r="163" spans="2:3" s="2" customFormat="1" hidden="1">
      <c r="B163" s="112">
        <f t="shared" si="0"/>
        <v>2040</v>
      </c>
      <c r="C163" s="113">
        <f>[21]С2.5!$Y$11</f>
        <v>0</v>
      </c>
    </row>
    <row r="164" spans="2:3" s="2" customFormat="1" hidden="1">
      <c r="B164" s="112">
        <f t="shared" si="0"/>
        <v>2041</v>
      </c>
      <c r="C164" s="113">
        <f>[21]С2.5!$Z$11</f>
        <v>0</v>
      </c>
    </row>
    <row r="165" spans="2:3" s="2" customFormat="1" hidden="1">
      <c r="B165" s="112">
        <f t="shared" si="0"/>
        <v>2042</v>
      </c>
      <c r="C165" s="113">
        <f>[21]С2.5!$AA$11</f>
        <v>0</v>
      </c>
    </row>
    <row r="166" spans="2:3" s="2" customFormat="1" hidden="1">
      <c r="B166" s="112">
        <f t="shared" si="0"/>
        <v>2043</v>
      </c>
      <c r="C166" s="113">
        <f>[21]С2.5!$AB$11</f>
        <v>0</v>
      </c>
    </row>
    <row r="167" spans="2:3" s="2" customFormat="1" hidden="1">
      <c r="B167" s="112">
        <f t="shared" si="0"/>
        <v>2044</v>
      </c>
      <c r="C167" s="113">
        <f>[21]С2.5!$AC$11</f>
        <v>0</v>
      </c>
    </row>
    <row r="168" spans="2:3" s="2" customFormat="1" hidden="1">
      <c r="B168" s="112">
        <f t="shared" si="0"/>
        <v>2045</v>
      </c>
      <c r="C168" s="113">
        <f>[21]С2.5!$AD$11</f>
        <v>0</v>
      </c>
    </row>
    <row r="169" spans="2:3" s="2" customFormat="1" hidden="1">
      <c r="B169" s="112">
        <f t="shared" si="0"/>
        <v>2046</v>
      </c>
      <c r="C169" s="113">
        <f>[21]С2.5!$AE$11</f>
        <v>0</v>
      </c>
    </row>
    <row r="170" spans="2:3" s="2" customFormat="1" hidden="1">
      <c r="B170" s="112">
        <f t="shared" si="0"/>
        <v>2047</v>
      </c>
      <c r="C170" s="113">
        <f>[21]С2.5!$AF$11</f>
        <v>0</v>
      </c>
    </row>
    <row r="171" spans="2:3" s="2" customFormat="1" hidden="1">
      <c r="B171" s="112">
        <f t="shared" si="0"/>
        <v>2048</v>
      </c>
      <c r="C171" s="113">
        <f>[21]С2.5!$AG$11</f>
        <v>0</v>
      </c>
    </row>
    <row r="172" spans="2:3" s="2" customFormat="1" hidden="1">
      <c r="B172" s="112">
        <f t="shared" si="0"/>
        <v>2049</v>
      </c>
      <c r="C172" s="113">
        <f>[21]С2.5!$AH$11</f>
        <v>0</v>
      </c>
    </row>
    <row r="173" spans="2:3" s="2" customFormat="1" hidden="1">
      <c r="B173" s="112">
        <f t="shared" si="0"/>
        <v>2050</v>
      </c>
      <c r="C173" s="113">
        <f>[21]С2.5!$AI$11</f>
        <v>0</v>
      </c>
    </row>
    <row r="174" spans="2:3" s="2" customFormat="1" hidden="1">
      <c r="B174" s="112">
        <f t="shared" si="0"/>
        <v>2051</v>
      </c>
      <c r="C174" s="113">
        <f>[21]С2.5!$AJ$11</f>
        <v>0</v>
      </c>
    </row>
    <row r="175" spans="2:3" s="2" customFormat="1" hidden="1">
      <c r="B175" s="112">
        <f t="shared" si="0"/>
        <v>2052</v>
      </c>
      <c r="C175" s="113">
        <f>[21]С2.5!$AK$11</f>
        <v>0</v>
      </c>
    </row>
    <row r="176" spans="2:3" s="2" customFormat="1" hidden="1">
      <c r="B176" s="112">
        <f t="shared" si="0"/>
        <v>2053</v>
      </c>
      <c r="C176" s="113">
        <f>[21]С2.5!$AL$11</f>
        <v>0</v>
      </c>
    </row>
    <row r="177" spans="2:3" s="2" customFormat="1" hidden="1">
      <c r="B177" s="112">
        <f t="shared" si="0"/>
        <v>2054</v>
      </c>
      <c r="C177" s="113">
        <f>[21]С2.5!$AM$11</f>
        <v>0</v>
      </c>
    </row>
    <row r="178" spans="2:3" s="2" customFormat="1" hidden="1">
      <c r="B178" s="112">
        <f t="shared" si="0"/>
        <v>2055</v>
      </c>
      <c r="C178" s="113">
        <f>[21]С2.5!$AN$11</f>
        <v>0</v>
      </c>
    </row>
    <row r="179" spans="2:3" s="2" customFormat="1" hidden="1">
      <c r="B179" s="112">
        <f t="shared" si="0"/>
        <v>2056</v>
      </c>
      <c r="C179" s="113">
        <f>[21]С2.5!$AO$11</f>
        <v>0</v>
      </c>
    </row>
    <row r="180" spans="2:3" s="2" customFormat="1" hidden="1">
      <c r="B180" s="112">
        <f t="shared" si="0"/>
        <v>2057</v>
      </c>
      <c r="C180" s="113">
        <f>[21]С2.5!$AP$11</f>
        <v>0</v>
      </c>
    </row>
    <row r="181" spans="2:3" s="2" customFormat="1" hidden="1">
      <c r="B181" s="112">
        <f t="shared" si="0"/>
        <v>2058</v>
      </c>
      <c r="C181" s="113">
        <f>[21]С2.5!$AQ$11</f>
        <v>0</v>
      </c>
    </row>
    <row r="182" spans="2:3" s="2" customFormat="1" hidden="1">
      <c r="B182" s="112">
        <f t="shared" si="0"/>
        <v>2059</v>
      </c>
      <c r="C182" s="113">
        <f>[21]С2.5!$AR$11</f>
        <v>0</v>
      </c>
    </row>
    <row r="183" spans="2:3" s="2" customFormat="1" hidden="1">
      <c r="B183" s="112">
        <f t="shared" si="0"/>
        <v>2060</v>
      </c>
      <c r="C183" s="113">
        <f>[21]С2.5!$AS$11</f>
        <v>0</v>
      </c>
    </row>
    <row r="184" spans="2:3" s="2" customFormat="1" hidden="1">
      <c r="B184" s="112">
        <f t="shared" si="0"/>
        <v>2061</v>
      </c>
      <c r="C184" s="113">
        <f>[21]С2.5!$AT$11</f>
        <v>0</v>
      </c>
    </row>
    <row r="185" spans="2:3" s="2" customFormat="1" hidden="1">
      <c r="B185" s="112">
        <f t="shared" si="0"/>
        <v>2062</v>
      </c>
      <c r="C185" s="113">
        <f>[21]С2.5!$AU$11</f>
        <v>0</v>
      </c>
    </row>
    <row r="186" spans="2:3" s="2" customFormat="1" hidden="1">
      <c r="B186" s="112">
        <f t="shared" si="0"/>
        <v>2063</v>
      </c>
      <c r="C186" s="113">
        <f>[21]С2.5!$AV$11</f>
        <v>0</v>
      </c>
    </row>
    <row r="187" spans="2:3" s="2" customFormat="1" hidden="1">
      <c r="B187" s="112">
        <f t="shared" si="0"/>
        <v>2064</v>
      </c>
      <c r="C187" s="113">
        <f>[21]С2.5!$AW$11</f>
        <v>0</v>
      </c>
    </row>
    <row r="188" spans="2:3" s="2" customFormat="1" hidden="1">
      <c r="B188" s="112">
        <f t="shared" si="0"/>
        <v>2065</v>
      </c>
      <c r="C188" s="113">
        <f>[21]С2.5!$AX$11</f>
        <v>0</v>
      </c>
    </row>
    <row r="189" spans="2:3" s="2" customFormat="1" hidden="1">
      <c r="B189" s="112">
        <f t="shared" si="0"/>
        <v>2066</v>
      </c>
      <c r="C189" s="113">
        <f>[21]С2.5!$AY$11</f>
        <v>0</v>
      </c>
    </row>
    <row r="190" spans="2:3" s="2" customFormat="1" hidden="1">
      <c r="B190" s="112">
        <f t="shared" si="0"/>
        <v>2067</v>
      </c>
      <c r="C190" s="113">
        <f>[21]С2.5!$AZ$11</f>
        <v>0</v>
      </c>
    </row>
    <row r="191" spans="2:3" s="2" customFormat="1" hidden="1">
      <c r="B191" s="112">
        <f t="shared" si="0"/>
        <v>2068</v>
      </c>
      <c r="C191" s="113">
        <f>[21]С2.5!$BA$11</f>
        <v>0</v>
      </c>
    </row>
    <row r="192" spans="2:3" s="2" customFormat="1" hidden="1">
      <c r="B192" s="112">
        <f t="shared" si="0"/>
        <v>2069</v>
      </c>
      <c r="C192" s="113">
        <f>[21]С2.5!$BB$11</f>
        <v>0</v>
      </c>
    </row>
    <row r="193" spans="2:3" s="2" customFormat="1" hidden="1">
      <c r="B193" s="112">
        <f t="shared" si="0"/>
        <v>2070</v>
      </c>
      <c r="C193" s="113">
        <f>[21]С2.5!$BC$11</f>
        <v>0</v>
      </c>
    </row>
    <row r="194" spans="2:3" s="2" customFormat="1" hidden="1">
      <c r="B194" s="112">
        <f t="shared" si="0"/>
        <v>2071</v>
      </c>
      <c r="C194" s="113">
        <f>[21]С2.5!$BD$11</f>
        <v>0</v>
      </c>
    </row>
    <row r="195" spans="2:3" s="2" customFormat="1" hidden="1">
      <c r="B195" s="112">
        <f t="shared" si="0"/>
        <v>2072</v>
      </c>
      <c r="C195" s="113">
        <f>[21]С2.5!$BE$11</f>
        <v>0</v>
      </c>
    </row>
    <row r="196" spans="2:3" s="2" customFormat="1" hidden="1">
      <c r="B196" s="112">
        <f t="shared" si="0"/>
        <v>2073</v>
      </c>
      <c r="C196" s="113">
        <f>[21]С2.5!$BF$11</f>
        <v>0</v>
      </c>
    </row>
    <row r="197" spans="2:3" s="2" customFormat="1" hidden="1">
      <c r="B197" s="112">
        <f t="shared" si="0"/>
        <v>2074</v>
      </c>
      <c r="C197" s="113">
        <f>[21]С2.5!$BG$11</f>
        <v>0</v>
      </c>
    </row>
    <row r="198" spans="2:3" s="2" customFormat="1" hidden="1">
      <c r="B198" s="112">
        <f t="shared" si="0"/>
        <v>2075</v>
      </c>
      <c r="C198" s="113">
        <f>[21]С2.5!$BH$11</f>
        <v>0</v>
      </c>
    </row>
    <row r="199" spans="2:3" s="2" customFormat="1" hidden="1">
      <c r="B199" s="112">
        <f t="shared" si="0"/>
        <v>2076</v>
      </c>
      <c r="C199" s="113">
        <f>[21]С2.5!$BI$11</f>
        <v>0</v>
      </c>
    </row>
    <row r="200" spans="2:3" s="2" customFormat="1" hidden="1">
      <c r="B200" s="112">
        <f t="shared" si="0"/>
        <v>2077</v>
      </c>
      <c r="C200" s="113">
        <f>[21]С2.5!$BJ$11</f>
        <v>0</v>
      </c>
    </row>
    <row r="201" spans="2:3" s="2" customFormat="1" hidden="1">
      <c r="B201" s="112">
        <f t="shared" si="0"/>
        <v>2078</v>
      </c>
      <c r="C201" s="113">
        <f>[21]С2.5!$BK$11</f>
        <v>0</v>
      </c>
    </row>
    <row r="202" spans="2:3" s="2" customFormat="1" hidden="1">
      <c r="B202" s="112">
        <f t="shared" si="0"/>
        <v>2079</v>
      </c>
      <c r="C202" s="113">
        <f>[21]С2.5!$BL$11</f>
        <v>0</v>
      </c>
    </row>
    <row r="203" spans="2:3" s="2" customFormat="1" hidden="1">
      <c r="B203" s="112">
        <f t="shared" si="0"/>
        <v>2080</v>
      </c>
      <c r="C203" s="113">
        <f>[21]С2.5!$BM$11</f>
        <v>0</v>
      </c>
    </row>
    <row r="204" spans="2:3" s="2" customFormat="1" hidden="1">
      <c r="B204" s="112">
        <f t="shared" si="0"/>
        <v>2081</v>
      </c>
      <c r="C204" s="113">
        <f>[21]С2.5!$BN$11</f>
        <v>0</v>
      </c>
    </row>
    <row r="205" spans="2:3" s="2" customFormat="1" hidden="1">
      <c r="B205" s="112">
        <f t="shared" si="0"/>
        <v>2082</v>
      </c>
      <c r="C205" s="113">
        <f>[21]С2.5!$BO$11</f>
        <v>0</v>
      </c>
    </row>
    <row r="206" spans="2:3" s="2" customFormat="1" hidden="1">
      <c r="B206" s="112">
        <f t="shared" si="0"/>
        <v>2083</v>
      </c>
      <c r="C206" s="113">
        <f>[21]С2.5!$BP$11</f>
        <v>0</v>
      </c>
    </row>
    <row r="207" spans="2:3" s="2" customFormat="1" hidden="1">
      <c r="B207" s="112">
        <f t="shared" si="0"/>
        <v>2084</v>
      </c>
      <c r="C207" s="113">
        <f>[21]С2.5!$BQ$11</f>
        <v>0</v>
      </c>
    </row>
    <row r="208" spans="2:3" s="2" customFormat="1" hidden="1">
      <c r="B208" s="112">
        <f t="shared" si="0"/>
        <v>2085</v>
      </c>
      <c r="C208" s="113">
        <f>[21]С2.5!$BR$11</f>
        <v>0</v>
      </c>
    </row>
    <row r="209" spans="2:3" s="2" customFormat="1" hidden="1">
      <c r="B209" s="112">
        <f t="shared" ref="B209:B223" si="1">B208+1</f>
        <v>2086</v>
      </c>
      <c r="C209" s="113">
        <f>[21]С2.5!$BS$11</f>
        <v>0</v>
      </c>
    </row>
    <row r="210" spans="2:3" s="2" customFormat="1" hidden="1">
      <c r="B210" s="112">
        <f t="shared" si="1"/>
        <v>2087</v>
      </c>
      <c r="C210" s="113">
        <f>[21]С2.5!$BT$11</f>
        <v>0</v>
      </c>
    </row>
    <row r="211" spans="2:3" s="2" customFormat="1" hidden="1">
      <c r="B211" s="112">
        <f t="shared" si="1"/>
        <v>2088</v>
      </c>
      <c r="C211" s="113">
        <f>[21]С2.5!$BU$11</f>
        <v>0</v>
      </c>
    </row>
    <row r="212" spans="2:3" s="2" customFormat="1" hidden="1">
      <c r="B212" s="112">
        <f t="shared" si="1"/>
        <v>2089</v>
      </c>
      <c r="C212" s="113">
        <f>[21]С2.5!$BV$11</f>
        <v>0</v>
      </c>
    </row>
    <row r="213" spans="2:3" s="2" customFormat="1" hidden="1">
      <c r="B213" s="112">
        <f t="shared" si="1"/>
        <v>2090</v>
      </c>
      <c r="C213" s="113">
        <f>[21]С2.5!$BW$11</f>
        <v>0</v>
      </c>
    </row>
    <row r="214" spans="2:3" s="2" customFormat="1" hidden="1">
      <c r="B214" s="112">
        <f t="shared" si="1"/>
        <v>2091</v>
      </c>
      <c r="C214" s="113">
        <f>[21]С2.5!$BX$11</f>
        <v>0</v>
      </c>
    </row>
    <row r="215" spans="2:3" s="2" customFormat="1" hidden="1">
      <c r="B215" s="112">
        <f t="shared" si="1"/>
        <v>2092</v>
      </c>
      <c r="C215" s="113">
        <f>[21]С2.5!$BY$11</f>
        <v>0</v>
      </c>
    </row>
    <row r="216" spans="2:3" s="2" customFormat="1" hidden="1">
      <c r="B216" s="112">
        <f t="shared" si="1"/>
        <v>2093</v>
      </c>
      <c r="C216" s="113">
        <f>[21]С2.5!$BZ$11</f>
        <v>0</v>
      </c>
    </row>
    <row r="217" spans="2:3" s="2" customFormat="1" hidden="1">
      <c r="B217" s="112">
        <f t="shared" si="1"/>
        <v>2094</v>
      </c>
      <c r="C217" s="113">
        <f>[21]С2.5!$CA$11</f>
        <v>0</v>
      </c>
    </row>
    <row r="218" spans="2:3" s="2" customFormat="1" hidden="1">
      <c r="B218" s="112">
        <f t="shared" si="1"/>
        <v>2095</v>
      </c>
      <c r="C218" s="113">
        <f>[21]С2.5!$CB$11</f>
        <v>0</v>
      </c>
    </row>
    <row r="219" spans="2:3" s="2" customFormat="1" hidden="1">
      <c r="B219" s="112">
        <f t="shared" si="1"/>
        <v>2096</v>
      </c>
      <c r="C219" s="113">
        <f>[21]С2.5!$CC$11</f>
        <v>0</v>
      </c>
    </row>
    <row r="220" spans="2:3" s="2" customFormat="1" hidden="1">
      <c r="B220" s="112">
        <f t="shared" si="1"/>
        <v>2097</v>
      </c>
      <c r="C220" s="113">
        <f>[21]С2.5!$CD$11</f>
        <v>0</v>
      </c>
    </row>
    <row r="221" spans="2:3" s="2" customFormat="1" hidden="1">
      <c r="B221" s="112">
        <f t="shared" si="1"/>
        <v>2098</v>
      </c>
      <c r="C221" s="113">
        <f>[21]С2.5!$CE$11</f>
        <v>0</v>
      </c>
    </row>
    <row r="222" spans="2:3" s="2" customFormat="1" hidden="1">
      <c r="B222" s="112">
        <f t="shared" si="1"/>
        <v>2099</v>
      </c>
      <c r="C222" s="113">
        <f>[21]С2.5!$CF$11</f>
        <v>0</v>
      </c>
    </row>
    <row r="223" spans="2:3" s="2" customFormat="1" ht="13.5" hidden="1" thickBot="1">
      <c r="B223" s="114">
        <f t="shared" si="1"/>
        <v>2100</v>
      </c>
      <c r="C223" s="115">
        <f>[21]С2.5!$CG$11</f>
        <v>0</v>
      </c>
    </row>
    <row r="224" spans="2:3" s="2" customFormat="1" hidden="1">
      <c r="C224" s="118"/>
    </row>
    <row r="225" spans="3:3" s="2" customFormat="1" hidden="1">
      <c r="C225" s="118"/>
    </row>
    <row r="226" spans="3:3" s="2" customFormat="1">
      <c r="C226" s="118"/>
    </row>
  </sheetData>
  <mergeCells count="9">
    <mergeCell ref="B124:D124"/>
    <mergeCell ref="B127:D127"/>
    <mergeCell ref="B141:D141"/>
    <mergeCell ref="B1:D1"/>
    <mergeCell ref="A14:C14"/>
    <mergeCell ref="B27:D27"/>
    <mergeCell ref="B40:D40"/>
    <mergeCell ref="B84:D84"/>
    <mergeCell ref="B95:D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5" r:id="rId3" name="Button 1">
              <controlPr defaultSize="0" print="0" autoFill="0" autoPict="0" macro="[21]!Лист29.PrintBlock">
                <anchor moveWithCells="1" sizeWithCells="1">
                  <from>
                    <xdr:col>4</xdr:col>
                    <xdr:colOff>38100</xdr:colOff>
                    <xdr:row>0</xdr:row>
                    <xdr:rowOff>85725</xdr:rowOff>
                  </from>
                  <to>
                    <xdr:col>5</xdr:col>
                    <xdr:colOff>1000125</xdr:colOff>
                    <xdr:row>0</xdr:row>
                    <xdr:rowOff>238125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2"/>
    </sheetView>
  </sheetViews>
  <sheetFormatPr defaultRowHeight="12.75"/>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[18]И1!D13</f>
        <v>Субъект Российской Федерации</v>
      </c>
      <c r="C4" s="10" t="str">
        <f>[18]И1!E13</f>
        <v>Новосибирская область</v>
      </c>
    </row>
    <row r="5" spans="1:3">
      <c r="A5" s="8"/>
      <c r="B5" s="9" t="str">
        <f>[18]И1!D14</f>
        <v>Тип муниципального образования (выберите из списка)</v>
      </c>
      <c r="C5" s="10" t="str">
        <f>[18]И1!E14</f>
        <v>село Отрадное</v>
      </c>
    </row>
    <row r="6" spans="1:3">
      <c r="A6" s="8"/>
      <c r="B6" s="9" t="str">
        <f>IF([18]И1!E15="","",[18]И1!D15)</f>
        <v/>
      </c>
      <c r="C6" s="10" t="str">
        <f>IF([18]И1!E15="","",[18]И1!E15)</f>
        <v/>
      </c>
    </row>
    <row r="7" spans="1:3">
      <c r="A7" s="8"/>
      <c r="B7" s="9" t="str">
        <f>[18]И1!D16</f>
        <v>Код ОКТМО</v>
      </c>
      <c r="C7" s="11" t="str">
        <f>[18]И1!E16</f>
        <v>50630440101</v>
      </c>
    </row>
    <row r="8" spans="1:3">
      <c r="A8" s="8"/>
      <c r="B8" s="12" t="str">
        <f>[18]И1!D17</f>
        <v>Система теплоснабжения</v>
      </c>
      <c r="C8" s="13">
        <f>[18]И1!E17</f>
        <v>0</v>
      </c>
    </row>
    <row r="9" spans="1:3">
      <c r="A9" s="8"/>
      <c r="B9" s="9" t="str">
        <f>[18]И1!D8</f>
        <v>Период регулирования (i)-й</v>
      </c>
      <c r="C9" s="14">
        <f>[18]И1!E8</f>
        <v>2023</v>
      </c>
    </row>
    <row r="10" spans="1:3">
      <c r="A10" s="8"/>
      <c r="B10" s="9" t="str">
        <f>[18]И1!D9</f>
        <v>Период регулирования (i-1)-й</v>
      </c>
      <c r="C10" s="14">
        <f>[18]И1!E9</f>
        <v>2022</v>
      </c>
    </row>
    <row r="11" spans="1:3">
      <c r="A11" s="8"/>
      <c r="B11" s="9" t="str">
        <f>[18]И1!D10</f>
        <v>Период регулирования (i-2)-й</v>
      </c>
      <c r="C11" s="14">
        <f>[18]И1!E10</f>
        <v>2021</v>
      </c>
    </row>
    <row r="12" spans="1:3">
      <c r="A12" s="8"/>
      <c r="B12" s="9" t="str">
        <f>[18]И1!D11</f>
        <v>Базовый год (б)</v>
      </c>
      <c r="C12" s="14">
        <f>[18]И1!E11</f>
        <v>2019</v>
      </c>
    </row>
    <row r="13" spans="1:3" ht="38.25">
      <c r="A13" s="8"/>
      <c r="B13" s="9" t="str">
        <f>[18]И1!D18</f>
        <v>Вид топлива, использование которого преобладает в системе теплоснабжения</v>
      </c>
      <c r="C13" s="15" t="str">
        <f>[18]С1.1!E13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4174.764904175735</v>
      </c>
    </row>
    <row r="18" spans="1:3" ht="42.75">
      <c r="A18" s="22" t="s">
        <v>8</v>
      </c>
      <c r="B18" s="25" t="s">
        <v>9</v>
      </c>
      <c r="C18" s="26">
        <f>[18]С1!F12</f>
        <v>974.89634036806706</v>
      </c>
    </row>
    <row r="19" spans="1:3" ht="42.75">
      <c r="A19" s="22" t="s">
        <v>10</v>
      </c>
      <c r="B19" s="25" t="s">
        <v>11</v>
      </c>
      <c r="C19" s="26">
        <f>[18]С2!F12</f>
        <v>2116.2031761890698</v>
      </c>
    </row>
    <row r="20" spans="1:3" ht="30">
      <c r="A20" s="22" t="s">
        <v>12</v>
      </c>
      <c r="B20" s="25" t="s">
        <v>13</v>
      </c>
      <c r="C20" s="26">
        <f>[18]С3!F12</f>
        <v>506.5368696227419</v>
      </c>
    </row>
    <row r="21" spans="1:3" ht="42.75">
      <c r="A21" s="22" t="s">
        <v>14</v>
      </c>
      <c r="B21" s="25" t="s">
        <v>15</v>
      </c>
      <c r="C21" s="26">
        <f>[18]С4!F12</f>
        <v>495.27038261986121</v>
      </c>
    </row>
    <row r="22" spans="1:3" ht="30">
      <c r="A22" s="22" t="s">
        <v>16</v>
      </c>
      <c r="B22" s="25" t="s">
        <v>17</v>
      </c>
      <c r="C22" s="26">
        <f>[18]С5!F12</f>
        <v>81.858135375994806</v>
      </c>
    </row>
    <row r="23" spans="1:3" ht="43.5" thickBot="1">
      <c r="A23" s="27" t="s">
        <v>18</v>
      </c>
      <c r="B23" s="28" t="s">
        <v>19</v>
      </c>
      <c r="C23" s="29" t="str">
        <f>[18]С6!F12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[18]С1.1!E16</f>
        <v>5100</v>
      </c>
    </row>
    <row r="29" spans="1:3" ht="42.75">
      <c r="A29" s="22" t="s">
        <v>10</v>
      </c>
      <c r="B29" s="34" t="s">
        <v>22</v>
      </c>
      <c r="C29" s="35">
        <f>[18]С1.1!E27</f>
        <v>2621.3333333333335</v>
      </c>
    </row>
    <row r="30" spans="1:3" ht="17.25">
      <c r="A30" s="22" t="s">
        <v>12</v>
      </c>
      <c r="B30" s="34" t="s">
        <v>23</v>
      </c>
      <c r="C30" s="36">
        <f>[18]С1.1!E19</f>
        <v>0.59499999999999997</v>
      </c>
    </row>
    <row r="31" spans="1:3" ht="17.25">
      <c r="A31" s="22" t="s">
        <v>14</v>
      </c>
      <c r="B31" s="34" t="s">
        <v>24</v>
      </c>
      <c r="C31" s="36">
        <f>[18]С1.1!E20</f>
        <v>-0.113</v>
      </c>
    </row>
    <row r="32" spans="1:3" ht="30">
      <c r="A32" s="22" t="s">
        <v>16</v>
      </c>
      <c r="B32" s="37" t="s">
        <v>25</v>
      </c>
      <c r="C32" s="38">
        <f>[18]С1!F13</f>
        <v>176.4</v>
      </c>
    </row>
    <row r="33" spans="1:3">
      <c r="A33" s="22" t="s">
        <v>18</v>
      </c>
      <c r="B33" s="37" t="s">
        <v>26</v>
      </c>
      <c r="C33" s="39">
        <f>[18]С1!F16</f>
        <v>7000</v>
      </c>
    </row>
    <row r="34" spans="1:3" ht="14.25">
      <c r="A34" s="22" t="s">
        <v>27</v>
      </c>
      <c r="B34" s="40" t="s">
        <v>28</v>
      </c>
      <c r="C34" s="41">
        <f>[18]С1!F17</f>
        <v>0.72857142857142854</v>
      </c>
    </row>
    <row r="35" spans="1:3" ht="15.75">
      <c r="A35" s="42" t="s">
        <v>29</v>
      </c>
      <c r="B35" s="43" t="s">
        <v>30</v>
      </c>
      <c r="C35" s="41">
        <f>[18]С1!F20</f>
        <v>21.588411179999994</v>
      </c>
    </row>
    <row r="36" spans="1:3" ht="15.75">
      <c r="A36" s="42" t="s">
        <v>31</v>
      </c>
      <c r="B36" s="44" t="s">
        <v>32</v>
      </c>
      <c r="C36" s="41">
        <f>[18]С1!F21</f>
        <v>20.818139999999996</v>
      </c>
    </row>
    <row r="37" spans="1:3" ht="14.25">
      <c r="A37" s="42" t="s">
        <v>33</v>
      </c>
      <c r="B37" s="45" t="s">
        <v>34</v>
      </c>
      <c r="C37" s="41">
        <f>[18]С1!F22</f>
        <v>1.0369999999999999</v>
      </c>
    </row>
    <row r="38" spans="1:3" ht="53.25" thickBot="1">
      <c r="A38" s="27" t="s">
        <v>35</v>
      </c>
      <c r="B38" s="46" t="s">
        <v>36</v>
      </c>
      <c r="C38" s="47">
        <f>[18]С1!F23</f>
        <v>1.0469999999999999</v>
      </c>
    </row>
    <row r="39" spans="1:3" ht="13.5" thickBot="1">
      <c r="A39" s="48"/>
      <c r="B39" s="49"/>
      <c r="C39" s="50"/>
    </row>
    <row r="40" spans="1:3" ht="30" customHeight="1">
      <c r="A40" s="51" t="s">
        <v>37</v>
      </c>
      <c r="B40" s="142" t="s">
        <v>38</v>
      </c>
      <c r="C40" s="142"/>
    </row>
    <row r="41" spans="1:3" ht="25.5">
      <c r="A41" s="22" t="s">
        <v>39</v>
      </c>
      <c r="B41" s="37" t="s">
        <v>40</v>
      </c>
      <c r="C41" s="52" t="str">
        <f>[18]С2.1!E12</f>
        <v>V</v>
      </c>
    </row>
    <row r="42" spans="1:3" ht="25.5">
      <c r="A42" s="22" t="s">
        <v>41</v>
      </c>
      <c r="B42" s="34" t="s">
        <v>42</v>
      </c>
      <c r="C42" s="52" t="str">
        <f>[18]С2.1!E13</f>
        <v>6 и менее баллов</v>
      </c>
    </row>
    <row r="43" spans="1:3" ht="25.5">
      <c r="A43" s="22" t="s">
        <v>43</v>
      </c>
      <c r="B43" s="34" t="s">
        <v>44</v>
      </c>
      <c r="C43" s="52" t="str">
        <f>[18]С2.1!E14</f>
        <v>от 200 до 500</v>
      </c>
    </row>
    <row r="44" spans="1:3" ht="25.5">
      <c r="A44" s="22" t="s">
        <v>45</v>
      </c>
      <c r="B44" s="34" t="s">
        <v>46</v>
      </c>
      <c r="C44" s="53" t="str">
        <f>[18]С2.1!E15</f>
        <v>нет</v>
      </c>
    </row>
    <row r="45" spans="1:3" ht="30">
      <c r="A45" s="22" t="s">
        <v>47</v>
      </c>
      <c r="B45" s="34" t="s">
        <v>48</v>
      </c>
      <c r="C45" s="35">
        <f>[18]С2!F18</f>
        <v>32402.627334033532</v>
      </c>
    </row>
    <row r="46" spans="1:3" ht="30">
      <c r="A46" s="22" t="s">
        <v>49</v>
      </c>
      <c r="B46" s="54" t="s">
        <v>50</v>
      </c>
      <c r="C46" s="35">
        <f>IF([18]С2!F19&gt;0,[18]С2!F19,[18]С2!F20)</f>
        <v>23441.524932855718</v>
      </c>
    </row>
    <row r="47" spans="1:3" ht="25.5">
      <c r="A47" s="22" t="s">
        <v>51</v>
      </c>
      <c r="B47" s="55" t="s">
        <v>52</v>
      </c>
      <c r="C47" s="35">
        <f>[18]С2.1!E19</f>
        <v>-38</v>
      </c>
    </row>
    <row r="48" spans="1:3" ht="25.5">
      <c r="A48" s="22" t="s">
        <v>53</v>
      </c>
      <c r="B48" s="55" t="s">
        <v>54</v>
      </c>
      <c r="C48" s="35" t="str">
        <f>[18]С2.1!E22</f>
        <v>нет</v>
      </c>
    </row>
    <row r="49" spans="1:3" ht="38.25">
      <c r="A49" s="22" t="s">
        <v>55</v>
      </c>
      <c r="B49" s="56" t="s">
        <v>56</v>
      </c>
      <c r="C49" s="35">
        <f>[18]С2.2!E10</f>
        <v>1287</v>
      </c>
    </row>
    <row r="50" spans="1:3" ht="25.5">
      <c r="A50" s="22" t="s">
        <v>57</v>
      </c>
      <c r="B50" s="57" t="s">
        <v>58</v>
      </c>
      <c r="C50" s="35">
        <f>[18]С2.2!E12</f>
        <v>5.97</v>
      </c>
    </row>
    <row r="51" spans="1:3" ht="52.5">
      <c r="A51" s="22" t="s">
        <v>59</v>
      </c>
      <c r="B51" s="58" t="s">
        <v>60</v>
      </c>
      <c r="C51" s="35">
        <f>[18]С2.2!E13</f>
        <v>1</v>
      </c>
    </row>
    <row r="52" spans="1:3" ht="27.75">
      <c r="A52" s="22" t="s">
        <v>61</v>
      </c>
      <c r="B52" s="57" t="s">
        <v>62</v>
      </c>
      <c r="C52" s="35">
        <f>[18]С2.2!E14</f>
        <v>12104</v>
      </c>
    </row>
    <row r="53" spans="1:3" ht="25.5">
      <c r="A53" s="22" t="s">
        <v>63</v>
      </c>
      <c r="B53" s="58" t="s">
        <v>64</v>
      </c>
      <c r="C53" s="36">
        <f>[18]С2.2!E15</f>
        <v>4.8000000000000001E-2</v>
      </c>
    </row>
    <row r="54" spans="1:3">
      <c r="A54" s="22" t="s">
        <v>65</v>
      </c>
      <c r="B54" s="58" t="s">
        <v>66</v>
      </c>
      <c r="C54" s="35">
        <f>[18]С2.2!E16</f>
        <v>1</v>
      </c>
    </row>
    <row r="55" spans="1:3" ht="15.75">
      <c r="A55" s="22" t="s">
        <v>67</v>
      </c>
      <c r="B55" s="59" t="s">
        <v>68</v>
      </c>
      <c r="C55" s="35">
        <f>[18]С2!F21</f>
        <v>1</v>
      </c>
    </row>
    <row r="56" spans="1:3" ht="30">
      <c r="A56" s="60" t="s">
        <v>69</v>
      </c>
      <c r="B56" s="34" t="s">
        <v>70</v>
      </c>
      <c r="C56" s="35">
        <f>[18]С2!F13</f>
        <v>169640.22915965237</v>
      </c>
    </row>
    <row r="57" spans="1:3" ht="30">
      <c r="A57" s="60" t="s">
        <v>71</v>
      </c>
      <c r="B57" s="59" t="s">
        <v>72</v>
      </c>
      <c r="C57" s="35">
        <f>[18]С2!F14</f>
        <v>113455</v>
      </c>
    </row>
    <row r="58" spans="1:3" ht="15.75">
      <c r="A58" s="60" t="s">
        <v>73</v>
      </c>
      <c r="B58" s="61" t="s">
        <v>74</v>
      </c>
      <c r="C58" s="41">
        <f>[18]С2!F15</f>
        <v>1.071</v>
      </c>
    </row>
    <row r="59" spans="1:3" ht="15.75">
      <c r="A59" s="60" t="s">
        <v>75</v>
      </c>
      <c r="B59" s="61" t="s">
        <v>76</v>
      </c>
      <c r="C59" s="41">
        <f>[18]С2!F16</f>
        <v>1</v>
      </c>
    </row>
    <row r="60" spans="1:3" ht="17.25">
      <c r="A60" s="60" t="s">
        <v>77</v>
      </c>
      <c r="B60" s="59" t="s">
        <v>78</v>
      </c>
      <c r="C60" s="35">
        <f>[18]С2!F17</f>
        <v>1.01</v>
      </c>
    </row>
    <row r="61" spans="1:3" s="64" customFormat="1" ht="14.25">
      <c r="A61" s="60" t="s">
        <v>79</v>
      </c>
      <c r="B61" s="62" t="s">
        <v>80</v>
      </c>
      <c r="C61" s="63">
        <f>[18]С2!F33</f>
        <v>10</v>
      </c>
    </row>
    <row r="62" spans="1:3" ht="30">
      <c r="A62" s="60" t="s">
        <v>81</v>
      </c>
      <c r="B62" s="65" t="s">
        <v>82</v>
      </c>
      <c r="C62" s="35">
        <f>[18]С2!F26</f>
        <v>2274.3932248182782</v>
      </c>
    </row>
    <row r="63" spans="1:3" ht="17.25">
      <c r="A63" s="60" t="s">
        <v>83</v>
      </c>
      <c r="B63" s="54" t="s">
        <v>84</v>
      </c>
      <c r="C63" s="35">
        <f>[18]С2!F27</f>
        <v>0.391761629</v>
      </c>
    </row>
    <row r="64" spans="1:3" ht="17.25">
      <c r="A64" s="60" t="s">
        <v>85</v>
      </c>
      <c r="B64" s="59" t="s">
        <v>86</v>
      </c>
      <c r="C64" s="63">
        <f>[18]С2!F28</f>
        <v>4200</v>
      </c>
    </row>
    <row r="65" spans="1:3" ht="42.75">
      <c r="A65" s="60" t="s">
        <v>87</v>
      </c>
      <c r="B65" s="34" t="s">
        <v>88</v>
      </c>
      <c r="C65" s="35">
        <f>[18]С2!F22</f>
        <v>35717.748653137714</v>
      </c>
    </row>
    <row r="66" spans="1:3" ht="30">
      <c r="A66" s="60" t="s">
        <v>89</v>
      </c>
      <c r="B66" s="61" t="s">
        <v>90</v>
      </c>
      <c r="C66" s="35">
        <f>[18]С2!F23</f>
        <v>1990</v>
      </c>
    </row>
    <row r="67" spans="1:3" ht="30">
      <c r="A67" s="60" t="s">
        <v>91</v>
      </c>
      <c r="B67" s="54" t="s">
        <v>92</v>
      </c>
      <c r="C67" s="35">
        <f>[18]С2.1!E27</f>
        <v>14307.876789999998</v>
      </c>
    </row>
    <row r="68" spans="1:3" ht="38.25">
      <c r="A68" s="60" t="s">
        <v>93</v>
      </c>
      <c r="B68" s="66" t="s">
        <v>94</v>
      </c>
      <c r="C68" s="53">
        <f>[18]С2.3!E21</f>
        <v>0</v>
      </c>
    </row>
    <row r="69" spans="1:3" ht="25.5">
      <c r="A69" s="60" t="s">
        <v>95</v>
      </c>
      <c r="B69" s="67" t="s">
        <v>96</v>
      </c>
      <c r="C69" s="68">
        <f>[18]С2.3!E11</f>
        <v>9.89</v>
      </c>
    </row>
    <row r="70" spans="1:3" ht="25.5">
      <c r="A70" s="60" t="s">
        <v>97</v>
      </c>
      <c r="B70" s="67" t="s">
        <v>98</v>
      </c>
      <c r="C70" s="63">
        <f>[18]С2.3!E13</f>
        <v>300</v>
      </c>
    </row>
    <row r="71" spans="1:3" ht="25.5">
      <c r="A71" s="60" t="s">
        <v>99</v>
      </c>
      <c r="B71" s="66" t="s">
        <v>100</v>
      </c>
      <c r="C71" s="69">
        <f>IF([18]С2.3!E22&gt;0,[18]С2.3!E22,[18]С2.3!E14)</f>
        <v>61211</v>
      </c>
    </row>
    <row r="72" spans="1:3" ht="38.25">
      <c r="A72" s="60" t="s">
        <v>101</v>
      </c>
      <c r="B72" s="66" t="s">
        <v>102</v>
      </c>
      <c r="C72" s="69">
        <f>IF([18]С2.3!E23&gt;0,[18]С2.3!E23,[18]С2.3!E15)</f>
        <v>45675</v>
      </c>
    </row>
    <row r="73" spans="1:3" ht="30">
      <c r="A73" s="60" t="s">
        <v>103</v>
      </c>
      <c r="B73" s="54" t="s">
        <v>104</v>
      </c>
      <c r="C73" s="35">
        <f>[18]С2.1!E28</f>
        <v>9541.9567200000001</v>
      </c>
    </row>
    <row r="74" spans="1:3" ht="38.25">
      <c r="A74" s="60" t="s">
        <v>105</v>
      </c>
      <c r="B74" s="66" t="s">
        <v>106</v>
      </c>
      <c r="C74" s="53">
        <f>[18]С2.3!E25</f>
        <v>0</v>
      </c>
    </row>
    <row r="75" spans="1:3" ht="25.5">
      <c r="A75" s="60" t="s">
        <v>107</v>
      </c>
      <c r="B75" s="67" t="s">
        <v>108</v>
      </c>
      <c r="C75" s="68">
        <f>[18]С2.3!E12</f>
        <v>0.56000000000000005</v>
      </c>
    </row>
    <row r="76" spans="1:3" ht="25.5">
      <c r="A76" s="60" t="s">
        <v>109</v>
      </c>
      <c r="B76" s="67" t="s">
        <v>98</v>
      </c>
      <c r="C76" s="63">
        <f>[18]С2.3!E13</f>
        <v>300</v>
      </c>
    </row>
    <row r="77" spans="1:3" ht="25.5">
      <c r="A77" s="60" t="s">
        <v>110</v>
      </c>
      <c r="B77" s="70" t="s">
        <v>111</v>
      </c>
      <c r="C77" s="69">
        <f>IF([18]С2.3!E26&gt;0,[18]С2.3!E26,[18]С2.3!E16)</f>
        <v>65637</v>
      </c>
    </row>
    <row r="78" spans="1:3" ht="38.25">
      <c r="A78" s="60" t="s">
        <v>112</v>
      </c>
      <c r="B78" s="70" t="s">
        <v>113</v>
      </c>
      <c r="C78" s="69">
        <f>IF([18]С2.3!E27&gt;0,[18]С2.3!E27,[18]С2.3!E17)</f>
        <v>31684</v>
      </c>
    </row>
    <row r="79" spans="1:3" ht="17.25">
      <c r="A79" s="60" t="s">
        <v>114</v>
      </c>
      <c r="B79" s="34" t="s">
        <v>115</v>
      </c>
      <c r="C79" s="36">
        <f>[18]С2!F29</f>
        <v>0.128978033685065</v>
      </c>
    </row>
    <row r="80" spans="1:3" ht="30">
      <c r="A80" s="60" t="s">
        <v>116</v>
      </c>
      <c r="B80" s="54" t="s">
        <v>117</v>
      </c>
      <c r="C80" s="71">
        <f>[18]С2!F30</f>
        <v>0.11668498168498169</v>
      </c>
    </row>
    <row r="81" spans="1:3" ht="17.25">
      <c r="A81" s="60" t="s">
        <v>118</v>
      </c>
      <c r="B81" s="72" t="s">
        <v>119</v>
      </c>
      <c r="C81" s="36">
        <f>[18]С2!F31</f>
        <v>0.13880000000000001</v>
      </c>
    </row>
    <row r="82" spans="1:3" s="64" customFormat="1" ht="18" thickBot="1">
      <c r="A82" s="73" t="s">
        <v>120</v>
      </c>
      <c r="B82" s="74" t="s">
        <v>121</v>
      </c>
      <c r="C82" s="75">
        <f>[18]С2!F32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[18]С3!F14</f>
        <v>7051.1767451401192</v>
      </c>
    </row>
    <row r="86" spans="1:3" s="64" customFormat="1" ht="42.75">
      <c r="A86" s="78" t="s">
        <v>126</v>
      </c>
      <c r="B86" s="54" t="s">
        <v>127</v>
      </c>
      <c r="C86" s="79">
        <f>[18]С3!F15</f>
        <v>0.2</v>
      </c>
    </row>
    <row r="87" spans="1:3" s="64" customFormat="1" ht="14.25">
      <c r="A87" s="78" t="s">
        <v>128</v>
      </c>
      <c r="B87" s="80" t="s">
        <v>129</v>
      </c>
      <c r="C87" s="63">
        <f>[18]С3!F18</f>
        <v>15</v>
      </c>
    </row>
    <row r="88" spans="1:3" s="64" customFormat="1" ht="17.25">
      <c r="A88" s="78" t="s">
        <v>130</v>
      </c>
      <c r="B88" s="34" t="s">
        <v>131</v>
      </c>
      <c r="C88" s="35">
        <f>[18]С3!F19</f>
        <v>3487.1555421534131</v>
      </c>
    </row>
    <row r="89" spans="1:3" s="64" customFormat="1" ht="55.5">
      <c r="A89" s="78" t="s">
        <v>132</v>
      </c>
      <c r="B89" s="54" t="s">
        <v>133</v>
      </c>
      <c r="C89" s="81">
        <f>[18]С3!F20</f>
        <v>2.1999999999999999E-2</v>
      </c>
    </row>
    <row r="90" spans="1:3" s="64" customFormat="1" ht="14.25">
      <c r="A90" s="78" t="s">
        <v>134</v>
      </c>
      <c r="B90" s="59" t="s">
        <v>80</v>
      </c>
      <c r="C90" s="63">
        <f>[18]С3!F21</f>
        <v>10</v>
      </c>
    </row>
    <row r="91" spans="1:3" s="64" customFormat="1" ht="17.25">
      <c r="A91" s="78" t="s">
        <v>135</v>
      </c>
      <c r="B91" s="34" t="s">
        <v>136</v>
      </c>
      <c r="C91" s="35">
        <f>[18]С3!F22</f>
        <v>6.8231796744548348</v>
      </c>
    </row>
    <row r="92" spans="1:3" s="64" customFormat="1" ht="55.5">
      <c r="A92" s="78" t="s">
        <v>137</v>
      </c>
      <c r="B92" s="54" t="s">
        <v>138</v>
      </c>
      <c r="C92" s="81">
        <f>[18]С3!F23</f>
        <v>3.0000000000000001E-3</v>
      </c>
    </row>
    <row r="93" spans="1:3" s="64" customFormat="1" ht="27.75" thickBot="1">
      <c r="A93" s="82" t="s">
        <v>139</v>
      </c>
      <c r="B93" s="83" t="s">
        <v>140</v>
      </c>
      <c r="C93" s="84">
        <f>[18]С3!F24</f>
        <v>2274.3932248182782</v>
      </c>
    </row>
    <row r="94" spans="1:3" ht="13.5" thickBot="1">
      <c r="A94" s="48"/>
      <c r="B94" s="76"/>
      <c r="C94" s="15"/>
    </row>
    <row r="95" spans="1:3" ht="30" customHeight="1">
      <c r="A95" s="85" t="s">
        <v>141</v>
      </c>
      <c r="B95" s="142" t="s">
        <v>142</v>
      </c>
      <c r="C95" s="142"/>
    </row>
    <row r="96" spans="1:3" ht="30">
      <c r="A96" s="60" t="s">
        <v>143</v>
      </c>
      <c r="B96" s="34" t="s">
        <v>144</v>
      </c>
      <c r="C96" s="35">
        <f>[18]С4!F16</f>
        <v>1652.5</v>
      </c>
    </row>
    <row r="97" spans="1:3" ht="30">
      <c r="A97" s="60" t="s">
        <v>145</v>
      </c>
      <c r="B97" s="59" t="s">
        <v>146</v>
      </c>
      <c r="C97" s="35">
        <f>[18]С4!F17</f>
        <v>73547</v>
      </c>
    </row>
    <row r="98" spans="1:3" ht="17.25">
      <c r="A98" s="60" t="s">
        <v>147</v>
      </c>
      <c r="B98" s="59" t="s">
        <v>148</v>
      </c>
      <c r="C98" s="41">
        <f>[18]С4!F18</f>
        <v>0.02</v>
      </c>
    </row>
    <row r="99" spans="1:3" ht="30">
      <c r="A99" s="60" t="s">
        <v>149</v>
      </c>
      <c r="B99" s="59" t="s">
        <v>150</v>
      </c>
      <c r="C99" s="35">
        <f>[18]С4!F19</f>
        <v>12104</v>
      </c>
    </row>
    <row r="100" spans="1:3" ht="31.5">
      <c r="A100" s="60" t="s">
        <v>151</v>
      </c>
      <c r="B100" s="59" t="s">
        <v>152</v>
      </c>
      <c r="C100" s="41">
        <f>[18]С4!F20</f>
        <v>1.4999999999999999E-2</v>
      </c>
    </row>
    <row r="101" spans="1:3" ht="30">
      <c r="A101" s="60" t="s">
        <v>153</v>
      </c>
      <c r="B101" s="34" t="s">
        <v>154</v>
      </c>
      <c r="C101" s="35">
        <f>[18]С4!F21</f>
        <v>1933.1949342509995</v>
      </c>
    </row>
    <row r="102" spans="1:3" ht="24" customHeight="1">
      <c r="A102" s="60" t="s">
        <v>155</v>
      </c>
      <c r="B102" s="54" t="s">
        <v>156</v>
      </c>
      <c r="C102" s="86">
        <f>IF([18]С4.2!F8="да",[18]С4.2!D21,[18]С4.2!D15)</f>
        <v>0</v>
      </c>
    </row>
    <row r="103" spans="1:3" ht="68.25">
      <c r="A103" s="60" t="s">
        <v>157</v>
      </c>
      <c r="B103" s="54" t="s">
        <v>158</v>
      </c>
      <c r="C103" s="35">
        <f>[18]С4!F22</f>
        <v>3.6112641666666665</v>
      </c>
    </row>
    <row r="104" spans="1:3" ht="30">
      <c r="A104" s="60" t="s">
        <v>159</v>
      </c>
      <c r="B104" s="59" t="s">
        <v>160</v>
      </c>
      <c r="C104" s="35">
        <f>[18]С4!F23</f>
        <v>180</v>
      </c>
    </row>
    <row r="105" spans="1:3" ht="14.25">
      <c r="A105" s="60" t="s">
        <v>161</v>
      </c>
      <c r="B105" s="54" t="s">
        <v>162</v>
      </c>
      <c r="C105" s="35">
        <f>[18]С4!F24</f>
        <v>8497.1999999999989</v>
      </c>
    </row>
    <row r="106" spans="1:3" ht="14.25">
      <c r="A106" s="60" t="s">
        <v>163</v>
      </c>
      <c r="B106" s="59" t="s">
        <v>164</v>
      </c>
      <c r="C106" s="41">
        <f>[18]С4!F25</f>
        <v>0.35</v>
      </c>
    </row>
    <row r="107" spans="1:3" ht="17.25">
      <c r="A107" s="60" t="s">
        <v>165</v>
      </c>
      <c r="B107" s="34" t="s">
        <v>166</v>
      </c>
      <c r="C107" s="35">
        <f>[18]С4!F26</f>
        <v>91.62612</v>
      </c>
    </row>
    <row r="108" spans="1:3" ht="25.5">
      <c r="A108" s="60" t="s">
        <v>167</v>
      </c>
      <c r="B108" s="54" t="s">
        <v>94</v>
      </c>
      <c r="C108" s="86">
        <f>[18]С4.3!E16</f>
        <v>0</v>
      </c>
    </row>
    <row r="109" spans="1:3" ht="25.5">
      <c r="A109" s="60" t="s">
        <v>168</v>
      </c>
      <c r="B109" s="54" t="s">
        <v>169</v>
      </c>
      <c r="C109" s="35">
        <f>[18]С4.3!E17</f>
        <v>25.2</v>
      </c>
    </row>
    <row r="110" spans="1:3" ht="38.25">
      <c r="A110" s="60" t="s">
        <v>170</v>
      </c>
      <c r="B110" s="54" t="s">
        <v>106</v>
      </c>
      <c r="C110" s="86">
        <f>[18]С4.3!E18</f>
        <v>0</v>
      </c>
    </row>
    <row r="111" spans="1:3">
      <c r="A111" s="60" t="s">
        <v>171</v>
      </c>
      <c r="B111" s="54" t="s">
        <v>172</v>
      </c>
      <c r="C111" s="35">
        <f>[18]С4.3!E19</f>
        <v>15.93</v>
      </c>
    </row>
    <row r="112" spans="1:3">
      <c r="A112" s="60" t="s">
        <v>173</v>
      </c>
      <c r="B112" s="59" t="s">
        <v>174</v>
      </c>
      <c r="C112" s="35">
        <f>[18]С4.3!E11</f>
        <v>1871</v>
      </c>
    </row>
    <row r="113" spans="1:3">
      <c r="A113" s="60" t="s">
        <v>175</v>
      </c>
      <c r="B113" s="59" t="s">
        <v>176</v>
      </c>
      <c r="C113" s="53">
        <f>[18]С4.3!E12</f>
        <v>1636</v>
      </c>
    </row>
    <row r="114" spans="1:3">
      <c r="A114" s="60" t="s">
        <v>177</v>
      </c>
      <c r="B114" s="59" t="s">
        <v>178</v>
      </c>
      <c r="C114" s="53">
        <f>[18]С4.3!E13</f>
        <v>204</v>
      </c>
    </row>
    <row r="115" spans="1:3" ht="30">
      <c r="A115" s="60" t="s">
        <v>179</v>
      </c>
      <c r="B115" s="34" t="s">
        <v>180</v>
      </c>
      <c r="C115" s="35">
        <f>[18]С4!F27</f>
        <v>2164.8316773434499</v>
      </c>
    </row>
    <row r="116" spans="1:3" ht="25.5">
      <c r="A116" s="60" t="s">
        <v>181</v>
      </c>
      <c r="B116" s="54" t="s">
        <v>182</v>
      </c>
      <c r="C116" s="35">
        <f>[18]С4!F28</f>
        <v>1662.6971408167815</v>
      </c>
    </row>
    <row r="117" spans="1:3" ht="42.75">
      <c r="A117" s="60" t="s">
        <v>183</v>
      </c>
      <c r="B117" s="54" t="s">
        <v>184</v>
      </c>
      <c r="C117" s="35">
        <f>[18]С4!F29</f>
        <v>502.13453652666817</v>
      </c>
    </row>
    <row r="118" spans="1:3" ht="30">
      <c r="A118" s="60" t="s">
        <v>185</v>
      </c>
      <c r="B118" s="40" t="s">
        <v>186</v>
      </c>
      <c r="C118" s="35">
        <f>[18]С4!F30</f>
        <v>2235.1481267139443</v>
      </c>
    </row>
    <row r="119" spans="1:3" ht="42.75">
      <c r="A119" s="60" t="s">
        <v>187</v>
      </c>
      <c r="B119" s="87" t="s">
        <v>188</v>
      </c>
      <c r="C119" s="35">
        <f>[18]С4!F33</f>
        <v>1437.727675948905</v>
      </c>
    </row>
    <row r="120" spans="1:3" ht="30">
      <c r="A120" s="60" t="s">
        <v>189</v>
      </c>
      <c r="B120" s="88" t="s">
        <v>190</v>
      </c>
      <c r="C120" s="35">
        <f>[18]С4!F35</f>
        <v>17.040680999999999</v>
      </c>
    </row>
    <row r="121" spans="1:3" ht="14.25">
      <c r="A121" s="60" t="s">
        <v>191</v>
      </c>
      <c r="B121" s="57" t="s">
        <v>192</v>
      </c>
      <c r="C121" s="35">
        <f>[18]С4!F36</f>
        <v>14319.9</v>
      </c>
    </row>
    <row r="122" spans="1:3" ht="28.5" thickBot="1">
      <c r="A122" s="73" t="s">
        <v>193</v>
      </c>
      <c r="B122" s="89" t="s">
        <v>194</v>
      </c>
      <c r="C122" s="84">
        <f>[18]С4!F37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[18]С5!F17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[18]С2!F37</f>
        <v>20.818139999999996</v>
      </c>
    </row>
    <row r="136" spans="1:3" ht="14.25">
      <c r="A136" s="60" t="s">
        <v>216</v>
      </c>
      <c r="B136" s="102" t="s">
        <v>217</v>
      </c>
      <c r="C136" s="35">
        <f>[18]С2!F38</f>
        <v>7</v>
      </c>
    </row>
    <row r="137" spans="1:3" ht="17.25">
      <c r="A137" s="60" t="s">
        <v>218</v>
      </c>
      <c r="B137" s="102" t="s">
        <v>219</v>
      </c>
      <c r="C137" s="35">
        <f>[18]С2!F40</f>
        <v>0.97</v>
      </c>
    </row>
    <row r="138" spans="1:3" ht="15" thickBot="1">
      <c r="A138" s="73" t="s">
        <v>220</v>
      </c>
      <c r="B138" s="103" t="s">
        <v>221</v>
      </c>
      <c r="C138" s="47">
        <f>[18]С2!F42</f>
        <v>0.35</v>
      </c>
    </row>
    <row r="139" spans="1:3" s="90" customFormat="1" ht="13.5" thickBot="1">
      <c r="A139" s="48"/>
      <c r="B139" s="76"/>
      <c r="C139" s="15"/>
    </row>
    <row r="140" spans="1:3" ht="30">
      <c r="A140" s="85" t="s">
        <v>222</v>
      </c>
      <c r="B140" s="104" t="s">
        <v>223</v>
      </c>
      <c r="C140" s="105">
        <f>[18]С2!F35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[18]С2.5!$E$11</f>
        <v>-2.9000000000000026E-2</v>
      </c>
    </row>
    <row r="144" spans="1:3">
      <c r="A144" s="107"/>
      <c r="B144" s="112">
        <f>B143+1</f>
        <v>2021</v>
      </c>
      <c r="C144" s="113">
        <f>[18]С2.5!$F$11</f>
        <v>0.245</v>
      </c>
    </row>
    <row r="145" spans="1:3">
      <c r="A145" s="107"/>
      <c r="B145" s="112">
        <f t="shared" ref="B145:B208" si="0">B144+1</f>
        <v>2022</v>
      </c>
      <c r="C145" s="113">
        <f>[18]С2.5!$G$11</f>
        <v>0.121</v>
      </c>
    </row>
    <row r="146" spans="1:3" ht="13.5" thickBot="1">
      <c r="A146" s="107"/>
      <c r="B146" s="114">
        <f t="shared" si="0"/>
        <v>2023</v>
      </c>
      <c r="C146" s="115">
        <f>[18]С2.5!$H$11</f>
        <v>0.02</v>
      </c>
    </row>
    <row r="147" spans="1:3" hidden="1">
      <c r="A147" s="107"/>
      <c r="B147" s="116">
        <f t="shared" si="0"/>
        <v>2024</v>
      </c>
      <c r="C147" s="117">
        <f>[18]С2.5!$I$11</f>
        <v>-2.93E-2</v>
      </c>
    </row>
    <row r="148" spans="1:3" hidden="1">
      <c r="A148" s="107"/>
      <c r="B148" s="112">
        <f t="shared" si="0"/>
        <v>2025</v>
      </c>
      <c r="C148" s="113">
        <f>[18]С2.5!$J$11</f>
        <v>0.21215960863291</v>
      </c>
    </row>
    <row r="149" spans="1:3" hidden="1">
      <c r="A149" s="107"/>
      <c r="B149" s="112">
        <f t="shared" si="0"/>
        <v>2026</v>
      </c>
      <c r="C149" s="113">
        <f>[18]С2.5!$K$11</f>
        <v>3.5813361771260002E-2</v>
      </c>
    </row>
    <row r="150" spans="1:3" hidden="1">
      <c r="A150" s="107"/>
      <c r="B150" s="112">
        <f t="shared" si="0"/>
        <v>2027</v>
      </c>
      <c r="C150" s="113">
        <f>[18]С2.5!$L$11</f>
        <v>3.2682303599220003E-2</v>
      </c>
    </row>
    <row r="151" spans="1:3" hidden="1">
      <c r="A151" s="107"/>
      <c r="B151" s="112">
        <f t="shared" si="0"/>
        <v>2028</v>
      </c>
      <c r="C151" s="113">
        <f>[18]С2.5!$M$11</f>
        <v>0</v>
      </c>
    </row>
    <row r="152" spans="1:3" hidden="1">
      <c r="A152" s="107"/>
      <c r="B152" s="112">
        <f t="shared" si="0"/>
        <v>2029</v>
      </c>
      <c r="C152" s="113">
        <f>[18]С2.5!$N$11</f>
        <v>0</v>
      </c>
    </row>
    <row r="153" spans="1:3" hidden="1">
      <c r="A153" s="107"/>
      <c r="B153" s="112">
        <f t="shared" si="0"/>
        <v>2030</v>
      </c>
      <c r="C153" s="113">
        <f>[18]С2.5!$O$11</f>
        <v>0</v>
      </c>
    </row>
    <row r="154" spans="1:3" hidden="1">
      <c r="A154" s="107"/>
      <c r="B154" s="112">
        <f t="shared" si="0"/>
        <v>2031</v>
      </c>
      <c r="C154" s="113">
        <f>[18]С2.5!$P$11</f>
        <v>0</v>
      </c>
    </row>
    <row r="155" spans="1:3" hidden="1">
      <c r="A155" s="90"/>
      <c r="B155" s="112">
        <f t="shared" si="0"/>
        <v>2032</v>
      </c>
      <c r="C155" s="113">
        <f>[18]С2.5!$Q$11</f>
        <v>0</v>
      </c>
    </row>
    <row r="156" spans="1:3" hidden="1">
      <c r="A156" s="90"/>
      <c r="B156" s="112">
        <f t="shared" si="0"/>
        <v>2033</v>
      </c>
      <c r="C156" s="113">
        <f>[18]С2.5!$R$11</f>
        <v>0</v>
      </c>
    </row>
    <row r="157" spans="1:3" hidden="1">
      <c r="B157" s="112">
        <f t="shared" si="0"/>
        <v>2034</v>
      </c>
      <c r="C157" s="113">
        <f>[18]С2.5!$S$11</f>
        <v>0</v>
      </c>
    </row>
    <row r="158" spans="1:3" hidden="1">
      <c r="B158" s="112">
        <f t="shared" si="0"/>
        <v>2035</v>
      </c>
      <c r="C158" s="113">
        <f>[18]С2.5!$T$11</f>
        <v>0</v>
      </c>
    </row>
    <row r="159" spans="1:3" hidden="1">
      <c r="B159" s="112">
        <f t="shared" si="0"/>
        <v>2036</v>
      </c>
      <c r="C159" s="113">
        <f>[18]С2.5!$U$11</f>
        <v>0</v>
      </c>
    </row>
    <row r="160" spans="1:3" hidden="1">
      <c r="B160" s="112">
        <f t="shared" si="0"/>
        <v>2037</v>
      </c>
      <c r="C160" s="113">
        <f>[18]С2.5!$V$11</f>
        <v>0</v>
      </c>
    </row>
    <row r="161" spans="2:3" hidden="1">
      <c r="B161" s="112">
        <f t="shared" si="0"/>
        <v>2038</v>
      </c>
      <c r="C161" s="113">
        <f>[18]С2.5!$W$11</f>
        <v>0</v>
      </c>
    </row>
    <row r="162" spans="2:3" hidden="1">
      <c r="B162" s="112">
        <f t="shared" si="0"/>
        <v>2039</v>
      </c>
      <c r="C162" s="113">
        <f>[18]С2.5!$X$11</f>
        <v>0</v>
      </c>
    </row>
    <row r="163" spans="2:3" hidden="1">
      <c r="B163" s="112">
        <f t="shared" si="0"/>
        <v>2040</v>
      </c>
      <c r="C163" s="113">
        <f>[18]С2.5!$Y$11</f>
        <v>0</v>
      </c>
    </row>
    <row r="164" spans="2:3" hidden="1">
      <c r="B164" s="112">
        <f t="shared" si="0"/>
        <v>2041</v>
      </c>
      <c r="C164" s="113">
        <f>[18]С2.5!$Z$11</f>
        <v>0</v>
      </c>
    </row>
    <row r="165" spans="2:3" hidden="1">
      <c r="B165" s="112">
        <f t="shared" si="0"/>
        <v>2042</v>
      </c>
      <c r="C165" s="113">
        <f>[18]С2.5!$AA$11</f>
        <v>0</v>
      </c>
    </row>
    <row r="166" spans="2:3" hidden="1">
      <c r="B166" s="112">
        <f t="shared" si="0"/>
        <v>2043</v>
      </c>
      <c r="C166" s="113">
        <f>[18]С2.5!$AB$11</f>
        <v>0</v>
      </c>
    </row>
    <row r="167" spans="2:3" hidden="1">
      <c r="B167" s="112">
        <f t="shared" si="0"/>
        <v>2044</v>
      </c>
      <c r="C167" s="113">
        <f>[18]С2.5!$AC$11</f>
        <v>0</v>
      </c>
    </row>
    <row r="168" spans="2:3" hidden="1">
      <c r="B168" s="112">
        <f t="shared" si="0"/>
        <v>2045</v>
      </c>
      <c r="C168" s="113">
        <f>[18]С2.5!$AD$11</f>
        <v>0</v>
      </c>
    </row>
    <row r="169" spans="2:3" hidden="1">
      <c r="B169" s="112">
        <f t="shared" si="0"/>
        <v>2046</v>
      </c>
      <c r="C169" s="113">
        <f>[18]С2.5!$AE$11</f>
        <v>0</v>
      </c>
    </row>
    <row r="170" spans="2:3" hidden="1">
      <c r="B170" s="112">
        <f t="shared" si="0"/>
        <v>2047</v>
      </c>
      <c r="C170" s="113">
        <f>[18]С2.5!$AF$11</f>
        <v>0</v>
      </c>
    </row>
    <row r="171" spans="2:3" hidden="1">
      <c r="B171" s="112">
        <f t="shared" si="0"/>
        <v>2048</v>
      </c>
      <c r="C171" s="113">
        <f>[18]С2.5!$AG$11</f>
        <v>0</v>
      </c>
    </row>
    <row r="172" spans="2:3" hidden="1">
      <c r="B172" s="112">
        <f t="shared" si="0"/>
        <v>2049</v>
      </c>
      <c r="C172" s="113">
        <f>[18]С2.5!$AH$11</f>
        <v>0</v>
      </c>
    </row>
    <row r="173" spans="2:3" hidden="1">
      <c r="B173" s="112">
        <f t="shared" si="0"/>
        <v>2050</v>
      </c>
      <c r="C173" s="113">
        <f>[18]С2.5!$AI$11</f>
        <v>0</v>
      </c>
    </row>
    <row r="174" spans="2:3" hidden="1">
      <c r="B174" s="112">
        <f t="shared" si="0"/>
        <v>2051</v>
      </c>
      <c r="C174" s="113">
        <f>[18]С2.5!$AJ$11</f>
        <v>0</v>
      </c>
    </row>
    <row r="175" spans="2:3" hidden="1">
      <c r="B175" s="112">
        <f t="shared" si="0"/>
        <v>2052</v>
      </c>
      <c r="C175" s="113">
        <f>[18]С2.5!$AK$11</f>
        <v>0</v>
      </c>
    </row>
    <row r="176" spans="2:3" hidden="1">
      <c r="B176" s="112">
        <f t="shared" si="0"/>
        <v>2053</v>
      </c>
      <c r="C176" s="113">
        <f>[18]С2.5!$AL$11</f>
        <v>0</v>
      </c>
    </row>
    <row r="177" spans="2:3" hidden="1">
      <c r="B177" s="112">
        <f t="shared" si="0"/>
        <v>2054</v>
      </c>
      <c r="C177" s="113">
        <f>[18]С2.5!$AM$11</f>
        <v>0</v>
      </c>
    </row>
    <row r="178" spans="2:3" hidden="1">
      <c r="B178" s="112">
        <f t="shared" si="0"/>
        <v>2055</v>
      </c>
      <c r="C178" s="113">
        <f>[18]С2.5!$AN$11</f>
        <v>0</v>
      </c>
    </row>
    <row r="179" spans="2:3" hidden="1">
      <c r="B179" s="112">
        <f t="shared" si="0"/>
        <v>2056</v>
      </c>
      <c r="C179" s="113">
        <f>[18]С2.5!$AO$11</f>
        <v>0</v>
      </c>
    </row>
    <row r="180" spans="2:3" hidden="1">
      <c r="B180" s="112">
        <f t="shared" si="0"/>
        <v>2057</v>
      </c>
      <c r="C180" s="113">
        <f>[18]С2.5!$AP$11</f>
        <v>0</v>
      </c>
    </row>
    <row r="181" spans="2:3" hidden="1">
      <c r="B181" s="112">
        <f t="shared" si="0"/>
        <v>2058</v>
      </c>
      <c r="C181" s="113">
        <f>[18]С2.5!$AQ$11</f>
        <v>0</v>
      </c>
    </row>
    <row r="182" spans="2:3" hidden="1">
      <c r="B182" s="112">
        <f t="shared" si="0"/>
        <v>2059</v>
      </c>
      <c r="C182" s="113">
        <f>[18]С2.5!$AR$11</f>
        <v>0</v>
      </c>
    </row>
    <row r="183" spans="2:3" hidden="1">
      <c r="B183" s="112">
        <f t="shared" si="0"/>
        <v>2060</v>
      </c>
      <c r="C183" s="113">
        <f>[18]С2.5!$AS$11</f>
        <v>0</v>
      </c>
    </row>
    <row r="184" spans="2:3" hidden="1">
      <c r="B184" s="112">
        <f t="shared" si="0"/>
        <v>2061</v>
      </c>
      <c r="C184" s="113">
        <f>[18]С2.5!$AT$11</f>
        <v>0</v>
      </c>
    </row>
    <row r="185" spans="2:3" hidden="1">
      <c r="B185" s="112">
        <f t="shared" si="0"/>
        <v>2062</v>
      </c>
      <c r="C185" s="113">
        <f>[18]С2.5!$AU$11</f>
        <v>0</v>
      </c>
    </row>
    <row r="186" spans="2:3" hidden="1">
      <c r="B186" s="112">
        <f t="shared" si="0"/>
        <v>2063</v>
      </c>
      <c r="C186" s="113">
        <f>[18]С2.5!$AV$11</f>
        <v>0</v>
      </c>
    </row>
    <row r="187" spans="2:3" hidden="1">
      <c r="B187" s="112">
        <f t="shared" si="0"/>
        <v>2064</v>
      </c>
      <c r="C187" s="113">
        <f>[18]С2.5!$AW$11</f>
        <v>0</v>
      </c>
    </row>
    <row r="188" spans="2:3" hidden="1">
      <c r="B188" s="112">
        <f t="shared" si="0"/>
        <v>2065</v>
      </c>
      <c r="C188" s="113">
        <f>[18]С2.5!$AX$11</f>
        <v>0</v>
      </c>
    </row>
    <row r="189" spans="2:3" hidden="1">
      <c r="B189" s="112">
        <f t="shared" si="0"/>
        <v>2066</v>
      </c>
      <c r="C189" s="113">
        <f>[18]С2.5!$AY$11</f>
        <v>0</v>
      </c>
    </row>
    <row r="190" spans="2:3" hidden="1">
      <c r="B190" s="112">
        <f t="shared" si="0"/>
        <v>2067</v>
      </c>
      <c r="C190" s="113">
        <f>[18]С2.5!$AZ$11</f>
        <v>0</v>
      </c>
    </row>
    <row r="191" spans="2:3" hidden="1">
      <c r="B191" s="112">
        <f t="shared" si="0"/>
        <v>2068</v>
      </c>
      <c r="C191" s="113">
        <f>[18]С2.5!$BA$11</f>
        <v>0</v>
      </c>
    </row>
    <row r="192" spans="2:3" hidden="1">
      <c r="B192" s="112">
        <f t="shared" si="0"/>
        <v>2069</v>
      </c>
      <c r="C192" s="113">
        <f>[18]С2.5!$BB$11</f>
        <v>0</v>
      </c>
    </row>
    <row r="193" spans="2:3" hidden="1">
      <c r="B193" s="112">
        <f t="shared" si="0"/>
        <v>2070</v>
      </c>
      <c r="C193" s="113">
        <f>[18]С2.5!$BC$11</f>
        <v>0</v>
      </c>
    </row>
    <row r="194" spans="2:3" hidden="1">
      <c r="B194" s="112">
        <f t="shared" si="0"/>
        <v>2071</v>
      </c>
      <c r="C194" s="113">
        <f>[18]С2.5!$BD$11</f>
        <v>0</v>
      </c>
    </row>
    <row r="195" spans="2:3" hidden="1">
      <c r="B195" s="112">
        <f t="shared" si="0"/>
        <v>2072</v>
      </c>
      <c r="C195" s="113">
        <f>[18]С2.5!$BE$11</f>
        <v>0</v>
      </c>
    </row>
    <row r="196" spans="2:3" hidden="1">
      <c r="B196" s="112">
        <f t="shared" si="0"/>
        <v>2073</v>
      </c>
      <c r="C196" s="113">
        <f>[18]С2.5!$BF$11</f>
        <v>0</v>
      </c>
    </row>
    <row r="197" spans="2:3" hidden="1">
      <c r="B197" s="112">
        <f t="shared" si="0"/>
        <v>2074</v>
      </c>
      <c r="C197" s="113">
        <f>[18]С2.5!$BG$11</f>
        <v>0</v>
      </c>
    </row>
    <row r="198" spans="2:3" hidden="1">
      <c r="B198" s="112">
        <f t="shared" si="0"/>
        <v>2075</v>
      </c>
      <c r="C198" s="113">
        <f>[18]С2.5!$BH$11</f>
        <v>0</v>
      </c>
    </row>
    <row r="199" spans="2:3" hidden="1">
      <c r="B199" s="112">
        <f t="shared" si="0"/>
        <v>2076</v>
      </c>
      <c r="C199" s="113">
        <f>[18]С2.5!$BI$11</f>
        <v>0</v>
      </c>
    </row>
    <row r="200" spans="2:3" hidden="1">
      <c r="B200" s="112">
        <f t="shared" si="0"/>
        <v>2077</v>
      </c>
      <c r="C200" s="113">
        <f>[18]С2.5!$BJ$11</f>
        <v>0</v>
      </c>
    </row>
    <row r="201" spans="2:3" hidden="1">
      <c r="B201" s="112">
        <f t="shared" si="0"/>
        <v>2078</v>
      </c>
      <c r="C201" s="113">
        <f>[18]С2.5!$BK$11</f>
        <v>0</v>
      </c>
    </row>
    <row r="202" spans="2:3" hidden="1">
      <c r="B202" s="112">
        <f t="shared" si="0"/>
        <v>2079</v>
      </c>
      <c r="C202" s="113">
        <f>[18]С2.5!$BL$11</f>
        <v>0</v>
      </c>
    </row>
    <row r="203" spans="2:3" hidden="1">
      <c r="B203" s="112">
        <f t="shared" si="0"/>
        <v>2080</v>
      </c>
      <c r="C203" s="113">
        <f>[18]С2.5!$BM$11</f>
        <v>0</v>
      </c>
    </row>
    <row r="204" spans="2:3" hidden="1">
      <c r="B204" s="112">
        <f t="shared" si="0"/>
        <v>2081</v>
      </c>
      <c r="C204" s="113">
        <f>[18]С2.5!$BN$11</f>
        <v>0</v>
      </c>
    </row>
    <row r="205" spans="2:3" hidden="1">
      <c r="B205" s="112">
        <f t="shared" si="0"/>
        <v>2082</v>
      </c>
      <c r="C205" s="113">
        <f>[18]С2.5!$BO$11</f>
        <v>0</v>
      </c>
    </row>
    <row r="206" spans="2:3" hidden="1">
      <c r="B206" s="112">
        <f t="shared" si="0"/>
        <v>2083</v>
      </c>
      <c r="C206" s="113">
        <f>[18]С2.5!$BP$11</f>
        <v>0</v>
      </c>
    </row>
    <row r="207" spans="2:3" hidden="1">
      <c r="B207" s="112">
        <f t="shared" si="0"/>
        <v>2084</v>
      </c>
      <c r="C207" s="113">
        <f>[18]С2.5!$BQ$11</f>
        <v>0</v>
      </c>
    </row>
    <row r="208" spans="2:3" hidden="1">
      <c r="B208" s="112">
        <f t="shared" si="0"/>
        <v>2085</v>
      </c>
      <c r="C208" s="113">
        <f>[18]С2.5!$BR$11</f>
        <v>0</v>
      </c>
    </row>
    <row r="209" spans="2:3" hidden="1">
      <c r="B209" s="112">
        <f t="shared" ref="B209:B223" si="1">B208+1</f>
        <v>2086</v>
      </c>
      <c r="C209" s="113">
        <f>[18]С2.5!$BS$11</f>
        <v>0</v>
      </c>
    </row>
    <row r="210" spans="2:3" hidden="1">
      <c r="B210" s="112">
        <f t="shared" si="1"/>
        <v>2087</v>
      </c>
      <c r="C210" s="113">
        <f>[18]С2.5!$BT$11</f>
        <v>0</v>
      </c>
    </row>
    <row r="211" spans="2:3" hidden="1">
      <c r="B211" s="112">
        <f t="shared" si="1"/>
        <v>2088</v>
      </c>
      <c r="C211" s="113">
        <f>[18]С2.5!$BU$11</f>
        <v>0</v>
      </c>
    </row>
    <row r="212" spans="2:3" hidden="1">
      <c r="B212" s="112">
        <f t="shared" si="1"/>
        <v>2089</v>
      </c>
      <c r="C212" s="113">
        <f>[18]С2.5!$BV$11</f>
        <v>0</v>
      </c>
    </row>
    <row r="213" spans="2:3" hidden="1">
      <c r="B213" s="112">
        <f t="shared" si="1"/>
        <v>2090</v>
      </c>
      <c r="C213" s="113">
        <f>[18]С2.5!$BW$11</f>
        <v>0</v>
      </c>
    </row>
    <row r="214" spans="2:3" hidden="1">
      <c r="B214" s="112">
        <f t="shared" si="1"/>
        <v>2091</v>
      </c>
      <c r="C214" s="113">
        <f>[18]С2.5!$BX$11</f>
        <v>0</v>
      </c>
    </row>
    <row r="215" spans="2:3" hidden="1">
      <c r="B215" s="112">
        <f t="shared" si="1"/>
        <v>2092</v>
      </c>
      <c r="C215" s="113">
        <f>[18]С2.5!$BY$11</f>
        <v>0</v>
      </c>
    </row>
    <row r="216" spans="2:3" hidden="1">
      <c r="B216" s="112">
        <f t="shared" si="1"/>
        <v>2093</v>
      </c>
      <c r="C216" s="113">
        <f>[18]С2.5!$BZ$11</f>
        <v>0</v>
      </c>
    </row>
    <row r="217" spans="2:3" hidden="1">
      <c r="B217" s="112">
        <f t="shared" si="1"/>
        <v>2094</v>
      </c>
      <c r="C217" s="113">
        <f>[18]С2.5!$CA$11</f>
        <v>0</v>
      </c>
    </row>
    <row r="218" spans="2:3" hidden="1">
      <c r="B218" s="112">
        <f t="shared" si="1"/>
        <v>2095</v>
      </c>
      <c r="C218" s="113">
        <f>[18]С2.5!$CB$11</f>
        <v>0</v>
      </c>
    </row>
    <row r="219" spans="2:3" hidden="1">
      <c r="B219" s="112">
        <f t="shared" si="1"/>
        <v>2096</v>
      </c>
      <c r="C219" s="113">
        <f>[18]С2.5!$CC$11</f>
        <v>0</v>
      </c>
    </row>
    <row r="220" spans="2:3" hidden="1">
      <c r="B220" s="112">
        <f t="shared" si="1"/>
        <v>2097</v>
      </c>
      <c r="C220" s="113">
        <f>[18]С2.5!$CD$11</f>
        <v>0</v>
      </c>
    </row>
    <row r="221" spans="2:3" hidden="1">
      <c r="B221" s="112">
        <f t="shared" si="1"/>
        <v>2098</v>
      </c>
      <c r="C221" s="113">
        <f>[18]С2.5!$CE$11</f>
        <v>0</v>
      </c>
    </row>
    <row r="222" spans="2:3" hidden="1">
      <c r="B222" s="112">
        <f t="shared" si="1"/>
        <v>2099</v>
      </c>
      <c r="C222" s="113">
        <f>[18]С2.5!$CF$11</f>
        <v>0</v>
      </c>
    </row>
    <row r="223" spans="2:3" ht="13.5" hidden="1" thickBot="1">
      <c r="B223" s="114">
        <f t="shared" si="1"/>
        <v>2100</v>
      </c>
      <c r="C223" s="115">
        <f>[18]С2.5!$CG$11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[19]И1!D13</f>
        <v>Субъект Российской Федерации</v>
      </c>
      <c r="C4" s="10" t="str">
        <f>[19]И1!E13</f>
        <v>Новосибирская область</v>
      </c>
    </row>
    <row r="5" spans="1:3">
      <c r="A5" s="8"/>
      <c r="B5" s="9" t="str">
        <f>[19]И1!D14</f>
        <v>Тип муниципального образования (выберите из списка)</v>
      </c>
      <c r="C5" s="10" t="str">
        <f>[19]И1!E14</f>
        <v>деревня Сергино</v>
      </c>
    </row>
    <row r="6" spans="1:3">
      <c r="A6" s="8"/>
      <c r="B6" s="9" t="str">
        <f>IF([19]И1!E15="","",[19]И1!D15)</f>
        <v/>
      </c>
      <c r="C6" s="10" t="str">
        <f>IF([19]И1!E15="","",[19]И1!E15)</f>
        <v/>
      </c>
    </row>
    <row r="7" spans="1:3">
      <c r="A7" s="8"/>
      <c r="B7" s="9" t="str">
        <f>[19]И1!D16</f>
        <v>Код ОКТМО</v>
      </c>
      <c r="C7" s="11" t="str">
        <f>[19]И1!E16</f>
        <v>50630443101</v>
      </c>
    </row>
    <row r="8" spans="1:3">
      <c r="A8" s="8"/>
      <c r="B8" s="12" t="str">
        <f>[19]И1!D17</f>
        <v>Система теплоснабжения</v>
      </c>
      <c r="C8" s="13">
        <f>[19]И1!E17</f>
        <v>0</v>
      </c>
    </row>
    <row r="9" spans="1:3">
      <c r="A9" s="8"/>
      <c r="B9" s="9" t="str">
        <f>[19]И1!D8</f>
        <v>Период регулирования (i)-й</v>
      </c>
      <c r="C9" s="14">
        <f>[19]И1!E8</f>
        <v>2023</v>
      </c>
    </row>
    <row r="10" spans="1:3">
      <c r="A10" s="8"/>
      <c r="B10" s="9" t="str">
        <f>[19]И1!D9</f>
        <v>Период регулирования (i-1)-й</v>
      </c>
      <c r="C10" s="14">
        <f>[19]И1!E9</f>
        <v>2022</v>
      </c>
    </row>
    <row r="11" spans="1:3">
      <c r="A11" s="8"/>
      <c r="B11" s="9" t="str">
        <f>[19]И1!D10</f>
        <v>Период регулирования (i-2)-й</v>
      </c>
      <c r="C11" s="14">
        <f>[19]И1!E10</f>
        <v>2021</v>
      </c>
    </row>
    <row r="12" spans="1:3">
      <c r="A12" s="8"/>
      <c r="B12" s="9" t="str">
        <f>[19]И1!D11</f>
        <v>Базовый год (б)</v>
      </c>
      <c r="C12" s="14">
        <f>[19]И1!E11</f>
        <v>2019</v>
      </c>
    </row>
    <row r="13" spans="1:3" ht="38.25">
      <c r="A13" s="8"/>
      <c r="B13" s="9" t="str">
        <f>[19]И1!D18</f>
        <v>Вид топлива, использование которого преобладает в системе теплоснабжения</v>
      </c>
      <c r="C13" s="15" t="str">
        <f>[19]С1.1!E13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4200.644725588988</v>
      </c>
    </row>
    <row r="18" spans="1:3" ht="42.75">
      <c r="A18" s="22" t="s">
        <v>8</v>
      </c>
      <c r="B18" s="25" t="s">
        <v>9</v>
      </c>
      <c r="C18" s="26">
        <f>[19]С1!F12</f>
        <v>1000.9144443145</v>
      </c>
    </row>
    <row r="19" spans="1:3" ht="42.75">
      <c r="A19" s="22" t="s">
        <v>10</v>
      </c>
      <c r="B19" s="25" t="s">
        <v>11</v>
      </c>
      <c r="C19" s="26">
        <f>[19]С2!F12</f>
        <v>2116.2031761890698</v>
      </c>
    </row>
    <row r="20" spans="1:3" ht="30">
      <c r="A20" s="22" t="s">
        <v>12</v>
      </c>
      <c r="B20" s="25" t="s">
        <v>13</v>
      </c>
      <c r="C20" s="26">
        <f>[19]С3!F12</f>
        <v>506.5368696227419</v>
      </c>
    </row>
    <row r="21" spans="1:3" ht="42.75">
      <c r="A21" s="22" t="s">
        <v>14</v>
      </c>
      <c r="B21" s="25" t="s">
        <v>15</v>
      </c>
      <c r="C21" s="26">
        <f>[19]С4!F12</f>
        <v>494.62465260799036</v>
      </c>
    </row>
    <row r="22" spans="1:3" ht="30">
      <c r="A22" s="22" t="s">
        <v>16</v>
      </c>
      <c r="B22" s="25" t="s">
        <v>17</v>
      </c>
      <c r="C22" s="26">
        <f>[19]С5!F12</f>
        <v>82.365582854686039</v>
      </c>
    </row>
    <row r="23" spans="1:3" ht="43.5" thickBot="1">
      <c r="A23" s="27" t="s">
        <v>18</v>
      </c>
      <c r="B23" s="28" t="s">
        <v>19</v>
      </c>
      <c r="C23" s="29" t="str">
        <f>[19]С6!F12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[19]С1.1!E16</f>
        <v>5100</v>
      </c>
    </row>
    <row r="29" spans="1:3" ht="42.75">
      <c r="A29" s="22" t="s">
        <v>10</v>
      </c>
      <c r="B29" s="34" t="s">
        <v>22</v>
      </c>
      <c r="C29" s="35">
        <f>[19]С1.1!E27</f>
        <v>2691.291666666667</v>
      </c>
    </row>
    <row r="30" spans="1:3" ht="17.25">
      <c r="A30" s="22" t="s">
        <v>12</v>
      </c>
      <c r="B30" s="34" t="s">
        <v>23</v>
      </c>
      <c r="C30" s="36">
        <f>[19]С1.1!E19</f>
        <v>0.59499999999999997</v>
      </c>
    </row>
    <row r="31" spans="1:3" ht="17.25">
      <c r="A31" s="22" t="s">
        <v>14</v>
      </c>
      <c r="B31" s="34" t="s">
        <v>24</v>
      </c>
      <c r="C31" s="36">
        <f>[19]С1.1!E20</f>
        <v>-0.113</v>
      </c>
    </row>
    <row r="32" spans="1:3" ht="30">
      <c r="A32" s="22" t="s">
        <v>16</v>
      </c>
      <c r="B32" s="37" t="s">
        <v>25</v>
      </c>
      <c r="C32" s="38">
        <f>[19]С1!F13</f>
        <v>176.4</v>
      </c>
    </row>
    <row r="33" spans="1:3">
      <c r="A33" s="22" t="s">
        <v>18</v>
      </c>
      <c r="B33" s="37" t="s">
        <v>26</v>
      </c>
      <c r="C33" s="39">
        <f>[19]С1!F16</f>
        <v>7000</v>
      </c>
    </row>
    <row r="34" spans="1:3" ht="14.25">
      <c r="A34" s="22" t="s">
        <v>27</v>
      </c>
      <c r="B34" s="40" t="s">
        <v>28</v>
      </c>
      <c r="C34" s="41">
        <f>[19]С1!F17</f>
        <v>0.72857142857142854</v>
      </c>
    </row>
    <row r="35" spans="1:3" ht="15.75">
      <c r="A35" s="42" t="s">
        <v>29</v>
      </c>
      <c r="B35" s="43" t="s">
        <v>30</v>
      </c>
      <c r="C35" s="41">
        <f>[19]С1!F20</f>
        <v>21.588411179999994</v>
      </c>
    </row>
    <row r="36" spans="1:3" ht="15.75">
      <c r="A36" s="42" t="s">
        <v>31</v>
      </c>
      <c r="B36" s="44" t="s">
        <v>32</v>
      </c>
      <c r="C36" s="41">
        <f>[19]С1!F21</f>
        <v>20.818139999999996</v>
      </c>
    </row>
    <row r="37" spans="1:3" ht="14.25">
      <c r="A37" s="42" t="s">
        <v>33</v>
      </c>
      <c r="B37" s="45" t="s">
        <v>34</v>
      </c>
      <c r="C37" s="41">
        <f>[19]С1!F22</f>
        <v>1.0369999999999999</v>
      </c>
    </row>
    <row r="38" spans="1:3" ht="53.25" thickBot="1">
      <c r="A38" s="27" t="s">
        <v>35</v>
      </c>
      <c r="B38" s="46" t="s">
        <v>36</v>
      </c>
      <c r="C38" s="47">
        <f>[19]С1!F23</f>
        <v>1.0469999999999999</v>
      </c>
    </row>
    <row r="39" spans="1:3" ht="13.5" thickBot="1">
      <c r="A39" s="48"/>
      <c r="B39" s="49"/>
      <c r="C39" s="50"/>
    </row>
    <row r="40" spans="1:3" ht="30" customHeight="1">
      <c r="A40" s="51" t="s">
        <v>37</v>
      </c>
      <c r="B40" s="142" t="s">
        <v>38</v>
      </c>
      <c r="C40" s="142"/>
    </row>
    <row r="41" spans="1:3" ht="25.5">
      <c r="A41" s="22" t="s">
        <v>39</v>
      </c>
      <c r="B41" s="37" t="s">
        <v>40</v>
      </c>
      <c r="C41" s="52" t="str">
        <f>[19]С2.1!E12</f>
        <v>V</v>
      </c>
    </row>
    <row r="42" spans="1:3" ht="25.5">
      <c r="A42" s="22" t="s">
        <v>41</v>
      </c>
      <c r="B42" s="34" t="s">
        <v>42</v>
      </c>
      <c r="C42" s="52" t="str">
        <f>[19]С2.1!E13</f>
        <v>6 и менее баллов</v>
      </c>
    </row>
    <row r="43" spans="1:3" ht="25.5">
      <c r="A43" s="22" t="s">
        <v>43</v>
      </c>
      <c r="B43" s="34" t="s">
        <v>44</v>
      </c>
      <c r="C43" s="52" t="str">
        <f>[19]С2.1!E14</f>
        <v>от 200 до 500</v>
      </c>
    </row>
    <row r="44" spans="1:3" ht="25.5">
      <c r="A44" s="22" t="s">
        <v>45</v>
      </c>
      <c r="B44" s="34" t="s">
        <v>46</v>
      </c>
      <c r="C44" s="53" t="str">
        <f>[19]С2.1!E15</f>
        <v>нет</v>
      </c>
    </row>
    <row r="45" spans="1:3" ht="30">
      <c r="A45" s="22" t="s">
        <v>47</v>
      </c>
      <c r="B45" s="34" t="s">
        <v>48</v>
      </c>
      <c r="C45" s="35">
        <f>[19]С2!F18</f>
        <v>32402.627334033532</v>
      </c>
    </row>
    <row r="46" spans="1:3" ht="30">
      <c r="A46" s="22" t="s">
        <v>49</v>
      </c>
      <c r="B46" s="54" t="s">
        <v>50</v>
      </c>
      <c r="C46" s="35">
        <f>IF([19]С2!F19&gt;0,[19]С2!F19,[19]С2!F20)</f>
        <v>23441.524932855718</v>
      </c>
    </row>
    <row r="47" spans="1:3" ht="25.5">
      <c r="A47" s="22" t="s">
        <v>51</v>
      </c>
      <c r="B47" s="55" t="s">
        <v>52</v>
      </c>
      <c r="C47" s="35">
        <f>[19]С2.1!E19</f>
        <v>-38</v>
      </c>
    </row>
    <row r="48" spans="1:3" ht="25.5">
      <c r="A48" s="22" t="s">
        <v>53</v>
      </c>
      <c r="B48" s="55" t="s">
        <v>54</v>
      </c>
      <c r="C48" s="35" t="str">
        <f>[19]С2.1!E22</f>
        <v>нет</v>
      </c>
    </row>
    <row r="49" spans="1:3" ht="38.25">
      <c r="A49" s="22" t="s">
        <v>55</v>
      </c>
      <c r="B49" s="56" t="s">
        <v>56</v>
      </c>
      <c r="C49" s="35">
        <f>[19]С2.2!E10</f>
        <v>1287</v>
      </c>
    </row>
    <row r="50" spans="1:3" ht="25.5">
      <c r="A50" s="22" t="s">
        <v>57</v>
      </c>
      <c r="B50" s="57" t="s">
        <v>58</v>
      </c>
      <c r="C50" s="35">
        <f>[19]С2.2!E12</f>
        <v>5.97</v>
      </c>
    </row>
    <row r="51" spans="1:3" ht="52.5">
      <c r="A51" s="22" t="s">
        <v>59</v>
      </c>
      <c r="B51" s="58" t="s">
        <v>60</v>
      </c>
      <c r="C51" s="35">
        <f>[19]С2.2!E13</f>
        <v>1</v>
      </c>
    </row>
    <row r="52" spans="1:3" ht="27.75">
      <c r="A52" s="22" t="s">
        <v>61</v>
      </c>
      <c r="B52" s="57" t="s">
        <v>62</v>
      </c>
      <c r="C52" s="35">
        <f>[19]С2.2!E14</f>
        <v>12104</v>
      </c>
    </row>
    <row r="53" spans="1:3" ht="25.5">
      <c r="A53" s="22" t="s">
        <v>63</v>
      </c>
      <c r="B53" s="58" t="s">
        <v>64</v>
      </c>
      <c r="C53" s="36">
        <f>[19]С2.2!E15</f>
        <v>4.8000000000000001E-2</v>
      </c>
    </row>
    <row r="54" spans="1:3">
      <c r="A54" s="22" t="s">
        <v>65</v>
      </c>
      <c r="B54" s="58" t="s">
        <v>66</v>
      </c>
      <c r="C54" s="35">
        <f>[19]С2.2!E16</f>
        <v>1</v>
      </c>
    </row>
    <row r="55" spans="1:3" ht="15.75">
      <c r="A55" s="22" t="s">
        <v>67</v>
      </c>
      <c r="B55" s="59" t="s">
        <v>68</v>
      </c>
      <c r="C55" s="35">
        <f>[19]С2!F21</f>
        <v>1</v>
      </c>
    </row>
    <row r="56" spans="1:3" ht="30">
      <c r="A56" s="60" t="s">
        <v>69</v>
      </c>
      <c r="B56" s="34" t="s">
        <v>70</v>
      </c>
      <c r="C56" s="35">
        <f>[19]С2!F13</f>
        <v>169640.22915965237</v>
      </c>
    </row>
    <row r="57" spans="1:3" ht="30">
      <c r="A57" s="60" t="s">
        <v>71</v>
      </c>
      <c r="B57" s="59" t="s">
        <v>72</v>
      </c>
      <c r="C57" s="35">
        <f>[19]С2!F14</f>
        <v>113455</v>
      </c>
    </row>
    <row r="58" spans="1:3" ht="15.75">
      <c r="A58" s="60" t="s">
        <v>73</v>
      </c>
      <c r="B58" s="61" t="s">
        <v>74</v>
      </c>
      <c r="C58" s="41">
        <f>[19]С2!F15</f>
        <v>1.071</v>
      </c>
    </row>
    <row r="59" spans="1:3" ht="15.75">
      <c r="A59" s="60" t="s">
        <v>75</v>
      </c>
      <c r="B59" s="61" t="s">
        <v>76</v>
      </c>
      <c r="C59" s="41">
        <f>[19]С2!F16</f>
        <v>1</v>
      </c>
    </row>
    <row r="60" spans="1:3" ht="17.25">
      <c r="A60" s="60" t="s">
        <v>77</v>
      </c>
      <c r="B60" s="59" t="s">
        <v>78</v>
      </c>
      <c r="C60" s="35">
        <f>[19]С2!F17</f>
        <v>1.01</v>
      </c>
    </row>
    <row r="61" spans="1:3" s="64" customFormat="1" ht="14.25">
      <c r="A61" s="60" t="s">
        <v>79</v>
      </c>
      <c r="B61" s="62" t="s">
        <v>80</v>
      </c>
      <c r="C61" s="63">
        <f>[19]С2!F33</f>
        <v>10</v>
      </c>
    </row>
    <row r="62" spans="1:3" ht="30">
      <c r="A62" s="60" t="s">
        <v>81</v>
      </c>
      <c r="B62" s="65" t="s">
        <v>82</v>
      </c>
      <c r="C62" s="35">
        <f>[19]С2!F26</f>
        <v>2274.3932248182782</v>
      </c>
    </row>
    <row r="63" spans="1:3" ht="17.25">
      <c r="A63" s="60" t="s">
        <v>83</v>
      </c>
      <c r="B63" s="54" t="s">
        <v>84</v>
      </c>
      <c r="C63" s="35">
        <f>[19]С2!F27</f>
        <v>0.391761629</v>
      </c>
    </row>
    <row r="64" spans="1:3" ht="17.25">
      <c r="A64" s="60" t="s">
        <v>85</v>
      </c>
      <c r="B64" s="59" t="s">
        <v>86</v>
      </c>
      <c r="C64" s="63">
        <f>[19]С2!F28</f>
        <v>4200</v>
      </c>
    </row>
    <row r="65" spans="1:3" ht="42.75">
      <c r="A65" s="60" t="s">
        <v>87</v>
      </c>
      <c r="B65" s="34" t="s">
        <v>88</v>
      </c>
      <c r="C65" s="35">
        <f>[19]С2!F22</f>
        <v>35717.748653137714</v>
      </c>
    </row>
    <row r="66" spans="1:3" ht="30">
      <c r="A66" s="60" t="s">
        <v>89</v>
      </c>
      <c r="B66" s="61" t="s">
        <v>90</v>
      </c>
      <c r="C66" s="35">
        <f>[19]С2!F23</f>
        <v>1990</v>
      </c>
    </row>
    <row r="67" spans="1:3" ht="30">
      <c r="A67" s="60" t="s">
        <v>91</v>
      </c>
      <c r="B67" s="54" t="s">
        <v>92</v>
      </c>
      <c r="C67" s="35">
        <f>[19]С2.1!E27</f>
        <v>14307.876789999998</v>
      </c>
    </row>
    <row r="68" spans="1:3" ht="38.25">
      <c r="A68" s="60" t="s">
        <v>93</v>
      </c>
      <c r="B68" s="66" t="s">
        <v>94</v>
      </c>
      <c r="C68" s="53">
        <f>[19]С2.3!E21</f>
        <v>0</v>
      </c>
    </row>
    <row r="69" spans="1:3" ht="25.5">
      <c r="A69" s="60" t="s">
        <v>95</v>
      </c>
      <c r="B69" s="67" t="s">
        <v>96</v>
      </c>
      <c r="C69" s="68">
        <f>[19]С2.3!E11</f>
        <v>9.89</v>
      </c>
    </row>
    <row r="70" spans="1:3" ht="25.5">
      <c r="A70" s="60" t="s">
        <v>97</v>
      </c>
      <c r="B70" s="67" t="s">
        <v>98</v>
      </c>
      <c r="C70" s="63">
        <f>[19]С2.3!E13</f>
        <v>300</v>
      </c>
    </row>
    <row r="71" spans="1:3" ht="25.5">
      <c r="A71" s="60" t="s">
        <v>99</v>
      </c>
      <c r="B71" s="66" t="s">
        <v>100</v>
      </c>
      <c r="C71" s="69">
        <f>IF([19]С2.3!E22&gt;0,[19]С2.3!E22,[19]С2.3!E14)</f>
        <v>61211</v>
      </c>
    </row>
    <row r="72" spans="1:3" ht="38.25">
      <c r="A72" s="60" t="s">
        <v>101</v>
      </c>
      <c r="B72" s="66" t="s">
        <v>102</v>
      </c>
      <c r="C72" s="69">
        <f>IF([19]С2.3!E23&gt;0,[19]С2.3!E23,[19]С2.3!E15)</f>
        <v>45675</v>
      </c>
    </row>
    <row r="73" spans="1:3" ht="30">
      <c r="A73" s="60" t="s">
        <v>103</v>
      </c>
      <c r="B73" s="54" t="s">
        <v>104</v>
      </c>
      <c r="C73" s="35">
        <f>[19]С2.1!E28</f>
        <v>9541.9567200000001</v>
      </c>
    </row>
    <row r="74" spans="1:3" ht="38.25">
      <c r="A74" s="60" t="s">
        <v>105</v>
      </c>
      <c r="B74" s="66" t="s">
        <v>106</v>
      </c>
      <c r="C74" s="53">
        <f>[19]С2.3!E25</f>
        <v>0</v>
      </c>
    </row>
    <row r="75" spans="1:3" ht="25.5">
      <c r="A75" s="60" t="s">
        <v>107</v>
      </c>
      <c r="B75" s="67" t="s">
        <v>108</v>
      </c>
      <c r="C75" s="68">
        <f>[19]С2.3!E12</f>
        <v>0.56000000000000005</v>
      </c>
    </row>
    <row r="76" spans="1:3" ht="25.5">
      <c r="A76" s="60" t="s">
        <v>109</v>
      </c>
      <c r="B76" s="67" t="s">
        <v>98</v>
      </c>
      <c r="C76" s="63">
        <f>[19]С2.3!E13</f>
        <v>300</v>
      </c>
    </row>
    <row r="77" spans="1:3" ht="25.5">
      <c r="A77" s="60" t="s">
        <v>110</v>
      </c>
      <c r="B77" s="70" t="s">
        <v>111</v>
      </c>
      <c r="C77" s="69">
        <f>IF([19]С2.3!E26&gt;0,[19]С2.3!E26,[19]С2.3!E16)</f>
        <v>65637</v>
      </c>
    </row>
    <row r="78" spans="1:3" ht="38.25">
      <c r="A78" s="60" t="s">
        <v>112</v>
      </c>
      <c r="B78" s="70" t="s">
        <v>113</v>
      </c>
      <c r="C78" s="69">
        <f>IF([19]С2.3!E27&gt;0,[19]С2.3!E27,[19]С2.3!E17)</f>
        <v>31684</v>
      </c>
    </row>
    <row r="79" spans="1:3" ht="17.25">
      <c r="A79" s="60" t="s">
        <v>114</v>
      </c>
      <c r="B79" s="34" t="s">
        <v>115</v>
      </c>
      <c r="C79" s="36">
        <f>[19]С2!F29</f>
        <v>0.128978033685065</v>
      </c>
    </row>
    <row r="80" spans="1:3" ht="30">
      <c r="A80" s="60" t="s">
        <v>116</v>
      </c>
      <c r="B80" s="54" t="s">
        <v>117</v>
      </c>
      <c r="C80" s="71">
        <f>[19]С2!F30</f>
        <v>0.11668498168498169</v>
      </c>
    </row>
    <row r="81" spans="1:3" ht="17.25">
      <c r="A81" s="60" t="s">
        <v>118</v>
      </c>
      <c r="B81" s="72" t="s">
        <v>119</v>
      </c>
      <c r="C81" s="36">
        <f>[19]С2!F31</f>
        <v>0.13880000000000001</v>
      </c>
    </row>
    <row r="82" spans="1:3" s="64" customFormat="1" ht="18" thickBot="1">
      <c r="A82" s="73" t="s">
        <v>120</v>
      </c>
      <c r="B82" s="74" t="s">
        <v>121</v>
      </c>
      <c r="C82" s="75">
        <f>[19]С2!F32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[19]С3!F14</f>
        <v>7051.1767451401192</v>
      </c>
    </row>
    <row r="86" spans="1:3" s="64" customFormat="1" ht="42.75">
      <c r="A86" s="78" t="s">
        <v>126</v>
      </c>
      <c r="B86" s="54" t="s">
        <v>127</v>
      </c>
      <c r="C86" s="79">
        <f>[19]С3!F15</f>
        <v>0.2</v>
      </c>
    </row>
    <row r="87" spans="1:3" s="64" customFormat="1" ht="14.25">
      <c r="A87" s="78" t="s">
        <v>128</v>
      </c>
      <c r="B87" s="80" t="s">
        <v>129</v>
      </c>
      <c r="C87" s="63">
        <f>[19]С3!F18</f>
        <v>15</v>
      </c>
    </row>
    <row r="88" spans="1:3" s="64" customFormat="1" ht="17.25">
      <c r="A88" s="78" t="s">
        <v>130</v>
      </c>
      <c r="B88" s="34" t="s">
        <v>131</v>
      </c>
      <c r="C88" s="35">
        <f>[19]С3!F19</f>
        <v>3487.1555421534131</v>
      </c>
    </row>
    <row r="89" spans="1:3" s="64" customFormat="1" ht="55.5">
      <c r="A89" s="78" t="s">
        <v>132</v>
      </c>
      <c r="B89" s="54" t="s">
        <v>133</v>
      </c>
      <c r="C89" s="81">
        <f>[19]С3!F20</f>
        <v>2.1999999999999999E-2</v>
      </c>
    </row>
    <row r="90" spans="1:3" s="64" customFormat="1" ht="14.25">
      <c r="A90" s="78" t="s">
        <v>134</v>
      </c>
      <c r="B90" s="59" t="s">
        <v>80</v>
      </c>
      <c r="C90" s="63">
        <f>[19]С3!F21</f>
        <v>10</v>
      </c>
    </row>
    <row r="91" spans="1:3" s="64" customFormat="1" ht="17.25">
      <c r="A91" s="78" t="s">
        <v>135</v>
      </c>
      <c r="B91" s="34" t="s">
        <v>136</v>
      </c>
      <c r="C91" s="35">
        <f>[19]С3!F22</f>
        <v>6.8231796744548348</v>
      </c>
    </row>
    <row r="92" spans="1:3" s="64" customFormat="1" ht="55.5">
      <c r="A92" s="78" t="s">
        <v>137</v>
      </c>
      <c r="B92" s="54" t="s">
        <v>138</v>
      </c>
      <c r="C92" s="81">
        <f>[19]С3!F23</f>
        <v>3.0000000000000001E-3</v>
      </c>
    </row>
    <row r="93" spans="1:3" s="64" customFormat="1" ht="27.75" thickBot="1">
      <c r="A93" s="82" t="s">
        <v>139</v>
      </c>
      <c r="B93" s="83" t="s">
        <v>140</v>
      </c>
      <c r="C93" s="84">
        <f>[19]С3!F24</f>
        <v>2274.3932248182782</v>
      </c>
    </row>
    <row r="94" spans="1:3" ht="13.5" thickBot="1">
      <c r="A94" s="48"/>
      <c r="B94" s="76"/>
      <c r="C94" s="15"/>
    </row>
    <row r="95" spans="1:3" ht="30" customHeight="1">
      <c r="A95" s="85" t="s">
        <v>141</v>
      </c>
      <c r="B95" s="142" t="s">
        <v>142</v>
      </c>
      <c r="C95" s="142"/>
    </row>
    <row r="96" spans="1:3" ht="30">
      <c r="A96" s="60" t="s">
        <v>143</v>
      </c>
      <c r="B96" s="34" t="s">
        <v>144</v>
      </c>
      <c r="C96" s="35">
        <f>[19]С4!F16</f>
        <v>1652.5</v>
      </c>
    </row>
    <row r="97" spans="1:3" ht="30">
      <c r="A97" s="60" t="s">
        <v>145</v>
      </c>
      <c r="B97" s="59" t="s">
        <v>146</v>
      </c>
      <c r="C97" s="35">
        <f>[19]С4!F17</f>
        <v>73547</v>
      </c>
    </row>
    <row r="98" spans="1:3" ht="17.25">
      <c r="A98" s="60" t="s">
        <v>147</v>
      </c>
      <c r="B98" s="59" t="s">
        <v>148</v>
      </c>
      <c r="C98" s="41">
        <f>[19]С4!F18</f>
        <v>0.02</v>
      </c>
    </row>
    <row r="99" spans="1:3" ht="30">
      <c r="A99" s="60" t="s">
        <v>149</v>
      </c>
      <c r="B99" s="59" t="s">
        <v>150</v>
      </c>
      <c r="C99" s="35">
        <f>[19]С4!F19</f>
        <v>12104</v>
      </c>
    </row>
    <row r="100" spans="1:3" ht="31.5">
      <c r="A100" s="60" t="s">
        <v>151</v>
      </c>
      <c r="B100" s="59" t="s">
        <v>152</v>
      </c>
      <c r="C100" s="41">
        <f>[19]С4!F20</f>
        <v>1.4999999999999999E-2</v>
      </c>
    </row>
    <row r="101" spans="1:3" ht="30">
      <c r="A101" s="60" t="s">
        <v>153</v>
      </c>
      <c r="B101" s="34" t="s">
        <v>154</v>
      </c>
      <c r="C101" s="35">
        <f>[19]С4!F21</f>
        <v>1933.1949342509995</v>
      </c>
    </row>
    <row r="102" spans="1:3" ht="24" customHeight="1">
      <c r="A102" s="60" t="s">
        <v>155</v>
      </c>
      <c r="B102" s="54" t="s">
        <v>156</v>
      </c>
      <c r="C102" s="86">
        <f>IF([19]С4.2!F8="да",[19]С4.2!D21,[19]С4.2!D15)</f>
        <v>0</v>
      </c>
    </row>
    <row r="103" spans="1:3" ht="68.25">
      <c r="A103" s="60" t="s">
        <v>157</v>
      </c>
      <c r="B103" s="54" t="s">
        <v>158</v>
      </c>
      <c r="C103" s="35">
        <f>[19]С4!F22</f>
        <v>3.6112641666666665</v>
      </c>
    </row>
    <row r="104" spans="1:3" ht="30">
      <c r="A104" s="60" t="s">
        <v>159</v>
      </c>
      <c r="B104" s="59" t="s">
        <v>160</v>
      </c>
      <c r="C104" s="35">
        <f>[19]С4!F23</f>
        <v>180</v>
      </c>
    </row>
    <row r="105" spans="1:3" ht="14.25">
      <c r="A105" s="60" t="s">
        <v>161</v>
      </c>
      <c r="B105" s="54" t="s">
        <v>162</v>
      </c>
      <c r="C105" s="35">
        <f>[19]С4!F24</f>
        <v>8497.1999999999989</v>
      </c>
    </row>
    <row r="106" spans="1:3" ht="14.25">
      <c r="A106" s="60" t="s">
        <v>163</v>
      </c>
      <c r="B106" s="59" t="s">
        <v>164</v>
      </c>
      <c r="C106" s="41">
        <f>[19]С4!F25</f>
        <v>0.35</v>
      </c>
    </row>
    <row r="107" spans="1:3" ht="17.25">
      <c r="A107" s="60" t="s">
        <v>165</v>
      </c>
      <c r="B107" s="34" t="s">
        <v>166</v>
      </c>
      <c r="C107" s="35">
        <f>[19]С4!F26</f>
        <v>56.240490000000001</v>
      </c>
    </row>
    <row r="108" spans="1:3" ht="25.5">
      <c r="A108" s="60" t="s">
        <v>167</v>
      </c>
      <c r="B108" s="54" t="s">
        <v>94</v>
      </c>
      <c r="C108" s="86">
        <f>[19]С4.3!E16</f>
        <v>0</v>
      </c>
    </row>
    <row r="109" spans="1:3" ht="25.5">
      <c r="A109" s="60" t="s">
        <v>168</v>
      </c>
      <c r="B109" s="54" t="s">
        <v>169</v>
      </c>
      <c r="C109" s="35">
        <f>[19]С4.3!E17</f>
        <v>15.11</v>
      </c>
    </row>
    <row r="110" spans="1:3" ht="38.25">
      <c r="A110" s="60" t="s">
        <v>170</v>
      </c>
      <c r="B110" s="54" t="s">
        <v>106</v>
      </c>
      <c r="C110" s="86">
        <f>[19]С4.3!E18</f>
        <v>0</v>
      </c>
    </row>
    <row r="111" spans="1:3">
      <c r="A111" s="60" t="s">
        <v>171</v>
      </c>
      <c r="B111" s="54" t="s">
        <v>172</v>
      </c>
      <c r="C111" s="35">
        <f>[19]С4.3!E19</f>
        <v>15.93</v>
      </c>
    </row>
    <row r="112" spans="1:3">
      <c r="A112" s="60" t="s">
        <v>173</v>
      </c>
      <c r="B112" s="59" t="s">
        <v>174</v>
      </c>
      <c r="C112" s="35">
        <f>[19]С4.3!E11</f>
        <v>1871</v>
      </c>
    </row>
    <row r="113" spans="1:3">
      <c r="A113" s="60" t="s">
        <v>175</v>
      </c>
      <c r="B113" s="59" t="s">
        <v>176</v>
      </c>
      <c r="C113" s="53">
        <f>[19]С4.3!E12</f>
        <v>1636</v>
      </c>
    </row>
    <row r="114" spans="1:3">
      <c r="A114" s="60" t="s">
        <v>177</v>
      </c>
      <c r="B114" s="59" t="s">
        <v>178</v>
      </c>
      <c r="C114" s="53">
        <f>[19]С4.3!E13</f>
        <v>204</v>
      </c>
    </row>
    <row r="115" spans="1:3" ht="30">
      <c r="A115" s="60" t="s">
        <v>179</v>
      </c>
      <c r="B115" s="34" t="s">
        <v>180</v>
      </c>
      <c r="C115" s="35">
        <f>[19]С4!F27</f>
        <v>2164.8316773434499</v>
      </c>
    </row>
    <row r="116" spans="1:3" ht="25.5">
      <c r="A116" s="60" t="s">
        <v>181</v>
      </c>
      <c r="B116" s="54" t="s">
        <v>182</v>
      </c>
      <c r="C116" s="35">
        <f>[19]С4!F28</f>
        <v>1662.6971408167815</v>
      </c>
    </row>
    <row r="117" spans="1:3" ht="42.75">
      <c r="A117" s="60" t="s">
        <v>183</v>
      </c>
      <c r="B117" s="54" t="s">
        <v>184</v>
      </c>
      <c r="C117" s="35">
        <f>[19]С4!F29</f>
        <v>502.13453652666817</v>
      </c>
    </row>
    <row r="118" spans="1:3" ht="30">
      <c r="A118" s="60" t="s">
        <v>185</v>
      </c>
      <c r="B118" s="40" t="s">
        <v>186</v>
      </c>
      <c r="C118" s="35">
        <f>[19]С4!F30</f>
        <v>2270.6178907567355</v>
      </c>
    </row>
    <row r="119" spans="1:3" ht="42.75">
      <c r="A119" s="60" t="s">
        <v>187</v>
      </c>
      <c r="B119" s="87" t="s">
        <v>188</v>
      </c>
      <c r="C119" s="35">
        <f>[19]С4!F33</f>
        <v>1475.6430730833022</v>
      </c>
    </row>
    <row r="120" spans="1:3" ht="30">
      <c r="A120" s="60" t="s">
        <v>189</v>
      </c>
      <c r="B120" s="88" t="s">
        <v>190</v>
      </c>
      <c r="C120" s="35">
        <f>[19]С4!F35</f>
        <v>17.040680999999999</v>
      </c>
    </row>
    <row r="121" spans="1:3" ht="14.25">
      <c r="A121" s="60" t="s">
        <v>191</v>
      </c>
      <c r="B121" s="57" t="s">
        <v>192</v>
      </c>
      <c r="C121" s="35">
        <f>[19]С4!F36</f>
        <v>14319.9</v>
      </c>
    </row>
    <row r="122" spans="1:3" ht="28.5" thickBot="1">
      <c r="A122" s="73" t="s">
        <v>193</v>
      </c>
      <c r="B122" s="89" t="s">
        <v>194</v>
      </c>
      <c r="C122" s="84">
        <f>[19]С4!F37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[19]С5!F17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[19]С2!F37</f>
        <v>20.818139999999996</v>
      </c>
    </row>
    <row r="136" spans="1:3" ht="14.25">
      <c r="A136" s="60" t="s">
        <v>216</v>
      </c>
      <c r="B136" s="102" t="s">
        <v>217</v>
      </c>
      <c r="C136" s="35">
        <f>[19]С2!F38</f>
        <v>7</v>
      </c>
    </row>
    <row r="137" spans="1:3" ht="17.25">
      <c r="A137" s="60" t="s">
        <v>218</v>
      </c>
      <c r="B137" s="102" t="s">
        <v>219</v>
      </c>
      <c r="C137" s="35">
        <f>[19]С2!F40</f>
        <v>0.97</v>
      </c>
    </row>
    <row r="138" spans="1:3" ht="15" thickBot="1">
      <c r="A138" s="73" t="s">
        <v>220</v>
      </c>
      <c r="B138" s="103" t="s">
        <v>221</v>
      </c>
      <c r="C138" s="47">
        <f>[19]С2!F42</f>
        <v>0.35</v>
      </c>
    </row>
    <row r="139" spans="1:3" s="90" customFormat="1" ht="13.5" thickBot="1">
      <c r="A139" s="48"/>
      <c r="B139" s="76"/>
      <c r="C139" s="15"/>
    </row>
    <row r="140" spans="1:3" ht="30">
      <c r="A140" s="85" t="s">
        <v>222</v>
      </c>
      <c r="B140" s="104" t="s">
        <v>223</v>
      </c>
      <c r="C140" s="105">
        <f>[19]С2!F35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[19]С2.5!$E$11</f>
        <v>-2.9000000000000026E-2</v>
      </c>
    </row>
    <row r="144" spans="1:3">
      <c r="A144" s="107"/>
      <c r="B144" s="112">
        <f>B143+1</f>
        <v>2021</v>
      </c>
      <c r="C144" s="113">
        <f>[19]С2.5!$F$11</f>
        <v>0.245</v>
      </c>
    </row>
    <row r="145" spans="1:3">
      <c r="A145" s="107"/>
      <c r="B145" s="112">
        <f t="shared" ref="B145:B208" si="0">B144+1</f>
        <v>2022</v>
      </c>
      <c r="C145" s="113">
        <f>[19]С2.5!$G$11</f>
        <v>0.121</v>
      </c>
    </row>
    <row r="146" spans="1:3" ht="13.5" thickBot="1">
      <c r="A146" s="107"/>
      <c r="B146" s="114">
        <f t="shared" si="0"/>
        <v>2023</v>
      </c>
      <c r="C146" s="115">
        <f>[19]С2.5!$H$11</f>
        <v>0.02</v>
      </c>
    </row>
    <row r="147" spans="1:3" hidden="1">
      <c r="A147" s="107"/>
      <c r="B147" s="116">
        <f t="shared" si="0"/>
        <v>2024</v>
      </c>
      <c r="C147" s="117">
        <f>[19]С2.5!$I$11</f>
        <v>-2.93E-2</v>
      </c>
    </row>
    <row r="148" spans="1:3" hidden="1">
      <c r="A148" s="107"/>
      <c r="B148" s="112">
        <f t="shared" si="0"/>
        <v>2025</v>
      </c>
      <c r="C148" s="113">
        <f>[19]С2.5!$J$11</f>
        <v>0.21215960863291</v>
      </c>
    </row>
    <row r="149" spans="1:3" hidden="1">
      <c r="A149" s="107"/>
      <c r="B149" s="112">
        <f t="shared" si="0"/>
        <v>2026</v>
      </c>
      <c r="C149" s="113">
        <f>[19]С2.5!$K$11</f>
        <v>3.5813361771260002E-2</v>
      </c>
    </row>
    <row r="150" spans="1:3" hidden="1">
      <c r="A150" s="107"/>
      <c r="B150" s="112">
        <f t="shared" si="0"/>
        <v>2027</v>
      </c>
      <c r="C150" s="113">
        <f>[19]С2.5!$L$11</f>
        <v>3.2682303599220003E-2</v>
      </c>
    </row>
    <row r="151" spans="1:3" hidden="1">
      <c r="A151" s="107"/>
      <c r="B151" s="112">
        <f t="shared" si="0"/>
        <v>2028</v>
      </c>
      <c r="C151" s="113">
        <f>[19]С2.5!$M$11</f>
        <v>0</v>
      </c>
    </row>
    <row r="152" spans="1:3" hidden="1">
      <c r="A152" s="107"/>
      <c r="B152" s="112">
        <f t="shared" si="0"/>
        <v>2029</v>
      </c>
      <c r="C152" s="113">
        <f>[19]С2.5!$N$11</f>
        <v>0</v>
      </c>
    </row>
    <row r="153" spans="1:3" hidden="1">
      <c r="A153" s="107"/>
      <c r="B153" s="112">
        <f t="shared" si="0"/>
        <v>2030</v>
      </c>
      <c r="C153" s="113">
        <f>[19]С2.5!$O$11</f>
        <v>0</v>
      </c>
    </row>
    <row r="154" spans="1:3" hidden="1">
      <c r="A154" s="107"/>
      <c r="B154" s="112">
        <f t="shared" si="0"/>
        <v>2031</v>
      </c>
      <c r="C154" s="113">
        <f>[19]С2.5!$P$11</f>
        <v>0</v>
      </c>
    </row>
    <row r="155" spans="1:3" hidden="1">
      <c r="A155" s="90"/>
      <c r="B155" s="112">
        <f t="shared" si="0"/>
        <v>2032</v>
      </c>
      <c r="C155" s="113">
        <f>[19]С2.5!$Q$11</f>
        <v>0</v>
      </c>
    </row>
    <row r="156" spans="1:3" hidden="1">
      <c r="A156" s="90"/>
      <c r="B156" s="112">
        <f t="shared" si="0"/>
        <v>2033</v>
      </c>
      <c r="C156" s="113">
        <f>[19]С2.5!$R$11</f>
        <v>0</v>
      </c>
    </row>
    <row r="157" spans="1:3" hidden="1">
      <c r="B157" s="112">
        <f t="shared" si="0"/>
        <v>2034</v>
      </c>
      <c r="C157" s="113">
        <f>[19]С2.5!$S$11</f>
        <v>0</v>
      </c>
    </row>
    <row r="158" spans="1:3" hidden="1">
      <c r="B158" s="112">
        <f t="shared" si="0"/>
        <v>2035</v>
      </c>
      <c r="C158" s="113">
        <f>[19]С2.5!$T$11</f>
        <v>0</v>
      </c>
    </row>
    <row r="159" spans="1:3" hidden="1">
      <c r="B159" s="112">
        <f t="shared" si="0"/>
        <v>2036</v>
      </c>
      <c r="C159" s="113">
        <f>[19]С2.5!$U$11</f>
        <v>0</v>
      </c>
    </row>
    <row r="160" spans="1:3" hidden="1">
      <c r="B160" s="112">
        <f t="shared" si="0"/>
        <v>2037</v>
      </c>
      <c r="C160" s="113">
        <f>[19]С2.5!$V$11</f>
        <v>0</v>
      </c>
    </row>
    <row r="161" spans="2:3" hidden="1">
      <c r="B161" s="112">
        <f t="shared" si="0"/>
        <v>2038</v>
      </c>
      <c r="C161" s="113">
        <f>[19]С2.5!$W$11</f>
        <v>0</v>
      </c>
    </row>
    <row r="162" spans="2:3" hidden="1">
      <c r="B162" s="112">
        <f t="shared" si="0"/>
        <v>2039</v>
      </c>
      <c r="C162" s="113">
        <f>[19]С2.5!$X$11</f>
        <v>0</v>
      </c>
    </row>
    <row r="163" spans="2:3" hidden="1">
      <c r="B163" s="112">
        <f t="shared" si="0"/>
        <v>2040</v>
      </c>
      <c r="C163" s="113">
        <f>[19]С2.5!$Y$11</f>
        <v>0</v>
      </c>
    </row>
    <row r="164" spans="2:3" hidden="1">
      <c r="B164" s="112">
        <f t="shared" si="0"/>
        <v>2041</v>
      </c>
      <c r="C164" s="113">
        <f>[19]С2.5!$Z$11</f>
        <v>0</v>
      </c>
    </row>
    <row r="165" spans="2:3" hidden="1">
      <c r="B165" s="112">
        <f t="shared" si="0"/>
        <v>2042</v>
      </c>
      <c r="C165" s="113">
        <f>[19]С2.5!$AA$11</f>
        <v>0</v>
      </c>
    </row>
    <row r="166" spans="2:3" hidden="1">
      <c r="B166" s="112">
        <f t="shared" si="0"/>
        <v>2043</v>
      </c>
      <c r="C166" s="113">
        <f>[19]С2.5!$AB$11</f>
        <v>0</v>
      </c>
    </row>
    <row r="167" spans="2:3" hidden="1">
      <c r="B167" s="112">
        <f t="shared" si="0"/>
        <v>2044</v>
      </c>
      <c r="C167" s="113">
        <f>[19]С2.5!$AC$11</f>
        <v>0</v>
      </c>
    </row>
    <row r="168" spans="2:3" hidden="1">
      <c r="B168" s="112">
        <f t="shared" si="0"/>
        <v>2045</v>
      </c>
      <c r="C168" s="113">
        <f>[19]С2.5!$AD$11</f>
        <v>0</v>
      </c>
    </row>
    <row r="169" spans="2:3" hidden="1">
      <c r="B169" s="112">
        <f t="shared" si="0"/>
        <v>2046</v>
      </c>
      <c r="C169" s="113">
        <f>[19]С2.5!$AE$11</f>
        <v>0</v>
      </c>
    </row>
    <row r="170" spans="2:3" hidden="1">
      <c r="B170" s="112">
        <f t="shared" si="0"/>
        <v>2047</v>
      </c>
      <c r="C170" s="113">
        <f>[19]С2.5!$AF$11</f>
        <v>0</v>
      </c>
    </row>
    <row r="171" spans="2:3" hidden="1">
      <c r="B171" s="112">
        <f t="shared" si="0"/>
        <v>2048</v>
      </c>
      <c r="C171" s="113">
        <f>[19]С2.5!$AG$11</f>
        <v>0</v>
      </c>
    </row>
    <row r="172" spans="2:3" hidden="1">
      <c r="B172" s="112">
        <f t="shared" si="0"/>
        <v>2049</v>
      </c>
      <c r="C172" s="113">
        <f>[19]С2.5!$AH$11</f>
        <v>0</v>
      </c>
    </row>
    <row r="173" spans="2:3" hidden="1">
      <c r="B173" s="112">
        <f t="shared" si="0"/>
        <v>2050</v>
      </c>
      <c r="C173" s="113">
        <f>[19]С2.5!$AI$11</f>
        <v>0</v>
      </c>
    </row>
    <row r="174" spans="2:3" hidden="1">
      <c r="B174" s="112">
        <f t="shared" si="0"/>
        <v>2051</v>
      </c>
      <c r="C174" s="113">
        <f>[19]С2.5!$AJ$11</f>
        <v>0</v>
      </c>
    </row>
    <row r="175" spans="2:3" hidden="1">
      <c r="B175" s="112">
        <f t="shared" si="0"/>
        <v>2052</v>
      </c>
      <c r="C175" s="113">
        <f>[19]С2.5!$AK$11</f>
        <v>0</v>
      </c>
    </row>
    <row r="176" spans="2:3" hidden="1">
      <c r="B176" s="112">
        <f t="shared" si="0"/>
        <v>2053</v>
      </c>
      <c r="C176" s="113">
        <f>[19]С2.5!$AL$11</f>
        <v>0</v>
      </c>
    </row>
    <row r="177" spans="2:3" hidden="1">
      <c r="B177" s="112">
        <f t="shared" si="0"/>
        <v>2054</v>
      </c>
      <c r="C177" s="113">
        <f>[19]С2.5!$AM$11</f>
        <v>0</v>
      </c>
    </row>
    <row r="178" spans="2:3" hidden="1">
      <c r="B178" s="112">
        <f t="shared" si="0"/>
        <v>2055</v>
      </c>
      <c r="C178" s="113">
        <f>[19]С2.5!$AN$11</f>
        <v>0</v>
      </c>
    </row>
    <row r="179" spans="2:3" hidden="1">
      <c r="B179" s="112">
        <f t="shared" si="0"/>
        <v>2056</v>
      </c>
      <c r="C179" s="113">
        <f>[19]С2.5!$AO$11</f>
        <v>0</v>
      </c>
    </row>
    <row r="180" spans="2:3" hidden="1">
      <c r="B180" s="112">
        <f t="shared" si="0"/>
        <v>2057</v>
      </c>
      <c r="C180" s="113">
        <f>[19]С2.5!$AP$11</f>
        <v>0</v>
      </c>
    </row>
    <row r="181" spans="2:3" hidden="1">
      <c r="B181" s="112">
        <f t="shared" si="0"/>
        <v>2058</v>
      </c>
      <c r="C181" s="113">
        <f>[19]С2.5!$AQ$11</f>
        <v>0</v>
      </c>
    </row>
    <row r="182" spans="2:3" hidden="1">
      <c r="B182" s="112">
        <f t="shared" si="0"/>
        <v>2059</v>
      </c>
      <c r="C182" s="113">
        <f>[19]С2.5!$AR$11</f>
        <v>0</v>
      </c>
    </row>
    <row r="183" spans="2:3" hidden="1">
      <c r="B183" s="112">
        <f t="shared" si="0"/>
        <v>2060</v>
      </c>
      <c r="C183" s="113">
        <f>[19]С2.5!$AS$11</f>
        <v>0</v>
      </c>
    </row>
    <row r="184" spans="2:3" hidden="1">
      <c r="B184" s="112">
        <f t="shared" si="0"/>
        <v>2061</v>
      </c>
      <c r="C184" s="113">
        <f>[19]С2.5!$AT$11</f>
        <v>0</v>
      </c>
    </row>
    <row r="185" spans="2:3" hidden="1">
      <c r="B185" s="112">
        <f t="shared" si="0"/>
        <v>2062</v>
      </c>
      <c r="C185" s="113">
        <f>[19]С2.5!$AU$11</f>
        <v>0</v>
      </c>
    </row>
    <row r="186" spans="2:3" hidden="1">
      <c r="B186" s="112">
        <f t="shared" si="0"/>
        <v>2063</v>
      </c>
      <c r="C186" s="113">
        <f>[19]С2.5!$AV$11</f>
        <v>0</v>
      </c>
    </row>
    <row r="187" spans="2:3" hidden="1">
      <c r="B187" s="112">
        <f t="shared" si="0"/>
        <v>2064</v>
      </c>
      <c r="C187" s="113">
        <f>[19]С2.5!$AW$11</f>
        <v>0</v>
      </c>
    </row>
    <row r="188" spans="2:3" hidden="1">
      <c r="B188" s="112">
        <f t="shared" si="0"/>
        <v>2065</v>
      </c>
      <c r="C188" s="113">
        <f>[19]С2.5!$AX$11</f>
        <v>0</v>
      </c>
    </row>
    <row r="189" spans="2:3" hidden="1">
      <c r="B189" s="112">
        <f t="shared" si="0"/>
        <v>2066</v>
      </c>
      <c r="C189" s="113">
        <f>[19]С2.5!$AY$11</f>
        <v>0</v>
      </c>
    </row>
    <row r="190" spans="2:3" hidden="1">
      <c r="B190" s="112">
        <f t="shared" si="0"/>
        <v>2067</v>
      </c>
      <c r="C190" s="113">
        <f>[19]С2.5!$AZ$11</f>
        <v>0</v>
      </c>
    </row>
    <row r="191" spans="2:3" hidden="1">
      <c r="B191" s="112">
        <f t="shared" si="0"/>
        <v>2068</v>
      </c>
      <c r="C191" s="113">
        <f>[19]С2.5!$BA$11</f>
        <v>0</v>
      </c>
    </row>
    <row r="192" spans="2:3" hidden="1">
      <c r="B192" s="112">
        <f t="shared" si="0"/>
        <v>2069</v>
      </c>
      <c r="C192" s="113">
        <f>[19]С2.5!$BB$11</f>
        <v>0</v>
      </c>
    </row>
    <row r="193" spans="2:3" hidden="1">
      <c r="B193" s="112">
        <f t="shared" si="0"/>
        <v>2070</v>
      </c>
      <c r="C193" s="113">
        <f>[19]С2.5!$BC$11</f>
        <v>0</v>
      </c>
    </row>
    <row r="194" spans="2:3" hidden="1">
      <c r="B194" s="112">
        <f t="shared" si="0"/>
        <v>2071</v>
      </c>
      <c r="C194" s="113">
        <f>[19]С2.5!$BD$11</f>
        <v>0</v>
      </c>
    </row>
    <row r="195" spans="2:3" hidden="1">
      <c r="B195" s="112">
        <f t="shared" si="0"/>
        <v>2072</v>
      </c>
      <c r="C195" s="113">
        <f>[19]С2.5!$BE$11</f>
        <v>0</v>
      </c>
    </row>
    <row r="196" spans="2:3" hidden="1">
      <c r="B196" s="112">
        <f t="shared" si="0"/>
        <v>2073</v>
      </c>
      <c r="C196" s="113">
        <f>[19]С2.5!$BF$11</f>
        <v>0</v>
      </c>
    </row>
    <row r="197" spans="2:3" hidden="1">
      <c r="B197" s="112">
        <f t="shared" si="0"/>
        <v>2074</v>
      </c>
      <c r="C197" s="113">
        <f>[19]С2.5!$BG$11</f>
        <v>0</v>
      </c>
    </row>
    <row r="198" spans="2:3" hidden="1">
      <c r="B198" s="112">
        <f t="shared" si="0"/>
        <v>2075</v>
      </c>
      <c r="C198" s="113">
        <f>[19]С2.5!$BH$11</f>
        <v>0</v>
      </c>
    </row>
    <row r="199" spans="2:3" hidden="1">
      <c r="B199" s="112">
        <f t="shared" si="0"/>
        <v>2076</v>
      </c>
      <c r="C199" s="113">
        <f>[19]С2.5!$BI$11</f>
        <v>0</v>
      </c>
    </row>
    <row r="200" spans="2:3" hidden="1">
      <c r="B200" s="112">
        <f t="shared" si="0"/>
        <v>2077</v>
      </c>
      <c r="C200" s="113">
        <f>[19]С2.5!$BJ$11</f>
        <v>0</v>
      </c>
    </row>
    <row r="201" spans="2:3" hidden="1">
      <c r="B201" s="112">
        <f t="shared" si="0"/>
        <v>2078</v>
      </c>
      <c r="C201" s="113">
        <f>[19]С2.5!$BK$11</f>
        <v>0</v>
      </c>
    </row>
    <row r="202" spans="2:3" hidden="1">
      <c r="B202" s="112">
        <f t="shared" si="0"/>
        <v>2079</v>
      </c>
      <c r="C202" s="113">
        <f>[19]С2.5!$BL$11</f>
        <v>0</v>
      </c>
    </row>
    <row r="203" spans="2:3" hidden="1">
      <c r="B203" s="112">
        <f t="shared" si="0"/>
        <v>2080</v>
      </c>
      <c r="C203" s="113">
        <f>[19]С2.5!$BM$11</f>
        <v>0</v>
      </c>
    </row>
    <row r="204" spans="2:3" hidden="1">
      <c r="B204" s="112">
        <f t="shared" si="0"/>
        <v>2081</v>
      </c>
      <c r="C204" s="113">
        <f>[19]С2.5!$BN$11</f>
        <v>0</v>
      </c>
    </row>
    <row r="205" spans="2:3" hidden="1">
      <c r="B205" s="112">
        <f t="shared" si="0"/>
        <v>2082</v>
      </c>
      <c r="C205" s="113">
        <f>[19]С2.5!$BO$11</f>
        <v>0</v>
      </c>
    </row>
    <row r="206" spans="2:3" hidden="1">
      <c r="B206" s="112">
        <f t="shared" si="0"/>
        <v>2083</v>
      </c>
      <c r="C206" s="113">
        <f>[19]С2.5!$BP$11</f>
        <v>0</v>
      </c>
    </row>
    <row r="207" spans="2:3" hidden="1">
      <c r="B207" s="112">
        <f t="shared" si="0"/>
        <v>2084</v>
      </c>
      <c r="C207" s="113">
        <f>[19]С2.5!$BQ$11</f>
        <v>0</v>
      </c>
    </row>
    <row r="208" spans="2:3" hidden="1">
      <c r="B208" s="112">
        <f t="shared" si="0"/>
        <v>2085</v>
      </c>
      <c r="C208" s="113">
        <f>[19]С2.5!$BR$11</f>
        <v>0</v>
      </c>
    </row>
    <row r="209" spans="2:3" hidden="1">
      <c r="B209" s="112">
        <f t="shared" ref="B209:B223" si="1">B208+1</f>
        <v>2086</v>
      </c>
      <c r="C209" s="113">
        <f>[19]С2.5!$BS$11</f>
        <v>0</v>
      </c>
    </row>
    <row r="210" spans="2:3" hidden="1">
      <c r="B210" s="112">
        <f t="shared" si="1"/>
        <v>2087</v>
      </c>
      <c r="C210" s="113">
        <f>[19]С2.5!$BT$11</f>
        <v>0</v>
      </c>
    </row>
    <row r="211" spans="2:3" hidden="1">
      <c r="B211" s="112">
        <f t="shared" si="1"/>
        <v>2088</v>
      </c>
      <c r="C211" s="113">
        <f>[19]С2.5!$BU$11</f>
        <v>0</v>
      </c>
    </row>
    <row r="212" spans="2:3" hidden="1">
      <c r="B212" s="112">
        <f t="shared" si="1"/>
        <v>2089</v>
      </c>
      <c r="C212" s="113">
        <f>[19]С2.5!$BV$11</f>
        <v>0</v>
      </c>
    </row>
    <row r="213" spans="2:3" hidden="1">
      <c r="B213" s="112">
        <f t="shared" si="1"/>
        <v>2090</v>
      </c>
      <c r="C213" s="113">
        <f>[19]С2.5!$BW$11</f>
        <v>0</v>
      </c>
    </row>
    <row r="214" spans="2:3" hidden="1">
      <c r="B214" s="112">
        <f t="shared" si="1"/>
        <v>2091</v>
      </c>
      <c r="C214" s="113">
        <f>[19]С2.5!$BX$11</f>
        <v>0</v>
      </c>
    </row>
    <row r="215" spans="2:3" hidden="1">
      <c r="B215" s="112">
        <f t="shared" si="1"/>
        <v>2092</v>
      </c>
      <c r="C215" s="113">
        <f>[19]С2.5!$BY$11</f>
        <v>0</v>
      </c>
    </row>
    <row r="216" spans="2:3" hidden="1">
      <c r="B216" s="112">
        <f t="shared" si="1"/>
        <v>2093</v>
      </c>
      <c r="C216" s="113">
        <f>[19]С2.5!$BZ$11</f>
        <v>0</v>
      </c>
    </row>
    <row r="217" spans="2:3" hidden="1">
      <c r="B217" s="112">
        <f t="shared" si="1"/>
        <v>2094</v>
      </c>
      <c r="C217" s="113">
        <f>[19]С2.5!$CA$11</f>
        <v>0</v>
      </c>
    </row>
    <row r="218" spans="2:3" hidden="1">
      <c r="B218" s="112">
        <f t="shared" si="1"/>
        <v>2095</v>
      </c>
      <c r="C218" s="113">
        <f>[19]С2.5!$CB$11</f>
        <v>0</v>
      </c>
    </row>
    <row r="219" spans="2:3" hidden="1">
      <c r="B219" s="112">
        <f t="shared" si="1"/>
        <v>2096</v>
      </c>
      <c r="C219" s="113">
        <f>[19]С2.5!$CC$11</f>
        <v>0</v>
      </c>
    </row>
    <row r="220" spans="2:3" hidden="1">
      <c r="B220" s="112">
        <f t="shared" si="1"/>
        <v>2097</v>
      </c>
      <c r="C220" s="113">
        <f>[19]С2.5!$CD$11</f>
        <v>0</v>
      </c>
    </row>
    <row r="221" spans="2:3" hidden="1">
      <c r="B221" s="112">
        <f t="shared" si="1"/>
        <v>2098</v>
      </c>
      <c r="C221" s="113">
        <f>[19]С2.5!$CE$11</f>
        <v>0</v>
      </c>
    </row>
    <row r="222" spans="2:3" hidden="1">
      <c r="B222" s="112">
        <f t="shared" si="1"/>
        <v>2099</v>
      </c>
      <c r="C222" s="113">
        <f>[19]С2.5!$CF$11</f>
        <v>0</v>
      </c>
    </row>
    <row r="223" spans="2:3" ht="13.5" hidden="1" thickBot="1">
      <c r="B223" s="114">
        <f t="shared" si="1"/>
        <v>2100</v>
      </c>
      <c r="C223" s="115">
        <f>[19]С2.5!$CG$11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topLeftCell="A4" workbookViewId="0">
      <selection activeCell="D2" sqref="D1:J1048576"/>
    </sheetView>
  </sheetViews>
  <sheetFormatPr defaultRowHeight="12.75"/>
  <cols>
    <col min="1" max="1" width="9.140625" style="2" customWidth="1"/>
    <col min="2" max="2" width="100.5703125" style="2" customWidth="1"/>
    <col min="3" max="3" width="20.85546875" style="7" customWidth="1"/>
    <col min="4" max="243" width="9.140625" style="2"/>
    <col min="244" max="244" width="3.570312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570312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570312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570312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570312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570312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570312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570312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570312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570312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570312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570312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570312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570312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570312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570312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570312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570312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570312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570312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570312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570312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570312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570312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570312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570312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570312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570312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570312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570312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570312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570312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570312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570312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570312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570312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570312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570312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570312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570312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570312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570312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570312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570312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570312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570312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570312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570312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570312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570312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570312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570312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570312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570312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570312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570312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570312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570312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570312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570312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570312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570312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570312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1"/>
      <c r="B1" s="145" t="s">
        <v>0</v>
      </c>
      <c r="C1" s="145"/>
    </row>
    <row r="2" spans="1:3">
      <c r="A2" s="3"/>
      <c r="B2" s="4" t="s">
        <v>1</v>
      </c>
      <c r="C2" s="5">
        <f ca="1">TODAY()</f>
        <v>44944</v>
      </c>
    </row>
    <row r="3" spans="1:3">
      <c r="A3" s="3"/>
      <c r="B3" s="6" t="s">
        <v>2</v>
      </c>
    </row>
    <row r="4" spans="1:3" ht="25.5">
      <c r="A4" s="8"/>
      <c r="B4" s="9" t="str">
        <f>[20]И1!D13</f>
        <v>Субъект Российской Федерации</v>
      </c>
      <c r="C4" s="10" t="str">
        <f>[20]И1!E13</f>
        <v>Новосибирская область</v>
      </c>
    </row>
    <row r="5" spans="1:3">
      <c r="A5" s="8"/>
      <c r="B5" s="9" t="str">
        <f>[20]И1!D14</f>
        <v>Тип муниципального образования (выберите из списка)</v>
      </c>
      <c r="C5" s="10" t="str">
        <f>[20]И1!E14</f>
        <v>село Чумаково</v>
      </c>
    </row>
    <row r="6" spans="1:3">
      <c r="A6" s="8"/>
      <c r="B6" s="9" t="str">
        <f>IF([20]И1!E15="","",[20]И1!D15)</f>
        <v/>
      </c>
      <c r="C6" s="10" t="str">
        <f>IF([20]И1!E15="","",[20]И1!E15)</f>
        <v/>
      </c>
    </row>
    <row r="7" spans="1:3">
      <c r="A7" s="8"/>
      <c r="B7" s="9" t="str">
        <f>[20]И1!D16</f>
        <v>Код ОКТМО</v>
      </c>
      <c r="C7" s="11" t="str">
        <f>[20]И1!E16</f>
        <v>50630446101</v>
      </c>
    </row>
    <row r="8" spans="1:3">
      <c r="A8" s="8"/>
      <c r="B8" s="12" t="str">
        <f>[20]И1!D17</f>
        <v>Система теплоснабжения</v>
      </c>
      <c r="C8" s="13">
        <f>[20]И1!E17</f>
        <v>0</v>
      </c>
    </row>
    <row r="9" spans="1:3">
      <c r="A9" s="8"/>
      <c r="B9" s="9" t="str">
        <f>[20]И1!D8</f>
        <v>Период регулирования (i)-й</v>
      </c>
      <c r="C9" s="14">
        <f>[20]И1!E8</f>
        <v>2023</v>
      </c>
    </row>
    <row r="10" spans="1:3">
      <c r="A10" s="8"/>
      <c r="B10" s="9" t="str">
        <f>[20]И1!D9</f>
        <v>Период регулирования (i-1)-й</v>
      </c>
      <c r="C10" s="14">
        <f>[20]И1!E9</f>
        <v>2022</v>
      </c>
    </row>
    <row r="11" spans="1:3">
      <c r="A11" s="8"/>
      <c r="B11" s="9" t="str">
        <f>[20]И1!D10</f>
        <v>Период регулирования (i-2)-й</v>
      </c>
      <c r="C11" s="14">
        <f>[20]И1!E10</f>
        <v>2021</v>
      </c>
    </row>
    <row r="12" spans="1:3">
      <c r="A12" s="8"/>
      <c r="B12" s="9" t="str">
        <f>[20]И1!D11</f>
        <v>Базовый год (б)</v>
      </c>
      <c r="C12" s="14">
        <f>[20]И1!E11</f>
        <v>2019</v>
      </c>
    </row>
    <row r="13" spans="1:3" ht="38.25">
      <c r="A13" s="8"/>
      <c r="B13" s="9" t="str">
        <f>[20]И1!D18</f>
        <v>Вид топлива, использование которого преобладает в системе теплоснабжения</v>
      </c>
      <c r="C13" s="15" t="str">
        <f>[20]С1.1!E13</f>
        <v>уголь (вид угля не указан в топливном балансе)</v>
      </c>
    </row>
    <row r="14" spans="1:3" ht="31.7" customHeight="1" thickBot="1">
      <c r="A14" s="146" t="s">
        <v>3</v>
      </c>
      <c r="B14" s="146"/>
      <c r="C14" s="146"/>
    </row>
    <row r="15" spans="1:3">
      <c r="A15" s="16" t="s">
        <v>4</v>
      </c>
      <c r="B15" s="17" t="s">
        <v>5</v>
      </c>
      <c r="C15" s="18" t="s">
        <v>6</v>
      </c>
    </row>
    <row r="16" spans="1:3">
      <c r="A16" s="19">
        <v>1</v>
      </c>
      <c r="B16" s="20">
        <v>2</v>
      </c>
      <c r="C16" s="21">
        <v>3</v>
      </c>
    </row>
    <row r="17" spans="1:3">
      <c r="A17" s="22">
        <v>1</v>
      </c>
      <c r="B17" s="23" t="s">
        <v>7</v>
      </c>
      <c r="C17" s="24">
        <f>SUM(C18:C22)</f>
        <v>4203.6224328806211</v>
      </c>
    </row>
    <row r="18" spans="1:3" ht="42.75">
      <c r="A18" s="22" t="s">
        <v>8</v>
      </c>
      <c r="B18" s="25" t="s">
        <v>9</v>
      </c>
      <c r="C18" s="26">
        <f>[20]С1!F12</f>
        <v>1000.9144443145</v>
      </c>
    </row>
    <row r="19" spans="1:3" ht="42.75">
      <c r="A19" s="22" t="s">
        <v>10</v>
      </c>
      <c r="B19" s="25" t="s">
        <v>11</v>
      </c>
      <c r="C19" s="26">
        <f>[20]С2!F12</f>
        <v>2116.2031761890698</v>
      </c>
    </row>
    <row r="20" spans="1:3" ht="30">
      <c r="A20" s="22" t="s">
        <v>12</v>
      </c>
      <c r="B20" s="25" t="s">
        <v>13</v>
      </c>
      <c r="C20" s="26">
        <f>[20]С3!F12</f>
        <v>506.5368696227419</v>
      </c>
    </row>
    <row r="21" spans="1:3" ht="42.75">
      <c r="A21" s="22" t="s">
        <v>14</v>
      </c>
      <c r="B21" s="25" t="s">
        <v>15</v>
      </c>
      <c r="C21" s="26">
        <f>[20]С4!F12</f>
        <v>497.54397348213968</v>
      </c>
    </row>
    <row r="22" spans="1:3" ht="30">
      <c r="A22" s="22" t="s">
        <v>16</v>
      </c>
      <c r="B22" s="25" t="s">
        <v>17</v>
      </c>
      <c r="C22" s="26">
        <f>[20]С5!F12</f>
        <v>82.423969272169032</v>
      </c>
    </row>
    <row r="23" spans="1:3" ht="43.5" thickBot="1">
      <c r="A23" s="27" t="s">
        <v>18</v>
      </c>
      <c r="B23" s="28" t="s">
        <v>19</v>
      </c>
      <c r="C23" s="29" t="str">
        <f>[20]С6!F12</f>
        <v>-</v>
      </c>
    </row>
    <row r="24" spans="1:3" ht="13.5" thickBot="1">
      <c r="A24" s="3"/>
    </row>
    <row r="25" spans="1:3">
      <c r="A25" s="16" t="s">
        <v>4</v>
      </c>
      <c r="B25" s="30" t="s">
        <v>5</v>
      </c>
      <c r="C25" s="31" t="s">
        <v>6</v>
      </c>
    </row>
    <row r="26" spans="1:3">
      <c r="A26" s="19">
        <v>1</v>
      </c>
      <c r="B26" s="32">
        <v>2</v>
      </c>
      <c r="C26" s="33">
        <v>3</v>
      </c>
    </row>
    <row r="27" spans="1:3" ht="30" customHeight="1">
      <c r="A27" s="22">
        <v>1</v>
      </c>
      <c r="B27" s="147" t="s">
        <v>20</v>
      </c>
      <c r="C27" s="147"/>
    </row>
    <row r="28" spans="1:3">
      <c r="A28" s="22" t="s">
        <v>8</v>
      </c>
      <c r="B28" s="34" t="s">
        <v>21</v>
      </c>
      <c r="C28" s="35">
        <f>[20]С1.1!E16</f>
        <v>5100</v>
      </c>
    </row>
    <row r="29" spans="1:3" ht="42.75">
      <c r="A29" s="22" t="s">
        <v>10</v>
      </c>
      <c r="B29" s="34" t="s">
        <v>22</v>
      </c>
      <c r="C29" s="35">
        <f>[20]С1.1!E27</f>
        <v>2691.291666666667</v>
      </c>
    </row>
    <row r="30" spans="1:3" ht="17.25">
      <c r="A30" s="22" t="s">
        <v>12</v>
      </c>
      <c r="B30" s="34" t="s">
        <v>23</v>
      </c>
      <c r="C30" s="36">
        <f>[20]С1.1!E19</f>
        <v>0.59499999999999997</v>
      </c>
    </row>
    <row r="31" spans="1:3" ht="17.25">
      <c r="A31" s="22" t="s">
        <v>14</v>
      </c>
      <c r="B31" s="34" t="s">
        <v>24</v>
      </c>
      <c r="C31" s="36">
        <f>[20]С1.1!E20</f>
        <v>-0.113</v>
      </c>
    </row>
    <row r="32" spans="1:3" ht="30">
      <c r="A32" s="22" t="s">
        <v>16</v>
      </c>
      <c r="B32" s="37" t="s">
        <v>25</v>
      </c>
      <c r="C32" s="38">
        <f>[20]С1!F13</f>
        <v>176.4</v>
      </c>
    </row>
    <row r="33" spans="1:3">
      <c r="A33" s="22" t="s">
        <v>18</v>
      </c>
      <c r="B33" s="37" t="s">
        <v>26</v>
      </c>
      <c r="C33" s="39">
        <f>[20]С1!F16</f>
        <v>7000</v>
      </c>
    </row>
    <row r="34" spans="1:3" ht="14.25">
      <c r="A34" s="22" t="s">
        <v>27</v>
      </c>
      <c r="B34" s="40" t="s">
        <v>28</v>
      </c>
      <c r="C34" s="41">
        <f>[20]С1!F17</f>
        <v>0.72857142857142854</v>
      </c>
    </row>
    <row r="35" spans="1:3" ht="15.75">
      <c r="A35" s="42" t="s">
        <v>29</v>
      </c>
      <c r="B35" s="43" t="s">
        <v>30</v>
      </c>
      <c r="C35" s="41">
        <f>[20]С1!F20</f>
        <v>21.588411179999994</v>
      </c>
    </row>
    <row r="36" spans="1:3" ht="15.75">
      <c r="A36" s="42" t="s">
        <v>31</v>
      </c>
      <c r="B36" s="44" t="s">
        <v>32</v>
      </c>
      <c r="C36" s="41">
        <f>[20]С1!F21</f>
        <v>20.818139999999996</v>
      </c>
    </row>
    <row r="37" spans="1:3" ht="14.25">
      <c r="A37" s="42" t="s">
        <v>33</v>
      </c>
      <c r="B37" s="45" t="s">
        <v>34</v>
      </c>
      <c r="C37" s="41">
        <f>[20]С1!F22</f>
        <v>1.0369999999999999</v>
      </c>
    </row>
    <row r="38" spans="1:3" ht="53.25" thickBot="1">
      <c r="A38" s="27" t="s">
        <v>35</v>
      </c>
      <c r="B38" s="46" t="s">
        <v>36</v>
      </c>
      <c r="C38" s="47">
        <f>[20]С1!F23</f>
        <v>1.0469999999999999</v>
      </c>
    </row>
    <row r="39" spans="1:3" ht="13.5" thickBot="1">
      <c r="A39" s="48"/>
      <c r="B39" s="49"/>
      <c r="C39" s="50"/>
    </row>
    <row r="40" spans="1:3" ht="30" customHeight="1">
      <c r="A40" s="51" t="s">
        <v>37</v>
      </c>
      <c r="B40" s="142" t="s">
        <v>38</v>
      </c>
      <c r="C40" s="142"/>
    </row>
    <row r="41" spans="1:3" ht="25.5">
      <c r="A41" s="22" t="s">
        <v>39</v>
      </c>
      <c r="B41" s="37" t="s">
        <v>40</v>
      </c>
      <c r="C41" s="52" t="str">
        <f>[20]С2.1!E12</f>
        <v>V</v>
      </c>
    </row>
    <row r="42" spans="1:3" ht="25.5">
      <c r="A42" s="22" t="s">
        <v>41</v>
      </c>
      <c r="B42" s="34" t="s">
        <v>42</v>
      </c>
      <c r="C42" s="52" t="str">
        <f>[20]С2.1!E13</f>
        <v>6 и менее баллов</v>
      </c>
    </row>
    <row r="43" spans="1:3" ht="25.5">
      <c r="A43" s="22" t="s">
        <v>43</v>
      </c>
      <c r="B43" s="34" t="s">
        <v>44</v>
      </c>
      <c r="C43" s="52" t="str">
        <f>[20]С2.1!E14</f>
        <v>от 200 до 500</v>
      </c>
    </row>
    <row r="44" spans="1:3" ht="25.5">
      <c r="A44" s="22" t="s">
        <v>45</v>
      </c>
      <c r="B44" s="34" t="s">
        <v>46</v>
      </c>
      <c r="C44" s="53" t="str">
        <f>[20]С2.1!E15</f>
        <v>нет</v>
      </c>
    </row>
    <row r="45" spans="1:3" ht="30">
      <c r="A45" s="22" t="s">
        <v>47</v>
      </c>
      <c r="B45" s="34" t="s">
        <v>48</v>
      </c>
      <c r="C45" s="35">
        <f>[20]С2!F18</f>
        <v>32402.627334033532</v>
      </c>
    </row>
    <row r="46" spans="1:3" ht="30">
      <c r="A46" s="22" t="s">
        <v>49</v>
      </c>
      <c r="B46" s="54" t="s">
        <v>50</v>
      </c>
      <c r="C46" s="35">
        <f>IF([20]С2!F19&gt;0,[20]С2!F19,[20]С2!F20)</f>
        <v>23441.524932855718</v>
      </c>
    </row>
    <row r="47" spans="1:3" ht="25.5">
      <c r="A47" s="22" t="s">
        <v>51</v>
      </c>
      <c r="B47" s="55" t="s">
        <v>52</v>
      </c>
      <c r="C47" s="35">
        <f>[20]С2.1!E19</f>
        <v>-38</v>
      </c>
    </row>
    <row r="48" spans="1:3" ht="25.5">
      <c r="A48" s="22" t="s">
        <v>53</v>
      </c>
      <c r="B48" s="55" t="s">
        <v>54</v>
      </c>
      <c r="C48" s="35" t="str">
        <f>[20]С2.1!E22</f>
        <v>нет</v>
      </c>
    </row>
    <row r="49" spans="1:3" ht="38.25">
      <c r="A49" s="22" t="s">
        <v>55</v>
      </c>
      <c r="B49" s="56" t="s">
        <v>56</v>
      </c>
      <c r="C49" s="35">
        <f>[20]С2.2!E10</f>
        <v>1287</v>
      </c>
    </row>
    <row r="50" spans="1:3" ht="25.5">
      <c r="A50" s="22" t="s">
        <v>57</v>
      </c>
      <c r="B50" s="57" t="s">
        <v>58</v>
      </c>
      <c r="C50" s="35">
        <f>[20]С2.2!E12</f>
        <v>5.97</v>
      </c>
    </row>
    <row r="51" spans="1:3" ht="52.5">
      <c r="A51" s="22" t="s">
        <v>59</v>
      </c>
      <c r="B51" s="58" t="s">
        <v>60</v>
      </c>
      <c r="C51" s="35">
        <f>[20]С2.2!E13</f>
        <v>1</v>
      </c>
    </row>
    <row r="52" spans="1:3" ht="27.75">
      <c r="A52" s="22" t="s">
        <v>61</v>
      </c>
      <c r="B52" s="57" t="s">
        <v>62</v>
      </c>
      <c r="C52" s="35">
        <f>[20]С2.2!E14</f>
        <v>12104</v>
      </c>
    </row>
    <row r="53" spans="1:3" ht="25.5">
      <c r="A53" s="22" t="s">
        <v>63</v>
      </c>
      <c r="B53" s="58" t="s">
        <v>64</v>
      </c>
      <c r="C53" s="36">
        <f>[20]С2.2!E15</f>
        <v>4.8000000000000001E-2</v>
      </c>
    </row>
    <row r="54" spans="1:3">
      <c r="A54" s="22" t="s">
        <v>65</v>
      </c>
      <c r="B54" s="58" t="s">
        <v>66</v>
      </c>
      <c r="C54" s="35">
        <f>[20]С2.2!E16</f>
        <v>1</v>
      </c>
    </row>
    <row r="55" spans="1:3" ht="15.75">
      <c r="A55" s="22" t="s">
        <v>67</v>
      </c>
      <c r="B55" s="59" t="s">
        <v>68</v>
      </c>
      <c r="C55" s="35">
        <f>[20]С2!F21</f>
        <v>1</v>
      </c>
    </row>
    <row r="56" spans="1:3" ht="30">
      <c r="A56" s="60" t="s">
        <v>69</v>
      </c>
      <c r="B56" s="34" t="s">
        <v>70</v>
      </c>
      <c r="C56" s="35">
        <f>[20]С2!F13</f>
        <v>169640.22915965237</v>
      </c>
    </row>
    <row r="57" spans="1:3" ht="30">
      <c r="A57" s="60" t="s">
        <v>71</v>
      </c>
      <c r="B57" s="59" t="s">
        <v>72</v>
      </c>
      <c r="C57" s="35">
        <f>[20]С2!F14</f>
        <v>113455</v>
      </c>
    </row>
    <row r="58" spans="1:3" ht="15.75">
      <c r="A58" s="60" t="s">
        <v>73</v>
      </c>
      <c r="B58" s="61" t="s">
        <v>74</v>
      </c>
      <c r="C58" s="41">
        <f>[20]С2!F15</f>
        <v>1.071</v>
      </c>
    </row>
    <row r="59" spans="1:3" ht="15.75">
      <c r="A59" s="60" t="s">
        <v>75</v>
      </c>
      <c r="B59" s="61" t="s">
        <v>76</v>
      </c>
      <c r="C59" s="41">
        <f>[20]С2!F16</f>
        <v>1</v>
      </c>
    </row>
    <row r="60" spans="1:3" ht="17.25">
      <c r="A60" s="60" t="s">
        <v>77</v>
      </c>
      <c r="B60" s="59" t="s">
        <v>78</v>
      </c>
      <c r="C60" s="35">
        <f>[20]С2!F17</f>
        <v>1.01</v>
      </c>
    </row>
    <row r="61" spans="1:3" s="64" customFormat="1" ht="14.25">
      <c r="A61" s="60" t="s">
        <v>79</v>
      </c>
      <c r="B61" s="62" t="s">
        <v>80</v>
      </c>
      <c r="C61" s="63">
        <f>[20]С2!F33</f>
        <v>10</v>
      </c>
    </row>
    <row r="62" spans="1:3" ht="30">
      <c r="A62" s="60" t="s">
        <v>81</v>
      </c>
      <c r="B62" s="65" t="s">
        <v>82</v>
      </c>
      <c r="C62" s="35">
        <f>[20]С2!F26</f>
        <v>2274.3932248182782</v>
      </c>
    </row>
    <row r="63" spans="1:3" ht="17.25">
      <c r="A63" s="60" t="s">
        <v>83</v>
      </c>
      <c r="B63" s="54" t="s">
        <v>84</v>
      </c>
      <c r="C63" s="35">
        <f>[20]С2!F27</f>
        <v>0.391761629</v>
      </c>
    </row>
    <row r="64" spans="1:3" ht="17.25">
      <c r="A64" s="60" t="s">
        <v>85</v>
      </c>
      <c r="B64" s="59" t="s">
        <v>86</v>
      </c>
      <c r="C64" s="63">
        <f>[20]С2!F28</f>
        <v>4200</v>
      </c>
    </row>
    <row r="65" spans="1:3" ht="42.75">
      <c r="A65" s="60" t="s">
        <v>87</v>
      </c>
      <c r="B65" s="34" t="s">
        <v>88</v>
      </c>
      <c r="C65" s="35">
        <f>[20]С2!F22</f>
        <v>35717.748653137714</v>
      </c>
    </row>
    <row r="66" spans="1:3" ht="30">
      <c r="A66" s="60" t="s">
        <v>89</v>
      </c>
      <c r="B66" s="61" t="s">
        <v>90</v>
      </c>
      <c r="C66" s="35">
        <f>[20]С2!F23</f>
        <v>1990</v>
      </c>
    </row>
    <row r="67" spans="1:3" ht="30">
      <c r="A67" s="60" t="s">
        <v>91</v>
      </c>
      <c r="B67" s="54" t="s">
        <v>92</v>
      </c>
      <c r="C67" s="35">
        <f>[20]С2.1!E27</f>
        <v>14307.876789999998</v>
      </c>
    </row>
    <row r="68" spans="1:3" ht="38.25">
      <c r="A68" s="60" t="s">
        <v>93</v>
      </c>
      <c r="B68" s="66" t="s">
        <v>94</v>
      </c>
      <c r="C68" s="53">
        <f>[20]С2.3!E21</f>
        <v>0</v>
      </c>
    </row>
    <row r="69" spans="1:3" ht="25.5">
      <c r="A69" s="60" t="s">
        <v>95</v>
      </c>
      <c r="B69" s="67" t="s">
        <v>96</v>
      </c>
      <c r="C69" s="68">
        <f>[20]С2.3!E11</f>
        <v>9.89</v>
      </c>
    </row>
    <row r="70" spans="1:3" ht="25.5">
      <c r="A70" s="60" t="s">
        <v>97</v>
      </c>
      <c r="B70" s="67" t="s">
        <v>98</v>
      </c>
      <c r="C70" s="63">
        <f>[20]С2.3!E13</f>
        <v>300</v>
      </c>
    </row>
    <row r="71" spans="1:3" ht="25.5">
      <c r="A71" s="60" t="s">
        <v>99</v>
      </c>
      <c r="B71" s="66" t="s">
        <v>100</v>
      </c>
      <c r="C71" s="69">
        <f>IF([20]С2.3!E22&gt;0,[20]С2.3!E22,[20]С2.3!E14)</f>
        <v>61211</v>
      </c>
    </row>
    <row r="72" spans="1:3" ht="38.25">
      <c r="A72" s="60" t="s">
        <v>101</v>
      </c>
      <c r="B72" s="66" t="s">
        <v>102</v>
      </c>
      <c r="C72" s="69">
        <f>IF([20]С2.3!E23&gt;0,[20]С2.3!E23,[20]С2.3!E15)</f>
        <v>45675</v>
      </c>
    </row>
    <row r="73" spans="1:3" ht="30">
      <c r="A73" s="60" t="s">
        <v>103</v>
      </c>
      <c r="B73" s="54" t="s">
        <v>104</v>
      </c>
      <c r="C73" s="35">
        <f>[20]С2.1!E28</f>
        <v>9541.9567200000001</v>
      </c>
    </row>
    <row r="74" spans="1:3" ht="38.25">
      <c r="A74" s="60" t="s">
        <v>105</v>
      </c>
      <c r="B74" s="66" t="s">
        <v>106</v>
      </c>
      <c r="C74" s="53">
        <f>[20]С2.3!E25</f>
        <v>0</v>
      </c>
    </row>
    <row r="75" spans="1:3" ht="25.5">
      <c r="A75" s="60" t="s">
        <v>107</v>
      </c>
      <c r="B75" s="67" t="s">
        <v>108</v>
      </c>
      <c r="C75" s="68">
        <f>[20]С2.3!E12</f>
        <v>0.56000000000000005</v>
      </c>
    </row>
    <row r="76" spans="1:3" ht="25.5">
      <c r="A76" s="60" t="s">
        <v>109</v>
      </c>
      <c r="B76" s="67" t="s">
        <v>98</v>
      </c>
      <c r="C76" s="63">
        <f>[20]С2.3!E13</f>
        <v>300</v>
      </c>
    </row>
    <row r="77" spans="1:3" ht="25.5">
      <c r="A77" s="60" t="s">
        <v>110</v>
      </c>
      <c r="B77" s="70" t="s">
        <v>111</v>
      </c>
      <c r="C77" s="69">
        <f>IF([20]С2.3!E26&gt;0,[20]С2.3!E26,[20]С2.3!E16)</f>
        <v>65637</v>
      </c>
    </row>
    <row r="78" spans="1:3" ht="38.25">
      <c r="A78" s="60" t="s">
        <v>112</v>
      </c>
      <c r="B78" s="70" t="s">
        <v>113</v>
      </c>
      <c r="C78" s="69">
        <f>IF([20]С2.3!E27&gt;0,[20]С2.3!E27,[20]С2.3!E17)</f>
        <v>31684</v>
      </c>
    </row>
    <row r="79" spans="1:3" ht="17.25">
      <c r="A79" s="60" t="s">
        <v>114</v>
      </c>
      <c r="B79" s="34" t="s">
        <v>115</v>
      </c>
      <c r="C79" s="36">
        <f>[20]С2!F29</f>
        <v>0.128978033685065</v>
      </c>
    </row>
    <row r="80" spans="1:3" ht="30">
      <c r="A80" s="60" t="s">
        <v>116</v>
      </c>
      <c r="B80" s="54" t="s">
        <v>117</v>
      </c>
      <c r="C80" s="71">
        <f>[20]С2!F30</f>
        <v>0.11668498168498169</v>
      </c>
    </row>
    <row r="81" spans="1:3" ht="17.25">
      <c r="A81" s="60" t="s">
        <v>118</v>
      </c>
      <c r="B81" s="72" t="s">
        <v>119</v>
      </c>
      <c r="C81" s="36">
        <f>[20]С2!F31</f>
        <v>0.13880000000000001</v>
      </c>
    </row>
    <row r="82" spans="1:3" s="64" customFormat="1" ht="18" thickBot="1">
      <c r="A82" s="73" t="s">
        <v>120</v>
      </c>
      <c r="B82" s="74" t="s">
        <v>121</v>
      </c>
      <c r="C82" s="75">
        <f>[20]С2!F32</f>
        <v>0.12640000000000001</v>
      </c>
    </row>
    <row r="83" spans="1:3" ht="13.5" thickBot="1">
      <c r="A83" s="48"/>
      <c r="B83" s="76"/>
      <c r="C83" s="15"/>
    </row>
    <row r="84" spans="1:3" s="64" customFormat="1" ht="30" customHeight="1">
      <c r="A84" s="77" t="s">
        <v>122</v>
      </c>
      <c r="B84" s="142" t="s">
        <v>123</v>
      </c>
      <c r="C84" s="142"/>
    </row>
    <row r="85" spans="1:3" s="64" customFormat="1" ht="30">
      <c r="A85" s="78" t="s">
        <v>124</v>
      </c>
      <c r="B85" s="34" t="s">
        <v>125</v>
      </c>
      <c r="C85" s="35">
        <f>[20]С3!F14</f>
        <v>7051.1767451401192</v>
      </c>
    </row>
    <row r="86" spans="1:3" s="64" customFormat="1" ht="42.75">
      <c r="A86" s="78" t="s">
        <v>126</v>
      </c>
      <c r="B86" s="54" t="s">
        <v>127</v>
      </c>
      <c r="C86" s="79">
        <f>[20]С3!F15</f>
        <v>0.2</v>
      </c>
    </row>
    <row r="87" spans="1:3" s="64" customFormat="1" ht="14.25">
      <c r="A87" s="78" t="s">
        <v>128</v>
      </c>
      <c r="B87" s="80" t="s">
        <v>129</v>
      </c>
      <c r="C87" s="63">
        <f>[20]С3!F18</f>
        <v>15</v>
      </c>
    </row>
    <row r="88" spans="1:3" s="64" customFormat="1" ht="17.25">
      <c r="A88" s="78" t="s">
        <v>130</v>
      </c>
      <c r="B88" s="34" t="s">
        <v>131</v>
      </c>
      <c r="C88" s="35">
        <f>[20]С3!F19</f>
        <v>3487.1555421534131</v>
      </c>
    </row>
    <row r="89" spans="1:3" s="64" customFormat="1" ht="55.5">
      <c r="A89" s="78" t="s">
        <v>132</v>
      </c>
      <c r="B89" s="54" t="s">
        <v>133</v>
      </c>
      <c r="C89" s="81">
        <f>[20]С3!F20</f>
        <v>2.1999999999999999E-2</v>
      </c>
    </row>
    <row r="90" spans="1:3" s="64" customFormat="1" ht="14.25">
      <c r="A90" s="78" t="s">
        <v>134</v>
      </c>
      <c r="B90" s="59" t="s">
        <v>80</v>
      </c>
      <c r="C90" s="63">
        <f>[20]С3!F21</f>
        <v>10</v>
      </c>
    </row>
    <row r="91" spans="1:3" s="64" customFormat="1" ht="17.25">
      <c r="A91" s="78" t="s">
        <v>135</v>
      </c>
      <c r="B91" s="34" t="s">
        <v>136</v>
      </c>
      <c r="C91" s="35">
        <f>[20]С3!F22</f>
        <v>6.8231796744548348</v>
      </c>
    </row>
    <row r="92" spans="1:3" s="64" customFormat="1" ht="55.5">
      <c r="A92" s="78" t="s">
        <v>137</v>
      </c>
      <c r="B92" s="54" t="s">
        <v>138</v>
      </c>
      <c r="C92" s="81">
        <f>[20]С3!F23</f>
        <v>3.0000000000000001E-3</v>
      </c>
    </row>
    <row r="93" spans="1:3" s="64" customFormat="1" ht="27.75" thickBot="1">
      <c r="A93" s="82" t="s">
        <v>139</v>
      </c>
      <c r="B93" s="83" t="s">
        <v>140</v>
      </c>
      <c r="C93" s="84">
        <f>[20]С3!F24</f>
        <v>2274.3932248182782</v>
      </c>
    </row>
    <row r="94" spans="1:3" ht="13.5" thickBot="1">
      <c r="A94" s="48"/>
      <c r="B94" s="76"/>
      <c r="C94" s="15"/>
    </row>
    <row r="95" spans="1:3" ht="30" customHeight="1">
      <c r="A95" s="85" t="s">
        <v>141</v>
      </c>
      <c r="B95" s="142" t="s">
        <v>142</v>
      </c>
      <c r="C95" s="142"/>
    </row>
    <row r="96" spans="1:3" ht="30">
      <c r="A96" s="60" t="s">
        <v>143</v>
      </c>
      <c r="B96" s="34" t="s">
        <v>144</v>
      </c>
      <c r="C96" s="35">
        <f>[20]С4!F16</f>
        <v>1652.5</v>
      </c>
    </row>
    <row r="97" spans="1:3" ht="30">
      <c r="A97" s="60" t="s">
        <v>145</v>
      </c>
      <c r="B97" s="59" t="s">
        <v>146</v>
      </c>
      <c r="C97" s="35">
        <f>[20]С4!F17</f>
        <v>73547</v>
      </c>
    </row>
    <row r="98" spans="1:3" ht="17.25">
      <c r="A98" s="60" t="s">
        <v>147</v>
      </c>
      <c r="B98" s="59" t="s">
        <v>148</v>
      </c>
      <c r="C98" s="41">
        <f>[20]С4!F18</f>
        <v>0.02</v>
      </c>
    </row>
    <row r="99" spans="1:3" ht="30">
      <c r="A99" s="60" t="s">
        <v>149</v>
      </c>
      <c r="B99" s="59" t="s">
        <v>150</v>
      </c>
      <c r="C99" s="35">
        <f>[20]С4!F19</f>
        <v>12104</v>
      </c>
    </row>
    <row r="100" spans="1:3" ht="31.5">
      <c r="A100" s="60" t="s">
        <v>151</v>
      </c>
      <c r="B100" s="59" t="s">
        <v>152</v>
      </c>
      <c r="C100" s="41">
        <f>[20]С4!F20</f>
        <v>1.4999999999999999E-2</v>
      </c>
    </row>
    <row r="101" spans="1:3" ht="30">
      <c r="A101" s="60" t="s">
        <v>153</v>
      </c>
      <c r="B101" s="34" t="s">
        <v>154</v>
      </c>
      <c r="C101" s="35">
        <f>[20]С4!F21</f>
        <v>1933.1949342509995</v>
      </c>
    </row>
    <row r="102" spans="1:3" ht="24" customHeight="1">
      <c r="A102" s="60" t="s">
        <v>155</v>
      </c>
      <c r="B102" s="54" t="s">
        <v>156</v>
      </c>
      <c r="C102" s="86">
        <f>IF([20]С4.2!F8="да",[20]С4.2!D21,[20]С4.2!D15)</f>
        <v>0</v>
      </c>
    </row>
    <row r="103" spans="1:3" ht="68.25">
      <c r="A103" s="60" t="s">
        <v>157</v>
      </c>
      <c r="B103" s="54" t="s">
        <v>158</v>
      </c>
      <c r="C103" s="35">
        <f>[20]С4!F22</f>
        <v>3.6112641666666665</v>
      </c>
    </row>
    <row r="104" spans="1:3" ht="30">
      <c r="A104" s="60" t="s">
        <v>159</v>
      </c>
      <c r="B104" s="59" t="s">
        <v>160</v>
      </c>
      <c r="C104" s="35">
        <f>[20]С4!F23</f>
        <v>180</v>
      </c>
    </row>
    <row r="105" spans="1:3" ht="14.25">
      <c r="A105" s="60" t="s">
        <v>161</v>
      </c>
      <c r="B105" s="54" t="s">
        <v>162</v>
      </c>
      <c r="C105" s="35">
        <f>[20]С4!F24</f>
        <v>8497.1999999999989</v>
      </c>
    </row>
    <row r="106" spans="1:3" ht="14.25">
      <c r="A106" s="60" t="s">
        <v>163</v>
      </c>
      <c r="B106" s="59" t="s">
        <v>164</v>
      </c>
      <c r="C106" s="41">
        <f>[20]С4!F25</f>
        <v>0.35</v>
      </c>
    </row>
    <row r="107" spans="1:3" ht="17.25">
      <c r="A107" s="60" t="s">
        <v>165</v>
      </c>
      <c r="B107" s="34" t="s">
        <v>166</v>
      </c>
      <c r="C107" s="35">
        <f>[20]С4!F26</f>
        <v>98.114070000000012</v>
      </c>
    </row>
    <row r="108" spans="1:3" ht="25.5">
      <c r="A108" s="60" t="s">
        <v>167</v>
      </c>
      <c r="B108" s="54" t="s">
        <v>94</v>
      </c>
      <c r="C108" s="86">
        <f>[20]С4.3!E16</f>
        <v>0</v>
      </c>
    </row>
    <row r="109" spans="1:3" ht="25.5">
      <c r="A109" s="60" t="s">
        <v>168</v>
      </c>
      <c r="B109" s="54" t="s">
        <v>169</v>
      </c>
      <c r="C109" s="35">
        <f>[20]С4.3!E17</f>
        <v>27.05</v>
      </c>
    </row>
    <row r="110" spans="1:3" ht="38.25">
      <c r="A110" s="60" t="s">
        <v>170</v>
      </c>
      <c r="B110" s="54" t="s">
        <v>106</v>
      </c>
      <c r="C110" s="86">
        <f>[20]С4.3!E18</f>
        <v>0</v>
      </c>
    </row>
    <row r="111" spans="1:3">
      <c r="A111" s="60" t="s">
        <v>171</v>
      </c>
      <c r="B111" s="54" t="s">
        <v>172</v>
      </c>
      <c r="C111" s="35">
        <f>[20]С4.3!E19</f>
        <v>15.93</v>
      </c>
    </row>
    <row r="112" spans="1:3">
      <c r="A112" s="60" t="s">
        <v>173</v>
      </c>
      <c r="B112" s="59" t="s">
        <v>174</v>
      </c>
      <c r="C112" s="35">
        <f>[20]С4.3!E11</f>
        <v>1871</v>
      </c>
    </row>
    <row r="113" spans="1:3">
      <c r="A113" s="60" t="s">
        <v>175</v>
      </c>
      <c r="B113" s="59" t="s">
        <v>176</v>
      </c>
      <c r="C113" s="53">
        <f>[20]С4.3!E12</f>
        <v>1636</v>
      </c>
    </row>
    <row r="114" spans="1:3">
      <c r="A114" s="60" t="s">
        <v>177</v>
      </c>
      <c r="B114" s="59" t="s">
        <v>178</v>
      </c>
      <c r="C114" s="53">
        <f>[20]С4.3!E13</f>
        <v>204</v>
      </c>
    </row>
    <row r="115" spans="1:3" ht="30">
      <c r="A115" s="60" t="s">
        <v>179</v>
      </c>
      <c r="B115" s="34" t="s">
        <v>180</v>
      </c>
      <c r="C115" s="35">
        <f>[20]С4!F27</f>
        <v>2164.8316773434499</v>
      </c>
    </row>
    <row r="116" spans="1:3" ht="25.5">
      <c r="A116" s="60" t="s">
        <v>181</v>
      </c>
      <c r="B116" s="54" t="s">
        <v>182</v>
      </c>
      <c r="C116" s="35">
        <f>[20]С4!F28</f>
        <v>1662.6971408167815</v>
      </c>
    </row>
    <row r="117" spans="1:3" ht="42.75">
      <c r="A117" s="60" t="s">
        <v>183</v>
      </c>
      <c r="B117" s="54" t="s">
        <v>184</v>
      </c>
      <c r="C117" s="35">
        <f>[20]С4!F29</f>
        <v>502.13453652666817</v>
      </c>
    </row>
    <row r="118" spans="1:3" ht="30">
      <c r="A118" s="60" t="s">
        <v>185</v>
      </c>
      <c r="B118" s="40" t="s">
        <v>186</v>
      </c>
      <c r="C118" s="35">
        <f>[20]С4!F30</f>
        <v>2273.5119303121146</v>
      </c>
    </row>
    <row r="119" spans="1:3" ht="42.75">
      <c r="A119" s="60" t="s">
        <v>187</v>
      </c>
      <c r="B119" s="87" t="s">
        <v>188</v>
      </c>
      <c r="C119" s="35">
        <f>[20]С4!F33</f>
        <v>1475.6430730833022</v>
      </c>
    </row>
    <row r="120" spans="1:3" ht="30">
      <c r="A120" s="60" t="s">
        <v>189</v>
      </c>
      <c r="B120" s="88" t="s">
        <v>190</v>
      </c>
      <c r="C120" s="35">
        <f>[20]С4!F35</f>
        <v>17.040680999999999</v>
      </c>
    </row>
    <row r="121" spans="1:3" ht="14.25">
      <c r="A121" s="60" t="s">
        <v>191</v>
      </c>
      <c r="B121" s="57" t="s">
        <v>192</v>
      </c>
      <c r="C121" s="35">
        <f>[20]С4!F36</f>
        <v>14319.9</v>
      </c>
    </row>
    <row r="122" spans="1:3" ht="28.5" thickBot="1">
      <c r="A122" s="73" t="s">
        <v>193</v>
      </c>
      <c r="B122" s="89" t="s">
        <v>194</v>
      </c>
      <c r="C122" s="84">
        <f>[20]С4!F37</f>
        <v>1.19</v>
      </c>
    </row>
    <row r="123" spans="1:3" s="90" customFormat="1" ht="13.5" thickBot="1">
      <c r="A123" s="48"/>
      <c r="B123" s="76"/>
      <c r="C123" s="15"/>
    </row>
    <row r="124" spans="1:3" s="64" customFormat="1" ht="30" customHeight="1">
      <c r="A124" s="77" t="s">
        <v>195</v>
      </c>
      <c r="B124" s="142" t="s">
        <v>196</v>
      </c>
      <c r="C124" s="142"/>
    </row>
    <row r="125" spans="1:3" ht="16.5" thickBot="1">
      <c r="A125" s="27" t="s">
        <v>197</v>
      </c>
      <c r="B125" s="91" t="s">
        <v>198</v>
      </c>
      <c r="C125" s="84">
        <f>[20]С5!F17</f>
        <v>0.02</v>
      </c>
    </row>
    <row r="126" spans="1:3" s="90" customFormat="1" ht="13.5" thickBot="1">
      <c r="A126" s="48"/>
      <c r="B126" s="76"/>
      <c r="C126" s="15"/>
    </row>
    <row r="127" spans="1:3" ht="42.75" customHeight="1">
      <c r="A127" s="85" t="s">
        <v>199</v>
      </c>
      <c r="B127" s="143" t="s">
        <v>200</v>
      </c>
      <c r="C127" s="143"/>
    </row>
    <row r="128" spans="1:3" ht="68.25">
      <c r="A128" s="60" t="s">
        <v>201</v>
      </c>
      <c r="B128" s="92" t="s">
        <v>202</v>
      </c>
      <c r="C128" s="35" t="s">
        <v>203</v>
      </c>
    </row>
    <row r="129" spans="1:3" ht="42.75" hidden="1">
      <c r="A129" s="60" t="s">
        <v>204</v>
      </c>
      <c r="B129" s="87" t="s">
        <v>205</v>
      </c>
      <c r="C129" s="93"/>
    </row>
    <row r="130" spans="1:3" ht="69" thickBot="1">
      <c r="A130" s="73" t="s">
        <v>206</v>
      </c>
      <c r="B130" s="94" t="s">
        <v>207</v>
      </c>
      <c r="C130" s="95" t="s">
        <v>203</v>
      </c>
    </row>
    <row r="131" spans="1:3" ht="62.25" hidden="1" customHeight="1">
      <c r="A131" s="96" t="s">
        <v>208</v>
      </c>
      <c r="B131" s="97" t="s">
        <v>209</v>
      </c>
      <c r="C131" s="98"/>
    </row>
    <row r="132" spans="1:3" ht="68.25" hidden="1">
      <c r="A132" s="60" t="s">
        <v>210</v>
      </c>
      <c r="B132" s="87" t="s">
        <v>211</v>
      </c>
      <c r="C132" s="36"/>
    </row>
    <row r="133" spans="1:3" ht="69" hidden="1" thickBot="1">
      <c r="A133" s="73" t="s">
        <v>212</v>
      </c>
      <c r="B133" s="99" t="s">
        <v>213</v>
      </c>
      <c r="C133" s="75"/>
    </row>
    <row r="134" spans="1:3" s="90" customFormat="1" ht="13.5" thickBot="1">
      <c r="A134" s="48"/>
      <c r="B134" s="76"/>
      <c r="C134" s="15"/>
    </row>
    <row r="135" spans="1:3" ht="26.25" customHeight="1">
      <c r="A135" s="85" t="s">
        <v>214</v>
      </c>
      <c r="B135" s="100" t="s">
        <v>215</v>
      </c>
      <c r="C135" s="101">
        <f>[20]С2!F37</f>
        <v>20.818139999999996</v>
      </c>
    </row>
    <row r="136" spans="1:3" ht="14.25">
      <c r="A136" s="60" t="s">
        <v>216</v>
      </c>
      <c r="B136" s="102" t="s">
        <v>217</v>
      </c>
      <c r="C136" s="35">
        <f>[20]С2!F38</f>
        <v>7</v>
      </c>
    </row>
    <row r="137" spans="1:3" ht="17.25">
      <c r="A137" s="60" t="s">
        <v>218</v>
      </c>
      <c r="B137" s="102" t="s">
        <v>219</v>
      </c>
      <c r="C137" s="35">
        <f>[20]С2!F40</f>
        <v>0.97</v>
      </c>
    </row>
    <row r="138" spans="1:3" ht="15" thickBot="1">
      <c r="A138" s="73" t="s">
        <v>220</v>
      </c>
      <c r="B138" s="103" t="s">
        <v>221</v>
      </c>
      <c r="C138" s="47">
        <f>[20]С2!F42</f>
        <v>0.35</v>
      </c>
    </row>
    <row r="139" spans="1:3" s="90" customFormat="1" ht="13.5" thickBot="1">
      <c r="A139" s="48"/>
      <c r="B139" s="76"/>
      <c r="C139" s="15"/>
    </row>
    <row r="140" spans="1:3" ht="30">
      <c r="A140" s="85" t="s">
        <v>222</v>
      </c>
      <c r="B140" s="104" t="s">
        <v>223</v>
      </c>
      <c r="C140" s="105">
        <f>[20]С2!F35</f>
        <v>1.3822747209000001</v>
      </c>
    </row>
    <row r="141" spans="1:3" ht="22.7" customHeight="1" thickBot="1">
      <c r="A141" s="73" t="s">
        <v>224</v>
      </c>
      <c r="B141" s="144" t="s">
        <v>225</v>
      </c>
      <c r="C141" s="144"/>
    </row>
    <row r="142" spans="1:3" ht="13.5" thickBot="1">
      <c r="A142" s="107"/>
      <c r="B142" s="108" t="s">
        <v>226</v>
      </c>
      <c r="C142" s="109"/>
    </row>
    <row r="143" spans="1:3">
      <c r="A143" s="107"/>
      <c r="B143" s="110">
        <v>2020</v>
      </c>
      <c r="C143" s="111">
        <f>[20]С2.5!$E$11</f>
        <v>-2.9000000000000026E-2</v>
      </c>
    </row>
    <row r="144" spans="1:3">
      <c r="A144" s="107"/>
      <c r="B144" s="112">
        <f>B143+1</f>
        <v>2021</v>
      </c>
      <c r="C144" s="113">
        <f>[20]С2.5!$F$11</f>
        <v>0.245</v>
      </c>
    </row>
    <row r="145" spans="1:3">
      <c r="A145" s="107"/>
      <c r="B145" s="112">
        <f t="shared" ref="B145:B208" si="0">B144+1</f>
        <v>2022</v>
      </c>
      <c r="C145" s="113">
        <f>[20]С2.5!$G$11</f>
        <v>0.121</v>
      </c>
    </row>
    <row r="146" spans="1:3" ht="13.5" thickBot="1">
      <c r="A146" s="107"/>
      <c r="B146" s="114">
        <f t="shared" si="0"/>
        <v>2023</v>
      </c>
      <c r="C146" s="115">
        <f>[20]С2.5!$H$11</f>
        <v>0.02</v>
      </c>
    </row>
    <row r="147" spans="1:3" hidden="1">
      <c r="A147" s="107"/>
      <c r="B147" s="116">
        <f t="shared" si="0"/>
        <v>2024</v>
      </c>
      <c r="C147" s="117">
        <f>[20]С2.5!$I$11</f>
        <v>-2.93E-2</v>
      </c>
    </row>
    <row r="148" spans="1:3" hidden="1">
      <c r="A148" s="107"/>
      <c r="B148" s="112">
        <f t="shared" si="0"/>
        <v>2025</v>
      </c>
      <c r="C148" s="113">
        <f>[20]С2.5!$J$11</f>
        <v>0.21215960863291</v>
      </c>
    </row>
    <row r="149" spans="1:3" hidden="1">
      <c r="A149" s="107"/>
      <c r="B149" s="112">
        <f t="shared" si="0"/>
        <v>2026</v>
      </c>
      <c r="C149" s="113">
        <f>[20]С2.5!$K$11</f>
        <v>3.5813361771260002E-2</v>
      </c>
    </row>
    <row r="150" spans="1:3" hidden="1">
      <c r="A150" s="107"/>
      <c r="B150" s="112">
        <f t="shared" si="0"/>
        <v>2027</v>
      </c>
      <c r="C150" s="113">
        <f>[20]С2.5!$L$11</f>
        <v>3.2682303599220003E-2</v>
      </c>
    </row>
    <row r="151" spans="1:3" hidden="1">
      <c r="A151" s="107"/>
      <c r="B151" s="112">
        <f t="shared" si="0"/>
        <v>2028</v>
      </c>
      <c r="C151" s="113">
        <f>[20]С2.5!$M$11</f>
        <v>0</v>
      </c>
    </row>
    <row r="152" spans="1:3" hidden="1">
      <c r="A152" s="107"/>
      <c r="B152" s="112">
        <f t="shared" si="0"/>
        <v>2029</v>
      </c>
      <c r="C152" s="113">
        <f>[20]С2.5!$N$11</f>
        <v>0</v>
      </c>
    </row>
    <row r="153" spans="1:3" hidden="1">
      <c r="A153" s="107"/>
      <c r="B153" s="112">
        <f t="shared" si="0"/>
        <v>2030</v>
      </c>
      <c r="C153" s="113">
        <f>[20]С2.5!$O$11</f>
        <v>0</v>
      </c>
    </row>
    <row r="154" spans="1:3" hidden="1">
      <c r="A154" s="107"/>
      <c r="B154" s="112">
        <f t="shared" si="0"/>
        <v>2031</v>
      </c>
      <c r="C154" s="113">
        <f>[20]С2.5!$P$11</f>
        <v>0</v>
      </c>
    </row>
    <row r="155" spans="1:3" hidden="1">
      <c r="A155" s="90"/>
      <c r="B155" s="112">
        <f t="shared" si="0"/>
        <v>2032</v>
      </c>
      <c r="C155" s="113">
        <f>[20]С2.5!$Q$11</f>
        <v>0</v>
      </c>
    </row>
    <row r="156" spans="1:3" hidden="1">
      <c r="A156" s="90"/>
      <c r="B156" s="112">
        <f t="shared" si="0"/>
        <v>2033</v>
      </c>
      <c r="C156" s="113">
        <f>[20]С2.5!$R$11</f>
        <v>0</v>
      </c>
    </row>
    <row r="157" spans="1:3" hidden="1">
      <c r="B157" s="112">
        <f t="shared" si="0"/>
        <v>2034</v>
      </c>
      <c r="C157" s="113">
        <f>[20]С2.5!$S$11</f>
        <v>0</v>
      </c>
    </row>
    <row r="158" spans="1:3" hidden="1">
      <c r="B158" s="112">
        <f t="shared" si="0"/>
        <v>2035</v>
      </c>
      <c r="C158" s="113">
        <f>[20]С2.5!$T$11</f>
        <v>0</v>
      </c>
    </row>
    <row r="159" spans="1:3" hidden="1">
      <c r="B159" s="112">
        <f t="shared" si="0"/>
        <v>2036</v>
      </c>
      <c r="C159" s="113">
        <f>[20]С2.5!$U$11</f>
        <v>0</v>
      </c>
    </row>
    <row r="160" spans="1:3" hidden="1">
      <c r="B160" s="112">
        <f t="shared" si="0"/>
        <v>2037</v>
      </c>
      <c r="C160" s="113">
        <f>[20]С2.5!$V$11</f>
        <v>0</v>
      </c>
    </row>
    <row r="161" spans="2:3" hidden="1">
      <c r="B161" s="112">
        <f t="shared" si="0"/>
        <v>2038</v>
      </c>
      <c r="C161" s="113">
        <f>[20]С2.5!$W$11</f>
        <v>0</v>
      </c>
    </row>
    <row r="162" spans="2:3" hidden="1">
      <c r="B162" s="112">
        <f t="shared" si="0"/>
        <v>2039</v>
      </c>
      <c r="C162" s="113">
        <f>[20]С2.5!$X$11</f>
        <v>0</v>
      </c>
    </row>
    <row r="163" spans="2:3" hidden="1">
      <c r="B163" s="112">
        <f t="shared" si="0"/>
        <v>2040</v>
      </c>
      <c r="C163" s="113">
        <f>[20]С2.5!$Y$11</f>
        <v>0</v>
      </c>
    </row>
    <row r="164" spans="2:3" hidden="1">
      <c r="B164" s="112">
        <f t="shared" si="0"/>
        <v>2041</v>
      </c>
      <c r="C164" s="113">
        <f>[20]С2.5!$Z$11</f>
        <v>0</v>
      </c>
    </row>
    <row r="165" spans="2:3" hidden="1">
      <c r="B165" s="112">
        <f t="shared" si="0"/>
        <v>2042</v>
      </c>
      <c r="C165" s="113">
        <f>[20]С2.5!$AA$11</f>
        <v>0</v>
      </c>
    </row>
    <row r="166" spans="2:3" hidden="1">
      <c r="B166" s="112">
        <f t="shared" si="0"/>
        <v>2043</v>
      </c>
      <c r="C166" s="113">
        <f>[20]С2.5!$AB$11</f>
        <v>0</v>
      </c>
    </row>
    <row r="167" spans="2:3" hidden="1">
      <c r="B167" s="112">
        <f t="shared" si="0"/>
        <v>2044</v>
      </c>
      <c r="C167" s="113">
        <f>[20]С2.5!$AC$11</f>
        <v>0</v>
      </c>
    </row>
    <row r="168" spans="2:3" hidden="1">
      <c r="B168" s="112">
        <f t="shared" si="0"/>
        <v>2045</v>
      </c>
      <c r="C168" s="113">
        <f>[20]С2.5!$AD$11</f>
        <v>0</v>
      </c>
    </row>
    <row r="169" spans="2:3" hidden="1">
      <c r="B169" s="112">
        <f t="shared" si="0"/>
        <v>2046</v>
      </c>
      <c r="C169" s="113">
        <f>[20]С2.5!$AE$11</f>
        <v>0</v>
      </c>
    </row>
    <row r="170" spans="2:3" hidden="1">
      <c r="B170" s="112">
        <f t="shared" si="0"/>
        <v>2047</v>
      </c>
      <c r="C170" s="113">
        <f>[20]С2.5!$AF$11</f>
        <v>0</v>
      </c>
    </row>
    <row r="171" spans="2:3" hidden="1">
      <c r="B171" s="112">
        <f t="shared" si="0"/>
        <v>2048</v>
      </c>
      <c r="C171" s="113">
        <f>[20]С2.5!$AG$11</f>
        <v>0</v>
      </c>
    </row>
    <row r="172" spans="2:3" hidden="1">
      <c r="B172" s="112">
        <f t="shared" si="0"/>
        <v>2049</v>
      </c>
      <c r="C172" s="113">
        <f>[20]С2.5!$AH$11</f>
        <v>0</v>
      </c>
    </row>
    <row r="173" spans="2:3" hidden="1">
      <c r="B173" s="112">
        <f t="shared" si="0"/>
        <v>2050</v>
      </c>
      <c r="C173" s="113">
        <f>[20]С2.5!$AI$11</f>
        <v>0</v>
      </c>
    </row>
    <row r="174" spans="2:3" hidden="1">
      <c r="B174" s="112">
        <f t="shared" si="0"/>
        <v>2051</v>
      </c>
      <c r="C174" s="113">
        <f>[20]С2.5!$AJ$11</f>
        <v>0</v>
      </c>
    </row>
    <row r="175" spans="2:3" hidden="1">
      <c r="B175" s="112">
        <f t="shared" si="0"/>
        <v>2052</v>
      </c>
      <c r="C175" s="113">
        <f>[20]С2.5!$AK$11</f>
        <v>0</v>
      </c>
    </row>
    <row r="176" spans="2:3" hidden="1">
      <c r="B176" s="112">
        <f t="shared" si="0"/>
        <v>2053</v>
      </c>
      <c r="C176" s="113">
        <f>[20]С2.5!$AL$11</f>
        <v>0</v>
      </c>
    </row>
    <row r="177" spans="2:3" hidden="1">
      <c r="B177" s="112">
        <f t="shared" si="0"/>
        <v>2054</v>
      </c>
      <c r="C177" s="113">
        <f>[20]С2.5!$AM$11</f>
        <v>0</v>
      </c>
    </row>
    <row r="178" spans="2:3" hidden="1">
      <c r="B178" s="112">
        <f t="shared" si="0"/>
        <v>2055</v>
      </c>
      <c r="C178" s="113">
        <f>[20]С2.5!$AN$11</f>
        <v>0</v>
      </c>
    </row>
    <row r="179" spans="2:3" hidden="1">
      <c r="B179" s="112">
        <f t="shared" si="0"/>
        <v>2056</v>
      </c>
      <c r="C179" s="113">
        <f>[20]С2.5!$AO$11</f>
        <v>0</v>
      </c>
    </row>
    <row r="180" spans="2:3" hidden="1">
      <c r="B180" s="112">
        <f t="shared" si="0"/>
        <v>2057</v>
      </c>
      <c r="C180" s="113">
        <f>[20]С2.5!$AP$11</f>
        <v>0</v>
      </c>
    </row>
    <row r="181" spans="2:3" hidden="1">
      <c r="B181" s="112">
        <f t="shared" si="0"/>
        <v>2058</v>
      </c>
      <c r="C181" s="113">
        <f>[20]С2.5!$AQ$11</f>
        <v>0</v>
      </c>
    </row>
    <row r="182" spans="2:3" hidden="1">
      <c r="B182" s="112">
        <f t="shared" si="0"/>
        <v>2059</v>
      </c>
      <c r="C182" s="113">
        <f>[20]С2.5!$AR$11</f>
        <v>0</v>
      </c>
    </row>
    <row r="183" spans="2:3" hidden="1">
      <c r="B183" s="112">
        <f t="shared" si="0"/>
        <v>2060</v>
      </c>
      <c r="C183" s="113">
        <f>[20]С2.5!$AS$11</f>
        <v>0</v>
      </c>
    </row>
    <row r="184" spans="2:3" hidden="1">
      <c r="B184" s="112">
        <f t="shared" si="0"/>
        <v>2061</v>
      </c>
      <c r="C184" s="113">
        <f>[20]С2.5!$AT$11</f>
        <v>0</v>
      </c>
    </row>
    <row r="185" spans="2:3" hidden="1">
      <c r="B185" s="112">
        <f t="shared" si="0"/>
        <v>2062</v>
      </c>
      <c r="C185" s="113">
        <f>[20]С2.5!$AU$11</f>
        <v>0</v>
      </c>
    </row>
    <row r="186" spans="2:3" hidden="1">
      <c r="B186" s="112">
        <f t="shared" si="0"/>
        <v>2063</v>
      </c>
      <c r="C186" s="113">
        <f>[20]С2.5!$AV$11</f>
        <v>0</v>
      </c>
    </row>
    <row r="187" spans="2:3" hidden="1">
      <c r="B187" s="112">
        <f t="shared" si="0"/>
        <v>2064</v>
      </c>
      <c r="C187" s="113">
        <f>[20]С2.5!$AW$11</f>
        <v>0</v>
      </c>
    </row>
    <row r="188" spans="2:3" hidden="1">
      <c r="B188" s="112">
        <f t="shared" si="0"/>
        <v>2065</v>
      </c>
      <c r="C188" s="113">
        <f>[20]С2.5!$AX$11</f>
        <v>0</v>
      </c>
    </row>
    <row r="189" spans="2:3" hidden="1">
      <c r="B189" s="112">
        <f t="shared" si="0"/>
        <v>2066</v>
      </c>
      <c r="C189" s="113">
        <f>[20]С2.5!$AY$11</f>
        <v>0</v>
      </c>
    </row>
    <row r="190" spans="2:3" hidden="1">
      <c r="B190" s="112">
        <f t="shared" si="0"/>
        <v>2067</v>
      </c>
      <c r="C190" s="113">
        <f>[20]С2.5!$AZ$11</f>
        <v>0</v>
      </c>
    </row>
    <row r="191" spans="2:3" hidden="1">
      <c r="B191" s="112">
        <f t="shared" si="0"/>
        <v>2068</v>
      </c>
      <c r="C191" s="113">
        <f>[20]С2.5!$BA$11</f>
        <v>0</v>
      </c>
    </row>
    <row r="192" spans="2:3" hidden="1">
      <c r="B192" s="112">
        <f t="shared" si="0"/>
        <v>2069</v>
      </c>
      <c r="C192" s="113">
        <f>[20]С2.5!$BB$11</f>
        <v>0</v>
      </c>
    </row>
    <row r="193" spans="2:3" hidden="1">
      <c r="B193" s="112">
        <f t="shared" si="0"/>
        <v>2070</v>
      </c>
      <c r="C193" s="113">
        <f>[20]С2.5!$BC$11</f>
        <v>0</v>
      </c>
    </row>
    <row r="194" spans="2:3" hidden="1">
      <c r="B194" s="112">
        <f t="shared" si="0"/>
        <v>2071</v>
      </c>
      <c r="C194" s="113">
        <f>[20]С2.5!$BD$11</f>
        <v>0</v>
      </c>
    </row>
    <row r="195" spans="2:3" hidden="1">
      <c r="B195" s="112">
        <f t="shared" si="0"/>
        <v>2072</v>
      </c>
      <c r="C195" s="113">
        <f>[20]С2.5!$BE$11</f>
        <v>0</v>
      </c>
    </row>
    <row r="196" spans="2:3" hidden="1">
      <c r="B196" s="112">
        <f t="shared" si="0"/>
        <v>2073</v>
      </c>
      <c r="C196" s="113">
        <f>[20]С2.5!$BF$11</f>
        <v>0</v>
      </c>
    </row>
    <row r="197" spans="2:3" hidden="1">
      <c r="B197" s="112">
        <f t="shared" si="0"/>
        <v>2074</v>
      </c>
      <c r="C197" s="113">
        <f>[20]С2.5!$BG$11</f>
        <v>0</v>
      </c>
    </row>
    <row r="198" spans="2:3" hidden="1">
      <c r="B198" s="112">
        <f t="shared" si="0"/>
        <v>2075</v>
      </c>
      <c r="C198" s="113">
        <f>[20]С2.5!$BH$11</f>
        <v>0</v>
      </c>
    </row>
    <row r="199" spans="2:3" hidden="1">
      <c r="B199" s="112">
        <f t="shared" si="0"/>
        <v>2076</v>
      </c>
      <c r="C199" s="113">
        <f>[20]С2.5!$BI$11</f>
        <v>0</v>
      </c>
    </row>
    <row r="200" spans="2:3" hidden="1">
      <c r="B200" s="112">
        <f t="shared" si="0"/>
        <v>2077</v>
      </c>
      <c r="C200" s="113">
        <f>[20]С2.5!$BJ$11</f>
        <v>0</v>
      </c>
    </row>
    <row r="201" spans="2:3" hidden="1">
      <c r="B201" s="112">
        <f t="shared" si="0"/>
        <v>2078</v>
      </c>
      <c r="C201" s="113">
        <f>[20]С2.5!$BK$11</f>
        <v>0</v>
      </c>
    </row>
    <row r="202" spans="2:3" hidden="1">
      <c r="B202" s="112">
        <f t="shared" si="0"/>
        <v>2079</v>
      </c>
      <c r="C202" s="113">
        <f>[20]С2.5!$BL$11</f>
        <v>0</v>
      </c>
    </row>
    <row r="203" spans="2:3" hidden="1">
      <c r="B203" s="112">
        <f t="shared" si="0"/>
        <v>2080</v>
      </c>
      <c r="C203" s="113">
        <f>[20]С2.5!$BM$11</f>
        <v>0</v>
      </c>
    </row>
    <row r="204" spans="2:3" hidden="1">
      <c r="B204" s="112">
        <f t="shared" si="0"/>
        <v>2081</v>
      </c>
      <c r="C204" s="113">
        <f>[20]С2.5!$BN$11</f>
        <v>0</v>
      </c>
    </row>
    <row r="205" spans="2:3" hidden="1">
      <c r="B205" s="112">
        <f t="shared" si="0"/>
        <v>2082</v>
      </c>
      <c r="C205" s="113">
        <f>[20]С2.5!$BO$11</f>
        <v>0</v>
      </c>
    </row>
    <row r="206" spans="2:3" hidden="1">
      <c r="B206" s="112">
        <f t="shared" si="0"/>
        <v>2083</v>
      </c>
      <c r="C206" s="113">
        <f>[20]С2.5!$BP$11</f>
        <v>0</v>
      </c>
    </row>
    <row r="207" spans="2:3" hidden="1">
      <c r="B207" s="112">
        <f t="shared" si="0"/>
        <v>2084</v>
      </c>
      <c r="C207" s="113">
        <f>[20]С2.5!$BQ$11</f>
        <v>0</v>
      </c>
    </row>
    <row r="208" spans="2:3" hidden="1">
      <c r="B208" s="112">
        <f t="shared" si="0"/>
        <v>2085</v>
      </c>
      <c r="C208" s="113">
        <f>[20]С2.5!$BR$11</f>
        <v>0</v>
      </c>
    </row>
    <row r="209" spans="2:3" hidden="1">
      <c r="B209" s="112">
        <f t="shared" ref="B209:B223" si="1">B208+1</f>
        <v>2086</v>
      </c>
      <c r="C209" s="113">
        <f>[20]С2.5!$BS$11</f>
        <v>0</v>
      </c>
    </row>
    <row r="210" spans="2:3" hidden="1">
      <c r="B210" s="112">
        <f t="shared" si="1"/>
        <v>2087</v>
      </c>
      <c r="C210" s="113">
        <f>[20]С2.5!$BT$11</f>
        <v>0</v>
      </c>
    </row>
    <row r="211" spans="2:3" hidden="1">
      <c r="B211" s="112">
        <f t="shared" si="1"/>
        <v>2088</v>
      </c>
      <c r="C211" s="113">
        <f>[20]С2.5!$BU$11</f>
        <v>0</v>
      </c>
    </row>
    <row r="212" spans="2:3" hidden="1">
      <c r="B212" s="112">
        <f t="shared" si="1"/>
        <v>2089</v>
      </c>
      <c r="C212" s="113">
        <f>[20]С2.5!$BV$11</f>
        <v>0</v>
      </c>
    </row>
    <row r="213" spans="2:3" hidden="1">
      <c r="B213" s="112">
        <f t="shared" si="1"/>
        <v>2090</v>
      </c>
      <c r="C213" s="113">
        <f>[20]С2.5!$BW$11</f>
        <v>0</v>
      </c>
    </row>
    <row r="214" spans="2:3" hidden="1">
      <c r="B214" s="112">
        <f t="shared" si="1"/>
        <v>2091</v>
      </c>
      <c r="C214" s="113">
        <f>[20]С2.5!$BX$11</f>
        <v>0</v>
      </c>
    </row>
    <row r="215" spans="2:3" hidden="1">
      <c r="B215" s="112">
        <f t="shared" si="1"/>
        <v>2092</v>
      </c>
      <c r="C215" s="113">
        <f>[20]С2.5!$BY$11</f>
        <v>0</v>
      </c>
    </row>
    <row r="216" spans="2:3" hidden="1">
      <c r="B216" s="112">
        <f t="shared" si="1"/>
        <v>2093</v>
      </c>
      <c r="C216" s="113">
        <f>[20]С2.5!$BZ$11</f>
        <v>0</v>
      </c>
    </row>
    <row r="217" spans="2:3" hidden="1">
      <c r="B217" s="112">
        <f t="shared" si="1"/>
        <v>2094</v>
      </c>
      <c r="C217" s="113">
        <f>[20]С2.5!$CA$11</f>
        <v>0</v>
      </c>
    </row>
    <row r="218" spans="2:3" hidden="1">
      <c r="B218" s="112">
        <f t="shared" si="1"/>
        <v>2095</v>
      </c>
      <c r="C218" s="113">
        <f>[20]С2.5!$CB$11</f>
        <v>0</v>
      </c>
    </row>
    <row r="219" spans="2:3" hidden="1">
      <c r="B219" s="112">
        <f t="shared" si="1"/>
        <v>2096</v>
      </c>
      <c r="C219" s="113">
        <f>[20]С2.5!$CC$11</f>
        <v>0</v>
      </c>
    </row>
    <row r="220" spans="2:3" hidden="1">
      <c r="B220" s="112">
        <f t="shared" si="1"/>
        <v>2097</v>
      </c>
      <c r="C220" s="113">
        <f>[20]С2.5!$CD$11</f>
        <v>0</v>
      </c>
    </row>
    <row r="221" spans="2:3" hidden="1">
      <c r="B221" s="112">
        <f t="shared" si="1"/>
        <v>2098</v>
      </c>
      <c r="C221" s="113">
        <f>[20]С2.5!$CE$11</f>
        <v>0</v>
      </c>
    </row>
    <row r="222" spans="2:3" hidden="1">
      <c r="B222" s="112">
        <f t="shared" si="1"/>
        <v>2099</v>
      </c>
      <c r="C222" s="113">
        <f>[20]С2.5!$CF$11</f>
        <v>0</v>
      </c>
    </row>
    <row r="223" spans="2:3" ht="13.5" hidden="1" thickBot="1">
      <c r="B223" s="114">
        <f t="shared" si="1"/>
        <v>2100</v>
      </c>
      <c r="C223" s="115">
        <f>[20]С2.5!$CG$11</f>
        <v>0</v>
      </c>
    </row>
    <row r="224" spans="2:3" hidden="1">
      <c r="C224" s="118"/>
    </row>
    <row r="225" spans="3:3" hidden="1">
      <c r="C225" s="118"/>
    </row>
    <row r="226" spans="3:3">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17</vt:i4>
      </vt:variant>
    </vt:vector>
  </HeadingPairs>
  <TitlesOfParts>
    <vt:vector size="17" baseType="lpstr">
      <vt:lpstr>Абрамовский сс</vt:lpstr>
      <vt:lpstr>Балманский сс</vt:lpstr>
      <vt:lpstr>Булатовский сс</vt:lpstr>
      <vt:lpstr>Верх-Ичинский</vt:lpstr>
      <vt:lpstr>Веснянский сс</vt:lpstr>
      <vt:lpstr>Гжатский сс</vt:lpstr>
      <vt:lpstr>Горбуновский сс</vt:lpstr>
      <vt:lpstr>Зоновский сс</vt:lpstr>
      <vt:lpstr>Камский сс</vt:lpstr>
      <vt:lpstr>Куйбышевский сс</vt:lpstr>
      <vt:lpstr>МИхайловский сс</vt:lpstr>
      <vt:lpstr>Новоичинский сс</vt:lpstr>
      <vt:lpstr>Октябрьский сс</vt:lpstr>
      <vt:lpstr>Осиновский сс</vt:lpstr>
      <vt:lpstr>Отрадненский сс</vt:lpstr>
      <vt:lpstr>Сергинский сс</vt:lpstr>
      <vt:lpstr>Чумаковский сс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Панжена</dc:creator>
  <cp:lastModifiedBy>Панжена</cp:lastModifiedBy>
  <dcterms:created xsi:type="dcterms:W3CDTF">2023-01-18T05:30:13Z</dcterms:created>
  <dcterms:modified xsi:type="dcterms:W3CDTF">2023-01-18T08:46:53Z</dcterms:modified>
</cp:coreProperties>
</file>