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drawings/drawing12.xml" ContentType="application/vnd.openxmlformats-officedocument.drawing+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80" yWindow="0" windowWidth="12900" windowHeight="12810" firstSheet="8" activeTab="11"/>
  </bookViews>
  <sheets>
    <sheet name="Никоновский" sheetId="16" r:id="rId1"/>
    <sheet name="Пеньковский" sheetId="17" r:id="rId2"/>
    <sheet name="Бажинский" sheetId="18" r:id="rId3"/>
    <sheet name="Березовский" sheetId="19" r:id="rId4"/>
    <sheet name="Большеизыракский" sheetId="20" r:id="rId5"/>
    <sheet name="Борковский" sheetId="21" r:id="rId6"/>
    <sheet name="Дубровский" sheetId="22" r:id="rId7"/>
    <sheet name="Егорьевский" sheetId="23" r:id="rId8"/>
    <sheet name="Елбанский" sheetId="24" r:id="rId9"/>
    <sheet name="Малотомский" sheetId="25" r:id="rId10"/>
    <sheet name="Мамоновский" sheetId="26" r:id="rId11"/>
    <sheet name="р.п. Маслянино" sheetId="27"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srok">[1]Предположения!$E$161</definedName>
    <definedName name="tar">[1]Предположения!$E$165</definedName>
    <definedName name="_xlnm.Print_Area" localSheetId="2">Бажинский!$B$1:$C$135</definedName>
    <definedName name="_xlnm.Print_Area" localSheetId="3">Березовский!$B$1:$C$135</definedName>
    <definedName name="_xlnm.Print_Area" localSheetId="4">Большеизыракский!$B$1:$C$135</definedName>
    <definedName name="_xlnm.Print_Area" localSheetId="5">Борковский!$B$1:$C$135</definedName>
    <definedName name="_xlnm.Print_Area" localSheetId="6">Дубровский!$B$1:$C$135</definedName>
    <definedName name="_xlnm.Print_Area" localSheetId="7">Егорьевский!$B$1:$C$135</definedName>
    <definedName name="_xlnm.Print_Area" localSheetId="8">Елбанский!$B$1:$C$135</definedName>
    <definedName name="_xlnm.Print_Area" localSheetId="9">Малотомский!$B$1:$C$135</definedName>
    <definedName name="_xlnm.Print_Area" localSheetId="10">Мамоновский!$B$1:$C$135</definedName>
    <definedName name="_xlnm.Print_Area" localSheetId="0">Никоновский!$B$1:$C$135</definedName>
    <definedName name="_xlnm.Print_Area" localSheetId="1">Пеньковский!$B$1:$C$135</definedName>
    <definedName name="_xlnm.Print_Area" localSheetId="11">'р.п. Маслянино'!$B$1:$C$135</definedName>
  </definedNames>
  <calcPr calcId="145621"/>
</workbook>
</file>

<file path=xl/calcChain.xml><?xml version="1.0" encoding="utf-8"?>
<calcChain xmlns="http://schemas.openxmlformats.org/spreadsheetml/2006/main">
  <c r="C225" i="27" l="1"/>
  <c r="C224" i="27"/>
  <c r="C223" i="27"/>
  <c r="C222" i="27"/>
  <c r="C221" i="27"/>
  <c r="C220" i="27"/>
  <c r="C219" i="27"/>
  <c r="C218" i="27"/>
  <c r="C217" i="27"/>
  <c r="C216" i="27"/>
  <c r="C215" i="27"/>
  <c r="C214" i="27"/>
  <c r="C213" i="27"/>
  <c r="C212" i="27"/>
  <c r="C211" i="27"/>
  <c r="C210" i="27"/>
  <c r="C209" i="27"/>
  <c r="C208" i="27"/>
  <c r="C207" i="27"/>
  <c r="C206" i="27"/>
  <c r="C205" i="27"/>
  <c r="C204" i="27"/>
  <c r="C203" i="27"/>
  <c r="C202" i="27"/>
  <c r="C201" i="27"/>
  <c r="C200" i="27"/>
  <c r="C199" i="27"/>
  <c r="C198" i="27"/>
  <c r="C197" i="27"/>
  <c r="C196" i="27"/>
  <c r="C195" i="27"/>
  <c r="C194" i="27"/>
  <c r="C193" i="27"/>
  <c r="C192" i="27"/>
  <c r="C191" i="27"/>
  <c r="C190" i="27"/>
  <c r="C189" i="27"/>
  <c r="C188" i="27"/>
  <c r="C187" i="27"/>
  <c r="C186" i="27"/>
  <c r="C185" i="27"/>
  <c r="C184" i="27"/>
  <c r="C183" i="27"/>
  <c r="C182" i="27"/>
  <c r="C181" i="27"/>
  <c r="C180" i="27"/>
  <c r="C179" i="27"/>
  <c r="C178" i="27"/>
  <c r="C177" i="27"/>
  <c r="C176" i="27"/>
  <c r="C175" i="27"/>
  <c r="C174" i="27"/>
  <c r="C173" i="27"/>
  <c r="C172" i="27"/>
  <c r="C171" i="27"/>
  <c r="C170" i="27"/>
  <c r="C169" i="27"/>
  <c r="C168" i="27"/>
  <c r="C167" i="27"/>
  <c r="C166" i="27"/>
  <c r="C165" i="27"/>
  <c r="C164" i="27"/>
  <c r="C163" i="27"/>
  <c r="C162" i="27"/>
  <c r="C161" i="27"/>
  <c r="C160" i="27"/>
  <c r="C159" i="27"/>
  <c r="C158" i="27"/>
  <c r="C157" i="27"/>
  <c r="C156" i="27"/>
  <c r="C155" i="27"/>
  <c r="C154" i="27"/>
  <c r="C153" i="27"/>
  <c r="C152" i="27"/>
  <c r="C151" i="27"/>
  <c r="C150" i="27"/>
  <c r="C149" i="27"/>
  <c r="C148" i="27"/>
  <c r="C147" i="27"/>
  <c r="C146" i="27"/>
  <c r="B146" i="27"/>
  <c r="B147" i="27" s="1"/>
  <c r="B148" i="27" s="1"/>
  <c r="B149" i="27" s="1"/>
  <c r="B150" i="27" s="1"/>
  <c r="B151" i="27" s="1"/>
  <c r="B152" i="27" s="1"/>
  <c r="B153" i="27" s="1"/>
  <c r="B154" i="27" s="1"/>
  <c r="B155" i="27" s="1"/>
  <c r="B156" i="27" s="1"/>
  <c r="B157" i="27" s="1"/>
  <c r="B158" i="27" s="1"/>
  <c r="B159" i="27" s="1"/>
  <c r="B160" i="27" s="1"/>
  <c r="B161" i="27" s="1"/>
  <c r="B162" i="27" s="1"/>
  <c r="C145" i="27"/>
  <c r="C142" i="27"/>
  <c r="C140" i="27"/>
  <c r="C139" i="27"/>
  <c r="C138" i="27"/>
  <c r="C137" i="27"/>
  <c r="C135" i="27"/>
  <c r="C134" i="27"/>
  <c r="C133" i="27"/>
  <c r="C132" i="27"/>
  <c r="C131" i="27"/>
  <c r="C130" i="27"/>
  <c r="C127" i="27"/>
  <c r="C124" i="27"/>
  <c r="C123" i="27"/>
  <c r="C122" i="27"/>
  <c r="C121" i="27"/>
  <c r="C120" i="27"/>
  <c r="C119" i="27"/>
  <c r="C118" i="27"/>
  <c r="C117" i="27"/>
  <c r="C116" i="27"/>
  <c r="C115" i="27"/>
  <c r="C114" i="27"/>
  <c r="C113" i="27"/>
  <c r="C112" i="27"/>
  <c r="C111" i="27"/>
  <c r="C110" i="27"/>
  <c r="C109" i="27"/>
  <c r="C108" i="27"/>
  <c r="C107" i="27"/>
  <c r="C106" i="27"/>
  <c r="C105" i="27"/>
  <c r="C104" i="27"/>
  <c r="C103" i="27"/>
  <c r="C102" i="27"/>
  <c r="C99" i="27"/>
  <c r="C98" i="27"/>
  <c r="C97" i="27"/>
  <c r="C96" i="27"/>
  <c r="C95" i="27"/>
  <c r="C94" i="27"/>
  <c r="C93" i="27"/>
  <c r="C92" i="27"/>
  <c r="C91" i="27"/>
  <c r="C88" i="27"/>
  <c r="C87" i="27"/>
  <c r="C86" i="27"/>
  <c r="C85" i="27"/>
  <c r="C84" i="27"/>
  <c r="C83" i="27"/>
  <c r="C82" i="27"/>
  <c r="C81" i="27"/>
  <c r="C80" i="27"/>
  <c r="C79" i="27"/>
  <c r="C78" i="27"/>
  <c r="C77" i="27"/>
  <c r="C76" i="27"/>
  <c r="C75" i="27"/>
  <c r="C74" i="27"/>
  <c r="C73" i="27"/>
  <c r="C72" i="27"/>
  <c r="C71" i="27"/>
  <c r="C70" i="27"/>
  <c r="C69" i="27"/>
  <c r="C68" i="27"/>
  <c r="C67" i="27"/>
  <c r="C66" i="27"/>
  <c r="C65" i="27"/>
  <c r="C64" i="27"/>
  <c r="C63" i="27"/>
  <c r="C62" i="27"/>
  <c r="C61" i="27"/>
  <c r="C60" i="27"/>
  <c r="C59" i="27"/>
  <c r="C58" i="27"/>
  <c r="C57" i="27"/>
  <c r="C56" i="27"/>
  <c r="C55" i="27"/>
  <c r="C54" i="27"/>
  <c r="C53" i="27"/>
  <c r="C52" i="27"/>
  <c r="C51" i="27"/>
  <c r="C50" i="27"/>
  <c r="C49" i="27"/>
  <c r="C48" i="27"/>
  <c r="C47" i="27"/>
  <c r="C46" i="27"/>
  <c r="C43" i="27"/>
  <c r="C42" i="27"/>
  <c r="C41" i="27"/>
  <c r="C40" i="27"/>
  <c r="C39" i="27"/>
  <c r="C38" i="27"/>
  <c r="C37" i="27"/>
  <c r="C36" i="27"/>
  <c r="C35" i="27"/>
  <c r="C34" i="27"/>
  <c r="B34" i="27"/>
  <c r="C33" i="27"/>
  <c r="B33" i="27"/>
  <c r="C32" i="27"/>
  <c r="B32" i="27"/>
  <c r="C31" i="27"/>
  <c r="B31" i="27"/>
  <c r="C30" i="27"/>
  <c r="C29" i="27"/>
  <c r="C28" i="27"/>
  <c r="C23" i="27"/>
  <c r="C22" i="27"/>
  <c r="C21" i="27"/>
  <c r="C20" i="27"/>
  <c r="C19" i="27"/>
  <c r="C17" i="27" s="1"/>
  <c r="C18" i="27"/>
  <c r="C13" i="27"/>
  <c r="B13" i="27"/>
  <c r="C12" i="27"/>
  <c r="B12" i="27"/>
  <c r="C11" i="27"/>
  <c r="B11" i="27"/>
  <c r="C10" i="27"/>
  <c r="B10" i="27"/>
  <c r="C9" i="27"/>
  <c r="B9" i="27"/>
  <c r="C8" i="27"/>
  <c r="B8" i="27"/>
  <c r="C7" i="27"/>
  <c r="B7" i="27"/>
  <c r="C6" i="27"/>
  <c r="B6" i="27"/>
  <c r="C5" i="27"/>
  <c r="B5" i="27"/>
  <c r="C4" i="27"/>
  <c r="B4" i="27"/>
  <c r="C2" i="27"/>
  <c r="B225" i="27" l="1"/>
  <c r="B163" i="27"/>
  <c r="B164" i="27" s="1"/>
  <c r="B165" i="27" s="1"/>
  <c r="B166" i="27" s="1"/>
  <c r="B167" i="27" s="1"/>
  <c r="B168" i="27" s="1"/>
  <c r="B169" i="27" s="1"/>
  <c r="B170" i="27" s="1"/>
  <c r="B171" i="27" s="1"/>
  <c r="B172" i="27" s="1"/>
  <c r="B173" i="27" s="1"/>
  <c r="B174" i="27" s="1"/>
  <c r="B175" i="27" s="1"/>
  <c r="B176" i="27" s="1"/>
  <c r="B177" i="27" s="1"/>
  <c r="B178" i="27" s="1"/>
  <c r="B179" i="27" s="1"/>
  <c r="B180" i="27" s="1"/>
  <c r="B181" i="27" s="1"/>
  <c r="B182" i="27" s="1"/>
  <c r="B183" i="27" s="1"/>
  <c r="B184" i="27" s="1"/>
  <c r="B185" i="27" s="1"/>
  <c r="B186" i="27" s="1"/>
  <c r="B187" i="27" s="1"/>
  <c r="B188" i="27" s="1"/>
  <c r="B189" i="27" s="1"/>
  <c r="B190" i="27" s="1"/>
  <c r="B191" i="27" s="1"/>
  <c r="B192" i="27" s="1"/>
  <c r="B193" i="27" s="1"/>
  <c r="B194" i="27" s="1"/>
  <c r="B195" i="27" s="1"/>
  <c r="B196" i="27" s="1"/>
  <c r="B197" i="27" s="1"/>
  <c r="B198" i="27" s="1"/>
  <c r="B199" i="27" s="1"/>
  <c r="B200" i="27" s="1"/>
  <c r="B201" i="27" s="1"/>
  <c r="B202" i="27" s="1"/>
  <c r="B203" i="27" s="1"/>
  <c r="B204" i="27" s="1"/>
  <c r="B205" i="27" s="1"/>
  <c r="B206" i="27" s="1"/>
  <c r="B207" i="27" s="1"/>
  <c r="B208" i="27" s="1"/>
  <c r="B209" i="27" s="1"/>
  <c r="B210" i="27" s="1"/>
  <c r="B211" i="27" s="1"/>
  <c r="B212" i="27" s="1"/>
  <c r="B213" i="27" s="1"/>
  <c r="B214" i="27" s="1"/>
  <c r="B215" i="27" s="1"/>
  <c r="B216" i="27" s="1"/>
  <c r="B217" i="27" s="1"/>
  <c r="B218" i="27" s="1"/>
  <c r="B219" i="27" s="1"/>
  <c r="B220" i="27" s="1"/>
  <c r="B221" i="27" s="1"/>
  <c r="B222" i="27" s="1"/>
  <c r="B223" i="27" s="1"/>
  <c r="B224" i="27" s="1"/>
  <c r="C223" i="26" l="1"/>
  <c r="C222" i="26"/>
  <c r="C221" i="26"/>
  <c r="C220" i="26"/>
  <c r="C219" i="26"/>
  <c r="C218" i="26"/>
  <c r="C217" i="26"/>
  <c r="C216" i="26"/>
  <c r="C215" i="26"/>
  <c r="C214" i="26"/>
  <c r="C213" i="26"/>
  <c r="C212" i="26"/>
  <c r="C211" i="26"/>
  <c r="C210" i="26"/>
  <c r="C209" i="26"/>
  <c r="C208" i="26"/>
  <c r="C207" i="26"/>
  <c r="C206" i="26"/>
  <c r="C205" i="26"/>
  <c r="C204" i="26"/>
  <c r="C203" i="26"/>
  <c r="C202" i="26"/>
  <c r="C201" i="26"/>
  <c r="C200" i="26"/>
  <c r="C199" i="26"/>
  <c r="C198" i="26"/>
  <c r="C197" i="26"/>
  <c r="C196" i="26"/>
  <c r="C195" i="26"/>
  <c r="C194" i="26"/>
  <c r="C193" i="26"/>
  <c r="C192" i="26"/>
  <c r="C191" i="26"/>
  <c r="C190" i="26"/>
  <c r="C189" i="26"/>
  <c r="C188" i="26"/>
  <c r="C187" i="26"/>
  <c r="C186" i="26"/>
  <c r="C185" i="26"/>
  <c r="C184" i="26"/>
  <c r="C183" i="26"/>
  <c r="C182" i="26"/>
  <c r="C181" i="26"/>
  <c r="C180" i="26"/>
  <c r="C179" i="26"/>
  <c r="C178" i="26"/>
  <c r="C177" i="26"/>
  <c r="C176" i="26"/>
  <c r="C175" i="26"/>
  <c r="C174" i="26"/>
  <c r="C173" i="26"/>
  <c r="C172" i="26"/>
  <c r="C171" i="26"/>
  <c r="C170" i="26"/>
  <c r="C169" i="26"/>
  <c r="C168" i="26"/>
  <c r="C167" i="26"/>
  <c r="C166" i="26"/>
  <c r="C165" i="26"/>
  <c r="C164" i="26"/>
  <c r="C163" i="26"/>
  <c r="C162" i="26"/>
  <c r="C161" i="26"/>
  <c r="C160" i="26"/>
  <c r="C159" i="26"/>
  <c r="C158" i="26"/>
  <c r="C157" i="26"/>
  <c r="C156" i="26"/>
  <c r="C155" i="26"/>
  <c r="C154" i="26"/>
  <c r="C153" i="26"/>
  <c r="C152" i="26"/>
  <c r="C151" i="26"/>
  <c r="C150" i="26"/>
  <c r="C149" i="26"/>
  <c r="C148" i="26"/>
  <c r="C147" i="26"/>
  <c r="C146" i="26"/>
  <c r="C145" i="26"/>
  <c r="B145" i="26"/>
  <c r="B146" i="26" s="1"/>
  <c r="B147" i="26" s="1"/>
  <c r="B148" i="26" s="1"/>
  <c r="B149" i="26" s="1"/>
  <c r="B150" i="26" s="1"/>
  <c r="B151" i="26" s="1"/>
  <c r="B152" i="26" s="1"/>
  <c r="B153" i="26" s="1"/>
  <c r="B154" i="26" s="1"/>
  <c r="B155" i="26" s="1"/>
  <c r="B156" i="26" s="1"/>
  <c r="B157" i="26" s="1"/>
  <c r="B158" i="26" s="1"/>
  <c r="B159" i="26" s="1"/>
  <c r="B160" i="26" s="1"/>
  <c r="B161" i="26" s="1"/>
  <c r="B162" i="26" s="1"/>
  <c r="B163" i="26" s="1"/>
  <c r="B164" i="26" s="1"/>
  <c r="B165" i="26" s="1"/>
  <c r="B166" i="26" s="1"/>
  <c r="B167" i="26" s="1"/>
  <c r="B168" i="26" s="1"/>
  <c r="B169" i="26" s="1"/>
  <c r="B170" i="26" s="1"/>
  <c r="B171" i="26" s="1"/>
  <c r="B172" i="26" s="1"/>
  <c r="B173" i="26" s="1"/>
  <c r="B174" i="26" s="1"/>
  <c r="B175" i="26" s="1"/>
  <c r="B176" i="26" s="1"/>
  <c r="B177" i="26" s="1"/>
  <c r="B178" i="26" s="1"/>
  <c r="B179" i="26" s="1"/>
  <c r="B180" i="26" s="1"/>
  <c r="B181" i="26" s="1"/>
  <c r="B182" i="26" s="1"/>
  <c r="B183" i="26" s="1"/>
  <c r="B184" i="26" s="1"/>
  <c r="B185" i="26" s="1"/>
  <c r="B186" i="26" s="1"/>
  <c r="B187" i="26" s="1"/>
  <c r="B188" i="26" s="1"/>
  <c r="B189" i="26" s="1"/>
  <c r="B190" i="26" s="1"/>
  <c r="B191" i="26" s="1"/>
  <c r="B192" i="26" s="1"/>
  <c r="B193" i="26" s="1"/>
  <c r="B194" i="26" s="1"/>
  <c r="B195" i="26" s="1"/>
  <c r="B196" i="26" s="1"/>
  <c r="B197" i="26" s="1"/>
  <c r="B198" i="26" s="1"/>
  <c r="B199" i="26" s="1"/>
  <c r="B200" i="26" s="1"/>
  <c r="B201" i="26" s="1"/>
  <c r="B202" i="26" s="1"/>
  <c r="B203" i="26" s="1"/>
  <c r="B204" i="26" s="1"/>
  <c r="B205" i="26" s="1"/>
  <c r="B206" i="26" s="1"/>
  <c r="B207" i="26" s="1"/>
  <c r="B208" i="26" s="1"/>
  <c r="B209" i="26" s="1"/>
  <c r="B210" i="26" s="1"/>
  <c r="B211" i="26" s="1"/>
  <c r="B212" i="26" s="1"/>
  <c r="B213" i="26" s="1"/>
  <c r="B214" i="26" s="1"/>
  <c r="B215" i="26" s="1"/>
  <c r="B216" i="26" s="1"/>
  <c r="B217" i="26" s="1"/>
  <c r="B218" i="26" s="1"/>
  <c r="B219" i="26" s="1"/>
  <c r="B220" i="26" s="1"/>
  <c r="B221" i="26" s="1"/>
  <c r="B222" i="26" s="1"/>
  <c r="B223" i="26" s="1"/>
  <c r="C144" i="26"/>
  <c r="B144" i="26"/>
  <c r="C143" i="26"/>
  <c r="C140" i="26"/>
  <c r="C138" i="26"/>
  <c r="C137" i="26"/>
  <c r="C136" i="26"/>
  <c r="C135" i="26"/>
  <c r="C125" i="26"/>
  <c r="C122" i="26"/>
  <c r="C121" i="26"/>
  <c r="C120" i="26"/>
  <c r="C119" i="26"/>
  <c r="C118" i="26"/>
  <c r="C117" i="26"/>
  <c r="C116" i="26"/>
  <c r="C115" i="26"/>
  <c r="C114" i="26"/>
  <c r="C113" i="26"/>
  <c r="C112" i="26"/>
  <c r="C111" i="26"/>
  <c r="C110" i="26"/>
  <c r="C109" i="26"/>
  <c r="C108" i="26"/>
  <c r="C107" i="26"/>
  <c r="C106" i="26"/>
  <c r="C105" i="26"/>
  <c r="C104" i="26"/>
  <c r="C103" i="26"/>
  <c r="C102" i="26"/>
  <c r="C101" i="26"/>
  <c r="C100" i="26"/>
  <c r="C99" i="26"/>
  <c r="C98" i="26"/>
  <c r="C97" i="26"/>
  <c r="C96" i="26"/>
  <c r="C93" i="26"/>
  <c r="C92" i="26"/>
  <c r="C91" i="26"/>
  <c r="C90" i="26"/>
  <c r="C89" i="26"/>
  <c r="C88" i="26"/>
  <c r="C87" i="26"/>
  <c r="C86" i="26"/>
  <c r="C85" i="26"/>
  <c r="C82" i="26"/>
  <c r="C81" i="26"/>
  <c r="C80" i="26"/>
  <c r="C79" i="26"/>
  <c r="C78" i="26"/>
  <c r="C77" i="26"/>
  <c r="C76" i="26"/>
  <c r="C75" i="26"/>
  <c r="C74" i="26"/>
  <c r="C73" i="26"/>
  <c r="C72" i="26"/>
  <c r="C71" i="26"/>
  <c r="C70" i="26"/>
  <c r="C69" i="26"/>
  <c r="C68" i="26"/>
  <c r="C67" i="26"/>
  <c r="C66" i="26"/>
  <c r="C65" i="26"/>
  <c r="C64" i="26"/>
  <c r="C63" i="26"/>
  <c r="C62" i="26"/>
  <c r="C61" i="26"/>
  <c r="C60" i="26"/>
  <c r="C59" i="26"/>
  <c r="C58" i="26"/>
  <c r="C57" i="26"/>
  <c r="C56" i="26"/>
  <c r="C55" i="26"/>
  <c r="C54" i="26"/>
  <c r="C53" i="26"/>
  <c r="C52" i="26"/>
  <c r="C51" i="26"/>
  <c r="C50" i="26"/>
  <c r="C49" i="26"/>
  <c r="C48" i="26"/>
  <c r="C47" i="26"/>
  <c r="C46" i="26"/>
  <c r="C45" i="26"/>
  <c r="C44" i="26"/>
  <c r="C43" i="26"/>
  <c r="C42" i="26"/>
  <c r="C41" i="26"/>
  <c r="C38" i="26"/>
  <c r="C37" i="26"/>
  <c r="C36" i="26"/>
  <c r="C35" i="26"/>
  <c r="C34" i="26"/>
  <c r="C33" i="26"/>
  <c r="C32" i="26"/>
  <c r="C31" i="26"/>
  <c r="C30" i="26"/>
  <c r="C29" i="26"/>
  <c r="C28" i="26"/>
  <c r="C23" i="26"/>
  <c r="C22" i="26"/>
  <c r="C21" i="26"/>
  <c r="C20" i="26"/>
  <c r="C19" i="26"/>
  <c r="C18" i="26"/>
  <c r="C17" i="26" s="1"/>
  <c r="C13" i="26"/>
  <c r="B13" i="26"/>
  <c r="C12" i="26"/>
  <c r="B12" i="26"/>
  <c r="C11" i="26"/>
  <c r="B11" i="26"/>
  <c r="C10" i="26"/>
  <c r="B10" i="26"/>
  <c r="C9" i="26"/>
  <c r="B9" i="26"/>
  <c r="C8" i="26"/>
  <c r="B8" i="26"/>
  <c r="C7" i="26"/>
  <c r="B7" i="26"/>
  <c r="C6" i="26"/>
  <c r="B6" i="26"/>
  <c r="C5" i="26"/>
  <c r="B5" i="26"/>
  <c r="C4" i="26"/>
  <c r="B4" i="26"/>
  <c r="C2" i="26"/>
  <c r="C223" i="25" l="1"/>
  <c r="C222" i="25"/>
  <c r="C221" i="25"/>
  <c r="C220" i="25"/>
  <c r="C219" i="25"/>
  <c r="C218" i="25"/>
  <c r="C217" i="25"/>
  <c r="C216" i="25"/>
  <c r="C215" i="25"/>
  <c r="C214" i="25"/>
  <c r="C213" i="25"/>
  <c r="C212" i="25"/>
  <c r="C211" i="25"/>
  <c r="C210" i="25"/>
  <c r="C209" i="25"/>
  <c r="C208" i="25"/>
  <c r="C207" i="25"/>
  <c r="C206" i="25"/>
  <c r="C205" i="25"/>
  <c r="C204" i="25"/>
  <c r="C203" i="25"/>
  <c r="C202" i="25"/>
  <c r="C201" i="25"/>
  <c r="C200" i="25"/>
  <c r="C199" i="25"/>
  <c r="C198" i="25"/>
  <c r="C197" i="25"/>
  <c r="C196" i="25"/>
  <c r="C195" i="25"/>
  <c r="C194" i="25"/>
  <c r="C193" i="25"/>
  <c r="C192" i="25"/>
  <c r="C191" i="25"/>
  <c r="C190" i="25"/>
  <c r="C189" i="25"/>
  <c r="C188" i="25"/>
  <c r="C187" i="25"/>
  <c r="C186" i="25"/>
  <c r="C185" i="25"/>
  <c r="C184" i="25"/>
  <c r="C183" i="25"/>
  <c r="C182" i="25"/>
  <c r="C181" i="25"/>
  <c r="C180" i="25"/>
  <c r="C179" i="25"/>
  <c r="C178" i="25"/>
  <c r="C177" i="25"/>
  <c r="C176" i="25"/>
  <c r="C175" i="25"/>
  <c r="C174" i="25"/>
  <c r="C173" i="25"/>
  <c r="C172" i="25"/>
  <c r="C171" i="25"/>
  <c r="C170" i="25"/>
  <c r="C169" i="25"/>
  <c r="C168" i="25"/>
  <c r="C167" i="25"/>
  <c r="C166" i="25"/>
  <c r="C165" i="25"/>
  <c r="C164" i="25"/>
  <c r="C163" i="25"/>
  <c r="C162" i="25"/>
  <c r="C161" i="25"/>
  <c r="C160" i="25"/>
  <c r="C159" i="25"/>
  <c r="C158" i="25"/>
  <c r="C157" i="25"/>
  <c r="C156" i="25"/>
  <c r="C155" i="25"/>
  <c r="C154" i="25"/>
  <c r="C153" i="25"/>
  <c r="C152" i="25"/>
  <c r="C151" i="25"/>
  <c r="C150" i="25"/>
  <c r="C149" i="25"/>
  <c r="C148" i="25"/>
  <c r="C147" i="25"/>
  <c r="C146" i="25"/>
  <c r="C145" i="25"/>
  <c r="C144" i="25"/>
  <c r="B144" i="25"/>
  <c r="B145" i="25" s="1"/>
  <c r="B146" i="25" s="1"/>
  <c r="B147" i="25" s="1"/>
  <c r="B148" i="25" s="1"/>
  <c r="B149" i="25" s="1"/>
  <c r="B150" i="25" s="1"/>
  <c r="B151" i="25" s="1"/>
  <c r="B152" i="25" s="1"/>
  <c r="B153" i="25" s="1"/>
  <c r="B154" i="25" s="1"/>
  <c r="B155" i="25" s="1"/>
  <c r="B156" i="25" s="1"/>
  <c r="B157" i="25" s="1"/>
  <c r="B158" i="25" s="1"/>
  <c r="B159" i="25" s="1"/>
  <c r="B160" i="25" s="1"/>
  <c r="B161" i="25" s="1"/>
  <c r="B162" i="25" s="1"/>
  <c r="B163" i="25" s="1"/>
  <c r="B164" i="25" s="1"/>
  <c r="B165" i="25" s="1"/>
  <c r="B166" i="25" s="1"/>
  <c r="B167" i="25" s="1"/>
  <c r="B168" i="25" s="1"/>
  <c r="B169" i="25" s="1"/>
  <c r="B170" i="25" s="1"/>
  <c r="B171" i="25" s="1"/>
  <c r="B172" i="25" s="1"/>
  <c r="B173" i="25" s="1"/>
  <c r="B174" i="25" s="1"/>
  <c r="B175" i="25" s="1"/>
  <c r="B176" i="25" s="1"/>
  <c r="B177" i="25" s="1"/>
  <c r="B178" i="25" s="1"/>
  <c r="B179" i="25" s="1"/>
  <c r="B180" i="25" s="1"/>
  <c r="B181" i="25" s="1"/>
  <c r="B182" i="25" s="1"/>
  <c r="B183" i="25" s="1"/>
  <c r="B184" i="25" s="1"/>
  <c r="B185" i="25" s="1"/>
  <c r="B186" i="25" s="1"/>
  <c r="B187" i="25" s="1"/>
  <c r="B188" i="25" s="1"/>
  <c r="B189" i="25" s="1"/>
  <c r="B190" i="25" s="1"/>
  <c r="B191" i="25" s="1"/>
  <c r="B192" i="25" s="1"/>
  <c r="B193" i="25" s="1"/>
  <c r="B194" i="25" s="1"/>
  <c r="B195" i="25" s="1"/>
  <c r="B196" i="25" s="1"/>
  <c r="B197" i="25" s="1"/>
  <c r="B198" i="25" s="1"/>
  <c r="B199" i="25" s="1"/>
  <c r="B200" i="25" s="1"/>
  <c r="B201" i="25" s="1"/>
  <c r="B202" i="25" s="1"/>
  <c r="B203" i="25" s="1"/>
  <c r="B204" i="25" s="1"/>
  <c r="B205" i="25" s="1"/>
  <c r="B206" i="25" s="1"/>
  <c r="B207" i="25" s="1"/>
  <c r="B208" i="25" s="1"/>
  <c r="B209" i="25" s="1"/>
  <c r="B210" i="25" s="1"/>
  <c r="B211" i="25" s="1"/>
  <c r="B212" i="25" s="1"/>
  <c r="B213" i="25" s="1"/>
  <c r="B214" i="25" s="1"/>
  <c r="B215" i="25" s="1"/>
  <c r="B216" i="25" s="1"/>
  <c r="B217" i="25" s="1"/>
  <c r="B218" i="25" s="1"/>
  <c r="B219" i="25" s="1"/>
  <c r="B220" i="25" s="1"/>
  <c r="B221" i="25" s="1"/>
  <c r="B222" i="25" s="1"/>
  <c r="B223" i="25" s="1"/>
  <c r="C143" i="25"/>
  <c r="C140" i="25"/>
  <c r="C138" i="25"/>
  <c r="C137" i="25"/>
  <c r="C136" i="25"/>
  <c r="C135" i="25"/>
  <c r="C125" i="25"/>
  <c r="C122" i="25"/>
  <c r="C121" i="25"/>
  <c r="C120" i="25"/>
  <c r="C119" i="25"/>
  <c r="C118" i="25"/>
  <c r="C117" i="25"/>
  <c r="C116" i="25"/>
  <c r="C115" i="25"/>
  <c r="C114" i="25"/>
  <c r="C113" i="25"/>
  <c r="C112" i="25"/>
  <c r="C111" i="25"/>
  <c r="C110" i="25"/>
  <c r="C109" i="25"/>
  <c r="C108" i="25"/>
  <c r="C107" i="25"/>
  <c r="C106" i="25"/>
  <c r="C105" i="25"/>
  <c r="C104" i="25"/>
  <c r="C103" i="25"/>
  <c r="C102" i="25"/>
  <c r="C101" i="25"/>
  <c r="C100" i="25"/>
  <c r="C99" i="25"/>
  <c r="C98" i="25"/>
  <c r="C97" i="25"/>
  <c r="C96" i="25"/>
  <c r="C93" i="25"/>
  <c r="C92" i="25"/>
  <c r="C91" i="25"/>
  <c r="C90" i="25"/>
  <c r="C89" i="25"/>
  <c r="C88" i="25"/>
  <c r="C87" i="25"/>
  <c r="C86" i="25"/>
  <c r="C85" i="25"/>
  <c r="C82" i="25"/>
  <c r="C81" i="25"/>
  <c r="C80" i="25"/>
  <c r="C79" i="25"/>
  <c r="C78" i="25"/>
  <c r="C77" i="25"/>
  <c r="C76" i="25"/>
  <c r="C75" i="25"/>
  <c r="C74" i="25"/>
  <c r="C73" i="25"/>
  <c r="C72" i="25"/>
  <c r="C71" i="25"/>
  <c r="C70" i="25"/>
  <c r="C69" i="25"/>
  <c r="C68" i="25"/>
  <c r="C67" i="25"/>
  <c r="C66" i="25"/>
  <c r="C65" i="25"/>
  <c r="C64" i="25"/>
  <c r="C63" i="25"/>
  <c r="C62" i="25"/>
  <c r="C61" i="25"/>
  <c r="C60" i="25"/>
  <c r="C59" i="25"/>
  <c r="C58" i="25"/>
  <c r="C57" i="25"/>
  <c r="C56" i="25"/>
  <c r="C55" i="25"/>
  <c r="C54" i="25"/>
  <c r="C53" i="25"/>
  <c r="C52" i="25"/>
  <c r="C51" i="25"/>
  <c r="C50" i="25"/>
  <c r="C49" i="25"/>
  <c r="C48" i="25"/>
  <c r="C47" i="25"/>
  <c r="C46" i="25"/>
  <c r="C45" i="25"/>
  <c r="C44" i="25"/>
  <c r="C43" i="25"/>
  <c r="C42" i="25"/>
  <c r="C41" i="25"/>
  <c r="C38" i="25"/>
  <c r="C37" i="25"/>
  <c r="C36" i="25"/>
  <c r="C35" i="25"/>
  <c r="C34" i="25"/>
  <c r="C33" i="25"/>
  <c r="C32" i="25"/>
  <c r="C31" i="25"/>
  <c r="C30" i="25"/>
  <c r="C29" i="25"/>
  <c r="C28" i="25"/>
  <c r="C23" i="25"/>
  <c r="C22" i="25"/>
  <c r="C21" i="25"/>
  <c r="C20" i="25"/>
  <c r="C19" i="25"/>
  <c r="C18" i="25"/>
  <c r="C17" i="25"/>
  <c r="C13" i="25"/>
  <c r="B13" i="25"/>
  <c r="C12" i="25"/>
  <c r="B12" i="25"/>
  <c r="C11" i="25"/>
  <c r="B11" i="25"/>
  <c r="C10" i="25"/>
  <c r="B10" i="25"/>
  <c r="C9" i="25"/>
  <c r="B9" i="25"/>
  <c r="C8" i="25"/>
  <c r="B8" i="25"/>
  <c r="C7" i="25"/>
  <c r="B7" i="25"/>
  <c r="C6" i="25"/>
  <c r="B6" i="25"/>
  <c r="C5" i="25"/>
  <c r="B5" i="25"/>
  <c r="C4" i="25"/>
  <c r="B4" i="25"/>
  <c r="C2" i="25"/>
  <c r="C223" i="24" l="1"/>
  <c r="C222" i="24"/>
  <c r="C221" i="24"/>
  <c r="C220" i="24"/>
  <c r="C219" i="24"/>
  <c r="C218" i="24"/>
  <c r="C217" i="24"/>
  <c r="C216" i="24"/>
  <c r="C215" i="24"/>
  <c r="C214" i="24"/>
  <c r="C213" i="24"/>
  <c r="C212" i="24"/>
  <c r="C211" i="24"/>
  <c r="C210" i="24"/>
  <c r="C209" i="24"/>
  <c r="C208" i="24"/>
  <c r="C207" i="24"/>
  <c r="C206" i="24"/>
  <c r="C205" i="24"/>
  <c r="C204" i="24"/>
  <c r="C203" i="24"/>
  <c r="C202" i="24"/>
  <c r="C201" i="24"/>
  <c r="C200" i="24"/>
  <c r="C199" i="24"/>
  <c r="C198" i="24"/>
  <c r="C197" i="24"/>
  <c r="C196" i="24"/>
  <c r="C195" i="24"/>
  <c r="C194" i="24"/>
  <c r="C193" i="24"/>
  <c r="C192" i="24"/>
  <c r="C191" i="24"/>
  <c r="C190" i="24"/>
  <c r="C189" i="24"/>
  <c r="C188" i="24"/>
  <c r="C187" i="24"/>
  <c r="C186" i="24"/>
  <c r="C185" i="24"/>
  <c r="C184" i="24"/>
  <c r="C183" i="24"/>
  <c r="C182" i="24"/>
  <c r="C181" i="24"/>
  <c r="C180" i="24"/>
  <c r="C179" i="24"/>
  <c r="C178" i="24"/>
  <c r="C177" i="24"/>
  <c r="C176" i="24"/>
  <c r="C175" i="24"/>
  <c r="C174" i="24"/>
  <c r="C173" i="24"/>
  <c r="C172" i="24"/>
  <c r="C171" i="24"/>
  <c r="C170" i="24"/>
  <c r="C169" i="24"/>
  <c r="C168" i="24"/>
  <c r="C167" i="24"/>
  <c r="C166" i="24"/>
  <c r="C165" i="24"/>
  <c r="C164" i="24"/>
  <c r="C163" i="24"/>
  <c r="C162" i="24"/>
  <c r="C161" i="24"/>
  <c r="C160" i="24"/>
  <c r="C159" i="24"/>
  <c r="C158" i="24"/>
  <c r="C157" i="24"/>
  <c r="C156" i="24"/>
  <c r="C155" i="24"/>
  <c r="C154" i="24"/>
  <c r="C153" i="24"/>
  <c r="C152" i="24"/>
  <c r="C151" i="24"/>
  <c r="C150" i="24"/>
  <c r="C149" i="24"/>
  <c r="C148" i="24"/>
  <c r="C147" i="24"/>
  <c r="C146" i="24"/>
  <c r="C145" i="24"/>
  <c r="C144" i="24"/>
  <c r="B144" i="24"/>
  <c r="B145" i="24" s="1"/>
  <c r="B146" i="24" s="1"/>
  <c r="B147" i="24" s="1"/>
  <c r="B148" i="24" s="1"/>
  <c r="B149" i="24" s="1"/>
  <c r="B150" i="24" s="1"/>
  <c r="B151" i="24" s="1"/>
  <c r="B152" i="24" s="1"/>
  <c r="B153" i="24" s="1"/>
  <c r="B154" i="24" s="1"/>
  <c r="B155" i="24" s="1"/>
  <c r="B156" i="24" s="1"/>
  <c r="B157" i="24" s="1"/>
  <c r="B158" i="24" s="1"/>
  <c r="B159" i="24" s="1"/>
  <c r="B160" i="24" s="1"/>
  <c r="B161" i="24" s="1"/>
  <c r="B162" i="24" s="1"/>
  <c r="B163" i="24" s="1"/>
  <c r="B164" i="24" s="1"/>
  <c r="B165" i="24" s="1"/>
  <c r="B166" i="24" s="1"/>
  <c r="B167" i="24" s="1"/>
  <c r="B168" i="24" s="1"/>
  <c r="B169" i="24" s="1"/>
  <c r="B170" i="24" s="1"/>
  <c r="B171" i="24" s="1"/>
  <c r="B172" i="24" s="1"/>
  <c r="B173" i="24" s="1"/>
  <c r="B174" i="24" s="1"/>
  <c r="B175" i="24" s="1"/>
  <c r="B176" i="24" s="1"/>
  <c r="B177" i="24" s="1"/>
  <c r="B178" i="24" s="1"/>
  <c r="B179" i="24" s="1"/>
  <c r="B180" i="24" s="1"/>
  <c r="B181" i="24" s="1"/>
  <c r="B182" i="24" s="1"/>
  <c r="B183" i="24" s="1"/>
  <c r="B184" i="24" s="1"/>
  <c r="B185" i="24" s="1"/>
  <c r="B186" i="24" s="1"/>
  <c r="B187" i="24" s="1"/>
  <c r="B188" i="24" s="1"/>
  <c r="B189" i="24" s="1"/>
  <c r="B190" i="24" s="1"/>
  <c r="B191" i="24" s="1"/>
  <c r="B192" i="24" s="1"/>
  <c r="B193" i="24" s="1"/>
  <c r="B194" i="24" s="1"/>
  <c r="B195" i="24" s="1"/>
  <c r="B196" i="24" s="1"/>
  <c r="B197" i="24" s="1"/>
  <c r="B198" i="24" s="1"/>
  <c r="B199" i="24" s="1"/>
  <c r="B200" i="24" s="1"/>
  <c r="B201" i="24" s="1"/>
  <c r="B202" i="24" s="1"/>
  <c r="B203" i="24" s="1"/>
  <c r="B204" i="24" s="1"/>
  <c r="B205" i="24" s="1"/>
  <c r="B206" i="24" s="1"/>
  <c r="B207" i="24" s="1"/>
  <c r="B208" i="24" s="1"/>
  <c r="B209" i="24" s="1"/>
  <c r="B210" i="24" s="1"/>
  <c r="B211" i="24" s="1"/>
  <c r="B212" i="24" s="1"/>
  <c r="B213" i="24" s="1"/>
  <c r="B214" i="24" s="1"/>
  <c r="B215" i="24" s="1"/>
  <c r="B216" i="24" s="1"/>
  <c r="B217" i="24" s="1"/>
  <c r="B218" i="24" s="1"/>
  <c r="B219" i="24" s="1"/>
  <c r="B220" i="24" s="1"/>
  <c r="B221" i="24" s="1"/>
  <c r="B222" i="24" s="1"/>
  <c r="B223" i="24" s="1"/>
  <c r="C143" i="24"/>
  <c r="C140" i="24"/>
  <c r="C138" i="24"/>
  <c r="C137" i="24"/>
  <c r="C136" i="24"/>
  <c r="C135" i="24"/>
  <c r="C125" i="24"/>
  <c r="C122" i="24"/>
  <c r="C121" i="24"/>
  <c r="C120" i="24"/>
  <c r="C119" i="24"/>
  <c r="C118" i="24"/>
  <c r="C117" i="24"/>
  <c r="C116" i="24"/>
  <c r="C115" i="24"/>
  <c r="C114" i="24"/>
  <c r="C113" i="24"/>
  <c r="C112" i="24"/>
  <c r="C111" i="24"/>
  <c r="C110" i="24"/>
  <c r="C109" i="24"/>
  <c r="C108" i="24"/>
  <c r="C107" i="24"/>
  <c r="C106" i="24"/>
  <c r="C105" i="24"/>
  <c r="C104" i="24"/>
  <c r="C103" i="24"/>
  <c r="C102" i="24"/>
  <c r="C101" i="24"/>
  <c r="C100" i="24"/>
  <c r="C99" i="24"/>
  <c r="C98" i="24"/>
  <c r="C97" i="24"/>
  <c r="C96" i="24"/>
  <c r="C93" i="24"/>
  <c r="C92" i="24"/>
  <c r="C91" i="24"/>
  <c r="C90" i="24"/>
  <c r="C89" i="24"/>
  <c r="C88" i="24"/>
  <c r="C87" i="24"/>
  <c r="C86" i="24"/>
  <c r="C85" i="24"/>
  <c r="C82" i="24"/>
  <c r="C81" i="24"/>
  <c r="C80" i="24"/>
  <c r="C79" i="24"/>
  <c r="C78" i="24"/>
  <c r="C77" i="24"/>
  <c r="C76" i="24"/>
  <c r="C75" i="24"/>
  <c r="C74" i="24"/>
  <c r="C73" i="24"/>
  <c r="C72" i="24"/>
  <c r="C71" i="24"/>
  <c r="C70" i="24"/>
  <c r="C69" i="24"/>
  <c r="C68" i="24"/>
  <c r="C67" i="24"/>
  <c r="C66" i="24"/>
  <c r="C65" i="24"/>
  <c r="C64" i="24"/>
  <c r="C63" i="24"/>
  <c r="C62" i="24"/>
  <c r="C61" i="24"/>
  <c r="C60" i="24"/>
  <c r="C59" i="24"/>
  <c r="C58" i="24"/>
  <c r="C57" i="24"/>
  <c r="C56" i="24"/>
  <c r="C55" i="24"/>
  <c r="C54" i="24"/>
  <c r="C53" i="24"/>
  <c r="C52" i="24"/>
  <c r="C51" i="24"/>
  <c r="C50" i="24"/>
  <c r="C49" i="24"/>
  <c r="C48" i="24"/>
  <c r="C47" i="24"/>
  <c r="C46" i="24"/>
  <c r="C45" i="24"/>
  <c r="C44" i="24"/>
  <c r="C43" i="24"/>
  <c r="C42" i="24"/>
  <c r="C41" i="24"/>
  <c r="C38" i="24"/>
  <c r="C37" i="24"/>
  <c r="C36" i="24"/>
  <c r="C35" i="24"/>
  <c r="C34" i="24"/>
  <c r="C33" i="24"/>
  <c r="C32" i="24"/>
  <c r="C31" i="24"/>
  <c r="C30" i="24"/>
  <c r="C29" i="24"/>
  <c r="C28" i="24"/>
  <c r="C23" i="24"/>
  <c r="C22" i="24"/>
  <c r="C21" i="24"/>
  <c r="C20" i="24"/>
  <c r="C19" i="24"/>
  <c r="C18" i="24"/>
  <c r="C13" i="24"/>
  <c r="B13" i="24"/>
  <c r="C12" i="24"/>
  <c r="B12" i="24"/>
  <c r="C11" i="24"/>
  <c r="B11" i="24"/>
  <c r="C10" i="24"/>
  <c r="B10" i="24"/>
  <c r="C9" i="24"/>
  <c r="B9" i="24"/>
  <c r="C8" i="24"/>
  <c r="B8" i="24"/>
  <c r="C7" i="24"/>
  <c r="B7" i="24"/>
  <c r="C6" i="24"/>
  <c r="B6" i="24"/>
  <c r="C5" i="24"/>
  <c r="B5" i="24"/>
  <c r="C4" i="24"/>
  <c r="B4" i="24"/>
  <c r="C2" i="24"/>
  <c r="C17" i="24" l="1"/>
  <c r="C223" i="23"/>
  <c r="C222" i="23"/>
  <c r="C221" i="23"/>
  <c r="C220" i="23"/>
  <c r="C219" i="23"/>
  <c r="C218" i="23"/>
  <c r="C217" i="23"/>
  <c r="C216" i="23"/>
  <c r="C215" i="23"/>
  <c r="C214" i="23"/>
  <c r="C213" i="23"/>
  <c r="C212" i="23"/>
  <c r="C211" i="23"/>
  <c r="C210" i="23"/>
  <c r="C209" i="23"/>
  <c r="C208" i="23"/>
  <c r="C207" i="23"/>
  <c r="C206" i="23"/>
  <c r="C205" i="23"/>
  <c r="C204" i="23"/>
  <c r="C203" i="23"/>
  <c r="C202" i="23"/>
  <c r="C201" i="23"/>
  <c r="C200" i="23"/>
  <c r="C199" i="23"/>
  <c r="C198" i="23"/>
  <c r="C197" i="23"/>
  <c r="C196" i="23"/>
  <c r="C195" i="23"/>
  <c r="C194" i="23"/>
  <c r="C193" i="23"/>
  <c r="C192" i="23"/>
  <c r="C191" i="23"/>
  <c r="C190" i="23"/>
  <c r="C189" i="23"/>
  <c r="C188" i="23"/>
  <c r="C187" i="23"/>
  <c r="C186" i="23"/>
  <c r="C185" i="23"/>
  <c r="C184" i="23"/>
  <c r="C183" i="23"/>
  <c r="C182" i="23"/>
  <c r="C181" i="23"/>
  <c r="C180" i="23"/>
  <c r="C179" i="23"/>
  <c r="C178" i="23"/>
  <c r="C177" i="23"/>
  <c r="C176" i="23"/>
  <c r="C175" i="23"/>
  <c r="C174" i="23"/>
  <c r="C173" i="23"/>
  <c r="C172" i="23"/>
  <c r="C171" i="23"/>
  <c r="C170" i="23"/>
  <c r="C169" i="23"/>
  <c r="C168" i="23"/>
  <c r="C167" i="23"/>
  <c r="C166" i="23"/>
  <c r="C165" i="23"/>
  <c r="C164" i="23"/>
  <c r="C163" i="23"/>
  <c r="C162" i="23"/>
  <c r="C161" i="23"/>
  <c r="C160" i="23"/>
  <c r="C159" i="23"/>
  <c r="C158" i="23"/>
  <c r="C157" i="23"/>
  <c r="C156" i="23"/>
  <c r="C155" i="23"/>
  <c r="C154" i="23"/>
  <c r="C153" i="23"/>
  <c r="C152" i="23"/>
  <c r="C151" i="23"/>
  <c r="C150" i="23"/>
  <c r="C149" i="23"/>
  <c r="C148" i="23"/>
  <c r="C147" i="23"/>
  <c r="C146" i="23"/>
  <c r="C145" i="23"/>
  <c r="C144" i="23"/>
  <c r="B144" i="23"/>
  <c r="B145" i="23" s="1"/>
  <c r="B146" i="23" s="1"/>
  <c r="B147" i="23" s="1"/>
  <c r="B148" i="23" s="1"/>
  <c r="B149" i="23" s="1"/>
  <c r="B150" i="23" s="1"/>
  <c r="B151" i="23" s="1"/>
  <c r="B152" i="23" s="1"/>
  <c r="B153" i="23" s="1"/>
  <c r="B154" i="23" s="1"/>
  <c r="B155" i="23" s="1"/>
  <c r="B156" i="23" s="1"/>
  <c r="B157" i="23" s="1"/>
  <c r="B158" i="23" s="1"/>
  <c r="B159" i="23" s="1"/>
  <c r="B160" i="23" s="1"/>
  <c r="B161" i="23" s="1"/>
  <c r="B162" i="23" s="1"/>
  <c r="B163" i="23" s="1"/>
  <c r="B164" i="23" s="1"/>
  <c r="B165" i="23" s="1"/>
  <c r="B166" i="23" s="1"/>
  <c r="B167" i="23" s="1"/>
  <c r="B168" i="23" s="1"/>
  <c r="B169" i="23" s="1"/>
  <c r="B170" i="23" s="1"/>
  <c r="B171" i="23" s="1"/>
  <c r="B172" i="23" s="1"/>
  <c r="B173" i="23" s="1"/>
  <c r="B174" i="23" s="1"/>
  <c r="B175" i="23" s="1"/>
  <c r="B176" i="23" s="1"/>
  <c r="B177" i="23" s="1"/>
  <c r="B178" i="23" s="1"/>
  <c r="B179" i="23" s="1"/>
  <c r="B180" i="23" s="1"/>
  <c r="B181" i="23" s="1"/>
  <c r="B182" i="23" s="1"/>
  <c r="B183" i="23" s="1"/>
  <c r="B184" i="23" s="1"/>
  <c r="B185" i="23" s="1"/>
  <c r="B186" i="23" s="1"/>
  <c r="B187" i="23" s="1"/>
  <c r="B188" i="23" s="1"/>
  <c r="B189" i="23" s="1"/>
  <c r="B190" i="23" s="1"/>
  <c r="B191" i="23" s="1"/>
  <c r="B192" i="23" s="1"/>
  <c r="B193" i="23" s="1"/>
  <c r="B194" i="23" s="1"/>
  <c r="B195" i="23" s="1"/>
  <c r="B196" i="23" s="1"/>
  <c r="B197" i="23" s="1"/>
  <c r="B198" i="23" s="1"/>
  <c r="B199" i="23" s="1"/>
  <c r="B200" i="23" s="1"/>
  <c r="B201" i="23" s="1"/>
  <c r="B202" i="23" s="1"/>
  <c r="B203" i="23" s="1"/>
  <c r="B204" i="23" s="1"/>
  <c r="B205" i="23" s="1"/>
  <c r="B206" i="23" s="1"/>
  <c r="B207" i="23" s="1"/>
  <c r="B208" i="23" s="1"/>
  <c r="B209" i="23" s="1"/>
  <c r="B210" i="23" s="1"/>
  <c r="B211" i="23" s="1"/>
  <c r="B212" i="23" s="1"/>
  <c r="B213" i="23" s="1"/>
  <c r="B214" i="23" s="1"/>
  <c r="B215" i="23" s="1"/>
  <c r="B216" i="23" s="1"/>
  <c r="B217" i="23" s="1"/>
  <c r="B218" i="23" s="1"/>
  <c r="B219" i="23" s="1"/>
  <c r="B220" i="23" s="1"/>
  <c r="B221" i="23" s="1"/>
  <c r="B222" i="23" s="1"/>
  <c r="B223" i="23" s="1"/>
  <c r="C143" i="23"/>
  <c r="C140" i="23"/>
  <c r="C138" i="23"/>
  <c r="C137" i="23"/>
  <c r="C136" i="23"/>
  <c r="C135" i="23"/>
  <c r="C125" i="23"/>
  <c r="C122" i="23"/>
  <c r="C121" i="23"/>
  <c r="C120" i="23"/>
  <c r="C119" i="23"/>
  <c r="C118" i="23"/>
  <c r="C117" i="23"/>
  <c r="C116" i="23"/>
  <c r="C115" i="23"/>
  <c r="C114" i="23"/>
  <c r="C113" i="23"/>
  <c r="C112" i="23"/>
  <c r="C111" i="23"/>
  <c r="C110" i="23"/>
  <c r="C109" i="23"/>
  <c r="C108" i="23"/>
  <c r="C107" i="23"/>
  <c r="C106" i="23"/>
  <c r="C105" i="23"/>
  <c r="C104" i="23"/>
  <c r="C103" i="23"/>
  <c r="C102" i="23"/>
  <c r="C101" i="23"/>
  <c r="C100" i="23"/>
  <c r="C99" i="23"/>
  <c r="C98" i="23"/>
  <c r="C97" i="23"/>
  <c r="C96" i="23"/>
  <c r="C93" i="23"/>
  <c r="C92" i="23"/>
  <c r="C91" i="23"/>
  <c r="C90" i="23"/>
  <c r="C89" i="23"/>
  <c r="C88" i="23"/>
  <c r="C87" i="23"/>
  <c r="C86" i="23"/>
  <c r="C85" i="23"/>
  <c r="C82" i="23"/>
  <c r="C81" i="23"/>
  <c r="C80" i="23"/>
  <c r="C79" i="23"/>
  <c r="C78" i="23"/>
  <c r="C77" i="23"/>
  <c r="C76" i="23"/>
  <c r="C75" i="23"/>
  <c r="C74" i="23"/>
  <c r="C73" i="23"/>
  <c r="C72" i="23"/>
  <c r="C71" i="23"/>
  <c r="C70" i="23"/>
  <c r="C69" i="23"/>
  <c r="C68" i="23"/>
  <c r="C67" i="23"/>
  <c r="C66" i="23"/>
  <c r="C65" i="23"/>
  <c r="C64" i="23"/>
  <c r="C63" i="23"/>
  <c r="C62" i="23"/>
  <c r="C61" i="23"/>
  <c r="C60" i="23"/>
  <c r="C59" i="23"/>
  <c r="C58" i="23"/>
  <c r="C57" i="23"/>
  <c r="C56" i="23"/>
  <c r="C55" i="23"/>
  <c r="C54" i="23"/>
  <c r="C53" i="23"/>
  <c r="C52" i="23"/>
  <c r="C51" i="23"/>
  <c r="C50" i="23"/>
  <c r="C49" i="23"/>
  <c r="C48" i="23"/>
  <c r="C47" i="23"/>
  <c r="C46" i="23"/>
  <c r="C45" i="23"/>
  <c r="C44" i="23"/>
  <c r="C43" i="23"/>
  <c r="C42" i="23"/>
  <c r="C41" i="23"/>
  <c r="C38" i="23"/>
  <c r="C37" i="23"/>
  <c r="C36" i="23"/>
  <c r="C35" i="23"/>
  <c r="C34" i="23"/>
  <c r="C33" i="23"/>
  <c r="C32" i="23"/>
  <c r="C31" i="23"/>
  <c r="C30" i="23"/>
  <c r="C29" i="23"/>
  <c r="C28" i="23"/>
  <c r="C23" i="23"/>
  <c r="C22" i="23"/>
  <c r="C21" i="23"/>
  <c r="C20" i="23"/>
  <c r="C19" i="23"/>
  <c r="C18" i="23"/>
  <c r="C17" i="23"/>
  <c r="C13" i="23"/>
  <c r="B13" i="23"/>
  <c r="C12" i="23"/>
  <c r="B12" i="23"/>
  <c r="C11" i="23"/>
  <c r="B11" i="23"/>
  <c r="C10" i="23"/>
  <c r="B10" i="23"/>
  <c r="C9" i="23"/>
  <c r="B9" i="23"/>
  <c r="C8" i="23"/>
  <c r="B8" i="23"/>
  <c r="C7" i="23"/>
  <c r="B7" i="23"/>
  <c r="C6" i="23"/>
  <c r="B6" i="23"/>
  <c r="C5" i="23"/>
  <c r="B5" i="23"/>
  <c r="C4" i="23"/>
  <c r="B4" i="23"/>
  <c r="C2" i="23"/>
  <c r="C223" i="22" l="1"/>
  <c r="C222" i="22"/>
  <c r="C221" i="22"/>
  <c r="C220" i="22"/>
  <c r="C219" i="22"/>
  <c r="C218" i="22"/>
  <c r="C217" i="22"/>
  <c r="C216" i="22"/>
  <c r="C215" i="22"/>
  <c r="C214" i="22"/>
  <c r="C213" i="22"/>
  <c r="C212" i="22"/>
  <c r="C211" i="22"/>
  <c r="C210" i="22"/>
  <c r="C209" i="22"/>
  <c r="C208" i="22"/>
  <c r="C207" i="22"/>
  <c r="C206" i="22"/>
  <c r="C205" i="22"/>
  <c r="C204" i="22"/>
  <c r="C203" i="22"/>
  <c r="C202" i="22"/>
  <c r="C201" i="22"/>
  <c r="C200" i="22"/>
  <c r="C199" i="22"/>
  <c r="C198" i="22"/>
  <c r="C197" i="22"/>
  <c r="C196" i="22"/>
  <c r="C195" i="22"/>
  <c r="C194" i="22"/>
  <c r="C193" i="22"/>
  <c r="C192" i="22"/>
  <c r="C191" i="22"/>
  <c r="C190" i="22"/>
  <c r="C189" i="22"/>
  <c r="C188" i="22"/>
  <c r="C187" i="22"/>
  <c r="C186" i="22"/>
  <c r="C185" i="22"/>
  <c r="C184" i="22"/>
  <c r="C183" i="22"/>
  <c r="C182" i="22"/>
  <c r="C181" i="22"/>
  <c r="C180" i="22"/>
  <c r="C179" i="22"/>
  <c r="C178" i="22"/>
  <c r="C177" i="22"/>
  <c r="C176" i="22"/>
  <c r="C175" i="22"/>
  <c r="C174" i="22"/>
  <c r="C173" i="22"/>
  <c r="C172" i="22"/>
  <c r="C171" i="22"/>
  <c r="C170" i="22"/>
  <c r="C169" i="22"/>
  <c r="C168" i="22"/>
  <c r="C167" i="22"/>
  <c r="C166" i="22"/>
  <c r="C165" i="22"/>
  <c r="C164" i="22"/>
  <c r="C163" i="22"/>
  <c r="C162" i="22"/>
  <c r="C161" i="22"/>
  <c r="C160" i="22"/>
  <c r="C159" i="22"/>
  <c r="C158" i="22"/>
  <c r="C157" i="22"/>
  <c r="C156" i="22"/>
  <c r="C155" i="22"/>
  <c r="C154" i="22"/>
  <c r="C153" i="22"/>
  <c r="C152" i="22"/>
  <c r="C151" i="22"/>
  <c r="C150" i="22"/>
  <c r="C149" i="22"/>
  <c r="C148" i="22"/>
  <c r="C147" i="22"/>
  <c r="C146" i="22"/>
  <c r="C145" i="22"/>
  <c r="C144" i="22"/>
  <c r="B144" i="22"/>
  <c r="B145" i="22" s="1"/>
  <c r="B146" i="22" s="1"/>
  <c r="B147" i="22" s="1"/>
  <c r="B148" i="22" s="1"/>
  <c r="B149" i="22" s="1"/>
  <c r="B150" i="22" s="1"/>
  <c r="B151" i="22" s="1"/>
  <c r="B152" i="22" s="1"/>
  <c r="B153" i="22" s="1"/>
  <c r="B154" i="22" s="1"/>
  <c r="B155" i="22" s="1"/>
  <c r="B156" i="22" s="1"/>
  <c r="B157" i="22" s="1"/>
  <c r="B158" i="22" s="1"/>
  <c r="B159" i="22" s="1"/>
  <c r="B160" i="22" s="1"/>
  <c r="B161" i="22" s="1"/>
  <c r="B162" i="22" s="1"/>
  <c r="B163" i="22" s="1"/>
  <c r="B164" i="22" s="1"/>
  <c r="B165" i="22" s="1"/>
  <c r="B166" i="22" s="1"/>
  <c r="B167" i="22" s="1"/>
  <c r="B168" i="22" s="1"/>
  <c r="B169" i="22" s="1"/>
  <c r="B170" i="22" s="1"/>
  <c r="B171" i="22" s="1"/>
  <c r="B172" i="22" s="1"/>
  <c r="B173" i="22" s="1"/>
  <c r="B174" i="22" s="1"/>
  <c r="B175" i="22" s="1"/>
  <c r="B176" i="22" s="1"/>
  <c r="B177" i="22" s="1"/>
  <c r="B178" i="22" s="1"/>
  <c r="B179" i="22" s="1"/>
  <c r="B180" i="22" s="1"/>
  <c r="B181" i="22" s="1"/>
  <c r="B182" i="22" s="1"/>
  <c r="B183" i="22" s="1"/>
  <c r="B184" i="22" s="1"/>
  <c r="B185" i="22" s="1"/>
  <c r="B186" i="22" s="1"/>
  <c r="B187" i="22" s="1"/>
  <c r="B188" i="22" s="1"/>
  <c r="B189" i="22" s="1"/>
  <c r="B190" i="22" s="1"/>
  <c r="B191" i="22" s="1"/>
  <c r="B192" i="22" s="1"/>
  <c r="B193" i="22" s="1"/>
  <c r="B194" i="22" s="1"/>
  <c r="B195" i="22" s="1"/>
  <c r="B196" i="22" s="1"/>
  <c r="B197" i="22" s="1"/>
  <c r="B198" i="22" s="1"/>
  <c r="B199" i="22" s="1"/>
  <c r="B200" i="22" s="1"/>
  <c r="B201" i="22" s="1"/>
  <c r="B202" i="22" s="1"/>
  <c r="B203" i="22" s="1"/>
  <c r="B204" i="22" s="1"/>
  <c r="B205" i="22" s="1"/>
  <c r="B206" i="22" s="1"/>
  <c r="B207" i="22" s="1"/>
  <c r="B208" i="22" s="1"/>
  <c r="B209" i="22" s="1"/>
  <c r="B210" i="22" s="1"/>
  <c r="B211" i="22" s="1"/>
  <c r="B212" i="22" s="1"/>
  <c r="B213" i="22" s="1"/>
  <c r="B214" i="22" s="1"/>
  <c r="B215" i="22" s="1"/>
  <c r="B216" i="22" s="1"/>
  <c r="B217" i="22" s="1"/>
  <c r="B218" i="22" s="1"/>
  <c r="B219" i="22" s="1"/>
  <c r="B220" i="22" s="1"/>
  <c r="B221" i="22" s="1"/>
  <c r="B222" i="22" s="1"/>
  <c r="B223" i="22" s="1"/>
  <c r="C143" i="22"/>
  <c r="C140" i="22"/>
  <c r="C138" i="22"/>
  <c r="C137" i="22"/>
  <c r="C136" i="22"/>
  <c r="C135" i="22"/>
  <c r="C125" i="22"/>
  <c r="C122" i="22"/>
  <c r="C121" i="22"/>
  <c r="C120" i="22"/>
  <c r="C119" i="22"/>
  <c r="C118" i="22"/>
  <c r="C117" i="22"/>
  <c r="C116" i="22"/>
  <c r="C115" i="22"/>
  <c r="C114" i="22"/>
  <c r="C113" i="22"/>
  <c r="C112" i="22"/>
  <c r="C111" i="22"/>
  <c r="C110" i="22"/>
  <c r="C109" i="22"/>
  <c r="C108" i="22"/>
  <c r="C107" i="22"/>
  <c r="C106" i="22"/>
  <c r="C105" i="22"/>
  <c r="C104" i="22"/>
  <c r="C103" i="22"/>
  <c r="C102" i="22"/>
  <c r="C101" i="22"/>
  <c r="C100" i="22"/>
  <c r="C99" i="22"/>
  <c r="C98" i="22"/>
  <c r="C97" i="22"/>
  <c r="C96" i="22"/>
  <c r="C93" i="22"/>
  <c r="C92" i="22"/>
  <c r="C91" i="22"/>
  <c r="C90" i="22"/>
  <c r="C89" i="22"/>
  <c r="C88" i="22"/>
  <c r="C87" i="22"/>
  <c r="C86" i="22"/>
  <c r="C85" i="22"/>
  <c r="C82" i="22"/>
  <c r="C81" i="22"/>
  <c r="C80" i="22"/>
  <c r="C79" i="22"/>
  <c r="C78" i="22"/>
  <c r="C77" i="22"/>
  <c r="C76" i="22"/>
  <c r="C75" i="22"/>
  <c r="C74" i="22"/>
  <c r="C73" i="22"/>
  <c r="C72" i="22"/>
  <c r="C71" i="22"/>
  <c r="C70" i="22"/>
  <c r="C69" i="22"/>
  <c r="C68" i="22"/>
  <c r="C67" i="22"/>
  <c r="C66" i="22"/>
  <c r="C65" i="22"/>
  <c r="C64" i="22"/>
  <c r="C63" i="22"/>
  <c r="C62" i="22"/>
  <c r="C61" i="22"/>
  <c r="C60" i="22"/>
  <c r="C59" i="22"/>
  <c r="C58" i="22"/>
  <c r="C57" i="22"/>
  <c r="C56" i="22"/>
  <c r="C55" i="22"/>
  <c r="C54" i="22"/>
  <c r="C53" i="22"/>
  <c r="C52" i="22"/>
  <c r="C51" i="22"/>
  <c r="C50" i="22"/>
  <c r="C49" i="22"/>
  <c r="C48" i="22"/>
  <c r="C47" i="22"/>
  <c r="C46" i="22"/>
  <c r="C45" i="22"/>
  <c r="C44" i="22"/>
  <c r="C43" i="22"/>
  <c r="C42" i="22"/>
  <c r="C41" i="22"/>
  <c r="C38" i="22"/>
  <c r="C37" i="22"/>
  <c r="C36" i="22"/>
  <c r="C35" i="22"/>
  <c r="C34" i="22"/>
  <c r="C33" i="22"/>
  <c r="C32" i="22"/>
  <c r="C31" i="22"/>
  <c r="C30" i="22"/>
  <c r="C29" i="22"/>
  <c r="C28" i="22"/>
  <c r="C23" i="22"/>
  <c r="C22" i="22"/>
  <c r="C21" i="22"/>
  <c r="C20" i="22"/>
  <c r="C19" i="22"/>
  <c r="C18" i="22"/>
  <c r="C13" i="22"/>
  <c r="B13" i="22"/>
  <c r="C12" i="22"/>
  <c r="B12" i="22"/>
  <c r="C11" i="22"/>
  <c r="B11" i="22"/>
  <c r="C10" i="22"/>
  <c r="B10" i="22"/>
  <c r="C9" i="22"/>
  <c r="B9" i="22"/>
  <c r="C8" i="22"/>
  <c r="B8" i="22"/>
  <c r="C7" i="22"/>
  <c r="B7" i="22"/>
  <c r="C6" i="22"/>
  <c r="B6" i="22"/>
  <c r="C5" i="22"/>
  <c r="B5" i="22"/>
  <c r="C4" i="22"/>
  <c r="B4" i="22"/>
  <c r="C2" i="22"/>
  <c r="C17" i="22" l="1"/>
  <c r="C223" i="21"/>
  <c r="C222" i="21"/>
  <c r="C221" i="21"/>
  <c r="C220" i="21"/>
  <c r="C219" i="21"/>
  <c r="C218" i="21"/>
  <c r="C217" i="21"/>
  <c r="C216" i="21"/>
  <c r="C215" i="21"/>
  <c r="C214" i="21"/>
  <c r="C213" i="21"/>
  <c r="C212" i="21"/>
  <c r="C211" i="21"/>
  <c r="C210" i="21"/>
  <c r="C209" i="21"/>
  <c r="C208" i="21"/>
  <c r="C207" i="21"/>
  <c r="C206" i="21"/>
  <c r="C205" i="21"/>
  <c r="C204" i="21"/>
  <c r="C203" i="21"/>
  <c r="C202" i="21"/>
  <c r="C201" i="21"/>
  <c r="C200" i="21"/>
  <c r="C199" i="21"/>
  <c r="C198" i="21"/>
  <c r="C197" i="21"/>
  <c r="C196" i="21"/>
  <c r="C195" i="21"/>
  <c r="C194" i="21"/>
  <c r="C193" i="21"/>
  <c r="C192" i="21"/>
  <c r="C191" i="21"/>
  <c r="C190" i="21"/>
  <c r="C189" i="21"/>
  <c r="C188" i="21"/>
  <c r="C187" i="21"/>
  <c r="C186" i="21"/>
  <c r="C185" i="21"/>
  <c r="C184" i="21"/>
  <c r="C183" i="21"/>
  <c r="C182" i="21"/>
  <c r="C181" i="21"/>
  <c r="C180" i="21"/>
  <c r="C179" i="21"/>
  <c r="C178" i="21"/>
  <c r="C177" i="21"/>
  <c r="C176" i="21"/>
  <c r="C175" i="21"/>
  <c r="C174" i="21"/>
  <c r="C173" i="21"/>
  <c r="C172" i="21"/>
  <c r="C171" i="21"/>
  <c r="C170" i="21"/>
  <c r="C169" i="21"/>
  <c r="C168" i="21"/>
  <c r="C167" i="21"/>
  <c r="C166" i="21"/>
  <c r="C165" i="21"/>
  <c r="C164" i="21"/>
  <c r="C163" i="21"/>
  <c r="C162" i="21"/>
  <c r="C161" i="21"/>
  <c r="C160" i="21"/>
  <c r="C159" i="21"/>
  <c r="C158" i="21"/>
  <c r="C157" i="21"/>
  <c r="C156" i="21"/>
  <c r="C155" i="21"/>
  <c r="C154" i="21"/>
  <c r="C153" i="21"/>
  <c r="C152" i="21"/>
  <c r="C151" i="21"/>
  <c r="C150" i="21"/>
  <c r="C149" i="21"/>
  <c r="C148" i="21"/>
  <c r="C147" i="21"/>
  <c r="C146" i="21"/>
  <c r="C145" i="21"/>
  <c r="C144" i="21"/>
  <c r="B144" i="21"/>
  <c r="B145" i="21" s="1"/>
  <c r="B146" i="21" s="1"/>
  <c r="B147" i="21" s="1"/>
  <c r="B148" i="21" s="1"/>
  <c r="B149" i="21" s="1"/>
  <c r="B150" i="21" s="1"/>
  <c r="B151" i="21" s="1"/>
  <c r="B152" i="21" s="1"/>
  <c r="B153" i="21" s="1"/>
  <c r="B154" i="21" s="1"/>
  <c r="B155" i="21" s="1"/>
  <c r="B156" i="21" s="1"/>
  <c r="B157" i="21" s="1"/>
  <c r="B158" i="21" s="1"/>
  <c r="B159" i="21" s="1"/>
  <c r="B160" i="21" s="1"/>
  <c r="B161" i="21" s="1"/>
  <c r="B162" i="21" s="1"/>
  <c r="B163" i="21" s="1"/>
  <c r="B164" i="21" s="1"/>
  <c r="B165" i="21" s="1"/>
  <c r="B166" i="21" s="1"/>
  <c r="B167" i="21" s="1"/>
  <c r="B168" i="21" s="1"/>
  <c r="B169" i="21" s="1"/>
  <c r="B170" i="21" s="1"/>
  <c r="B171" i="21" s="1"/>
  <c r="B172" i="21" s="1"/>
  <c r="B173" i="21" s="1"/>
  <c r="B174" i="21" s="1"/>
  <c r="B175" i="21" s="1"/>
  <c r="B176" i="21" s="1"/>
  <c r="B177" i="21" s="1"/>
  <c r="B178" i="21" s="1"/>
  <c r="B179" i="21" s="1"/>
  <c r="B180" i="21" s="1"/>
  <c r="B181" i="21" s="1"/>
  <c r="B182" i="21" s="1"/>
  <c r="B183" i="21" s="1"/>
  <c r="B184" i="21" s="1"/>
  <c r="B185" i="21" s="1"/>
  <c r="B186" i="21" s="1"/>
  <c r="B187" i="21" s="1"/>
  <c r="B188" i="21" s="1"/>
  <c r="B189" i="21" s="1"/>
  <c r="B190" i="21" s="1"/>
  <c r="B191" i="21" s="1"/>
  <c r="B192" i="21" s="1"/>
  <c r="B193" i="21" s="1"/>
  <c r="B194" i="21" s="1"/>
  <c r="B195" i="21" s="1"/>
  <c r="B196" i="21" s="1"/>
  <c r="B197" i="21" s="1"/>
  <c r="B198" i="21" s="1"/>
  <c r="B199" i="21" s="1"/>
  <c r="B200" i="21" s="1"/>
  <c r="B201" i="21" s="1"/>
  <c r="B202" i="21" s="1"/>
  <c r="B203" i="21" s="1"/>
  <c r="B204" i="21" s="1"/>
  <c r="B205" i="21" s="1"/>
  <c r="B206" i="21" s="1"/>
  <c r="B207" i="21" s="1"/>
  <c r="B208" i="21" s="1"/>
  <c r="B209" i="21" s="1"/>
  <c r="B210" i="21" s="1"/>
  <c r="B211" i="21" s="1"/>
  <c r="B212" i="21" s="1"/>
  <c r="B213" i="21" s="1"/>
  <c r="B214" i="21" s="1"/>
  <c r="B215" i="21" s="1"/>
  <c r="B216" i="21" s="1"/>
  <c r="B217" i="21" s="1"/>
  <c r="B218" i="21" s="1"/>
  <c r="B219" i="21" s="1"/>
  <c r="B220" i="21" s="1"/>
  <c r="B221" i="21" s="1"/>
  <c r="B222" i="21" s="1"/>
  <c r="B223" i="21" s="1"/>
  <c r="C143" i="21"/>
  <c r="C140" i="21"/>
  <c r="C138" i="21"/>
  <c r="C137" i="21"/>
  <c r="C136" i="21"/>
  <c r="C135" i="21"/>
  <c r="C125" i="21"/>
  <c r="C122" i="21"/>
  <c r="C121" i="21"/>
  <c r="C120" i="21"/>
  <c r="C119" i="21"/>
  <c r="C118" i="21"/>
  <c r="C117" i="21"/>
  <c r="C116" i="21"/>
  <c r="C115" i="21"/>
  <c r="C114" i="21"/>
  <c r="C113" i="21"/>
  <c r="C112" i="21"/>
  <c r="C111" i="21"/>
  <c r="C110" i="21"/>
  <c r="C109" i="21"/>
  <c r="C108" i="21"/>
  <c r="C107" i="21"/>
  <c r="C106" i="21"/>
  <c r="C105" i="21"/>
  <c r="C104" i="21"/>
  <c r="C103" i="21"/>
  <c r="C102" i="21"/>
  <c r="C101" i="21"/>
  <c r="C100" i="21"/>
  <c r="C99" i="21"/>
  <c r="C98" i="21"/>
  <c r="C97" i="21"/>
  <c r="C96" i="21"/>
  <c r="C93" i="21"/>
  <c r="C92" i="21"/>
  <c r="C91" i="21"/>
  <c r="C90" i="21"/>
  <c r="C89" i="21"/>
  <c r="C88" i="21"/>
  <c r="C87" i="21"/>
  <c r="C86" i="21"/>
  <c r="C85" i="21"/>
  <c r="C82" i="21"/>
  <c r="C81" i="21"/>
  <c r="C80" i="21"/>
  <c r="C79" i="21"/>
  <c r="C78" i="21"/>
  <c r="C77" i="21"/>
  <c r="C76" i="21"/>
  <c r="C75" i="21"/>
  <c r="C74" i="21"/>
  <c r="C73" i="21"/>
  <c r="C72" i="21"/>
  <c r="C71" i="21"/>
  <c r="C70" i="21"/>
  <c r="C69" i="21"/>
  <c r="C68" i="21"/>
  <c r="C67" i="21"/>
  <c r="C66" i="21"/>
  <c r="C65" i="21"/>
  <c r="C64" i="21"/>
  <c r="C63" i="21"/>
  <c r="C62" i="21"/>
  <c r="C61" i="21"/>
  <c r="C60" i="21"/>
  <c r="C59" i="21"/>
  <c r="C58" i="21"/>
  <c r="C57" i="21"/>
  <c r="C56" i="21"/>
  <c r="C55" i="21"/>
  <c r="C54" i="21"/>
  <c r="C53" i="21"/>
  <c r="C52" i="21"/>
  <c r="C51" i="21"/>
  <c r="C50" i="21"/>
  <c r="C49" i="21"/>
  <c r="C48" i="21"/>
  <c r="C47" i="21"/>
  <c r="C46" i="21"/>
  <c r="C45" i="21"/>
  <c r="C44" i="21"/>
  <c r="C43" i="21"/>
  <c r="C42" i="21"/>
  <c r="C41" i="21"/>
  <c r="C38" i="21"/>
  <c r="C37" i="21"/>
  <c r="C36" i="21"/>
  <c r="C35" i="21"/>
  <c r="C34" i="21"/>
  <c r="C33" i="21"/>
  <c r="C32" i="21"/>
  <c r="C31" i="21"/>
  <c r="C30" i="21"/>
  <c r="C29" i="21"/>
  <c r="C28" i="21"/>
  <c r="C23" i="21"/>
  <c r="C22" i="21"/>
  <c r="C21" i="21"/>
  <c r="C20" i="21"/>
  <c r="C19" i="21"/>
  <c r="C18" i="21"/>
  <c r="C13" i="21"/>
  <c r="B13" i="21"/>
  <c r="C12" i="21"/>
  <c r="B12" i="21"/>
  <c r="C11" i="21"/>
  <c r="B11" i="21"/>
  <c r="C10" i="21"/>
  <c r="B10" i="21"/>
  <c r="C9" i="21"/>
  <c r="B9" i="21"/>
  <c r="C8" i="21"/>
  <c r="B8" i="21"/>
  <c r="C7" i="21"/>
  <c r="B7" i="21"/>
  <c r="C6" i="21"/>
  <c r="B6" i="21"/>
  <c r="C5" i="21"/>
  <c r="B5" i="21"/>
  <c r="C4" i="21"/>
  <c r="B4" i="21"/>
  <c r="C2" i="21"/>
  <c r="C17" i="21" l="1"/>
  <c r="C223" i="20"/>
  <c r="C222" i="20"/>
  <c r="C221" i="20"/>
  <c r="C220" i="20"/>
  <c r="C219" i="20"/>
  <c r="C218" i="20"/>
  <c r="C217" i="20"/>
  <c r="C216" i="20"/>
  <c r="C215" i="20"/>
  <c r="C214" i="20"/>
  <c r="C213" i="20"/>
  <c r="C212" i="20"/>
  <c r="C211" i="20"/>
  <c r="C210" i="20"/>
  <c r="C209" i="20"/>
  <c r="C208" i="20"/>
  <c r="C207" i="20"/>
  <c r="C206" i="20"/>
  <c r="C205" i="20"/>
  <c r="C204" i="20"/>
  <c r="C203" i="20"/>
  <c r="C202" i="20"/>
  <c r="C201" i="20"/>
  <c r="C200" i="20"/>
  <c r="C199" i="20"/>
  <c r="C198" i="20"/>
  <c r="C197" i="20"/>
  <c r="C196" i="20"/>
  <c r="C195" i="20"/>
  <c r="C194" i="20"/>
  <c r="C193" i="20"/>
  <c r="C192" i="20"/>
  <c r="C191" i="20"/>
  <c r="C190" i="20"/>
  <c r="C189" i="20"/>
  <c r="C188" i="20"/>
  <c r="C187" i="20"/>
  <c r="C186" i="20"/>
  <c r="C185" i="20"/>
  <c r="C184" i="20"/>
  <c r="C183" i="20"/>
  <c r="C182" i="20"/>
  <c r="C181" i="20"/>
  <c r="C180" i="20"/>
  <c r="C179" i="20"/>
  <c r="C178" i="20"/>
  <c r="C177" i="20"/>
  <c r="C176" i="20"/>
  <c r="C175" i="20"/>
  <c r="C174" i="20"/>
  <c r="C173" i="20"/>
  <c r="C172" i="20"/>
  <c r="C171" i="20"/>
  <c r="C170" i="20"/>
  <c r="C169" i="20"/>
  <c r="C168" i="20"/>
  <c r="C167" i="20"/>
  <c r="C166" i="20"/>
  <c r="C165" i="20"/>
  <c r="C164" i="20"/>
  <c r="C163" i="20"/>
  <c r="C162" i="20"/>
  <c r="C161" i="20"/>
  <c r="C160" i="20"/>
  <c r="C159" i="20"/>
  <c r="C158" i="20"/>
  <c r="C157" i="20"/>
  <c r="C156" i="20"/>
  <c r="C155" i="20"/>
  <c r="C154" i="20"/>
  <c r="C153" i="20"/>
  <c r="C152" i="20"/>
  <c r="C151" i="20"/>
  <c r="C150" i="20"/>
  <c r="C149" i="20"/>
  <c r="C148" i="20"/>
  <c r="C147" i="20"/>
  <c r="C146" i="20"/>
  <c r="C145" i="20"/>
  <c r="C144" i="20"/>
  <c r="B144" i="20"/>
  <c r="B145" i="20" s="1"/>
  <c r="B146" i="20" s="1"/>
  <c r="B147" i="20" s="1"/>
  <c r="B148" i="20" s="1"/>
  <c r="B149" i="20" s="1"/>
  <c r="B150" i="20" s="1"/>
  <c r="B151" i="20" s="1"/>
  <c r="B152" i="20" s="1"/>
  <c r="B153" i="20" s="1"/>
  <c r="B154" i="20" s="1"/>
  <c r="B155" i="20" s="1"/>
  <c r="B156" i="20" s="1"/>
  <c r="B157" i="20" s="1"/>
  <c r="B158" i="20" s="1"/>
  <c r="B159" i="20" s="1"/>
  <c r="B160" i="20" s="1"/>
  <c r="B161" i="20" s="1"/>
  <c r="B162" i="20" s="1"/>
  <c r="B163" i="20" s="1"/>
  <c r="B164" i="20" s="1"/>
  <c r="B165" i="20" s="1"/>
  <c r="B166" i="20" s="1"/>
  <c r="B167" i="20" s="1"/>
  <c r="B168" i="20" s="1"/>
  <c r="B169" i="20" s="1"/>
  <c r="B170" i="20" s="1"/>
  <c r="B171" i="20" s="1"/>
  <c r="B172" i="20" s="1"/>
  <c r="B173" i="20" s="1"/>
  <c r="B174" i="20" s="1"/>
  <c r="B175" i="20" s="1"/>
  <c r="B176" i="20" s="1"/>
  <c r="B177" i="20" s="1"/>
  <c r="B178" i="20" s="1"/>
  <c r="B179" i="20" s="1"/>
  <c r="B180" i="20" s="1"/>
  <c r="B181" i="20" s="1"/>
  <c r="B182" i="20" s="1"/>
  <c r="B183" i="20" s="1"/>
  <c r="B184" i="20" s="1"/>
  <c r="B185" i="20" s="1"/>
  <c r="B186" i="20" s="1"/>
  <c r="B187" i="20" s="1"/>
  <c r="B188" i="20" s="1"/>
  <c r="B189" i="20" s="1"/>
  <c r="B190" i="20" s="1"/>
  <c r="B191" i="20" s="1"/>
  <c r="B192" i="20" s="1"/>
  <c r="B193" i="20" s="1"/>
  <c r="B194" i="20" s="1"/>
  <c r="B195" i="20" s="1"/>
  <c r="B196" i="20" s="1"/>
  <c r="B197" i="20" s="1"/>
  <c r="B198" i="20" s="1"/>
  <c r="B199" i="20" s="1"/>
  <c r="B200" i="20" s="1"/>
  <c r="B201" i="20" s="1"/>
  <c r="B202" i="20" s="1"/>
  <c r="B203" i="20" s="1"/>
  <c r="B204" i="20" s="1"/>
  <c r="B205" i="20" s="1"/>
  <c r="B206" i="20" s="1"/>
  <c r="B207" i="20" s="1"/>
  <c r="B208" i="20" s="1"/>
  <c r="B209" i="20" s="1"/>
  <c r="B210" i="20" s="1"/>
  <c r="B211" i="20" s="1"/>
  <c r="B212" i="20" s="1"/>
  <c r="B213" i="20" s="1"/>
  <c r="B214" i="20" s="1"/>
  <c r="B215" i="20" s="1"/>
  <c r="B216" i="20" s="1"/>
  <c r="B217" i="20" s="1"/>
  <c r="B218" i="20" s="1"/>
  <c r="B219" i="20" s="1"/>
  <c r="B220" i="20" s="1"/>
  <c r="B221" i="20" s="1"/>
  <c r="B222" i="20" s="1"/>
  <c r="B223" i="20" s="1"/>
  <c r="C143" i="20"/>
  <c r="C140" i="20"/>
  <c r="C138" i="20"/>
  <c r="C137" i="20"/>
  <c r="C136" i="20"/>
  <c r="C135" i="20"/>
  <c r="C125" i="20"/>
  <c r="C122" i="20"/>
  <c r="C121" i="20"/>
  <c r="C120" i="20"/>
  <c r="C119" i="20"/>
  <c r="C118" i="20"/>
  <c r="C117" i="20"/>
  <c r="C116" i="20"/>
  <c r="C115" i="20"/>
  <c r="C114" i="20"/>
  <c r="C113" i="20"/>
  <c r="C112" i="20"/>
  <c r="C111" i="20"/>
  <c r="C110" i="20"/>
  <c r="C109" i="20"/>
  <c r="C108" i="20"/>
  <c r="C107" i="20"/>
  <c r="C106" i="20"/>
  <c r="C105" i="20"/>
  <c r="C104" i="20"/>
  <c r="C103" i="20"/>
  <c r="C102" i="20"/>
  <c r="C101" i="20"/>
  <c r="C100" i="20"/>
  <c r="C99" i="20"/>
  <c r="C98" i="20"/>
  <c r="C97" i="20"/>
  <c r="C96" i="20"/>
  <c r="C93" i="20"/>
  <c r="C92" i="20"/>
  <c r="C91" i="20"/>
  <c r="C90" i="20"/>
  <c r="C89" i="20"/>
  <c r="C88" i="20"/>
  <c r="C87" i="20"/>
  <c r="C86" i="20"/>
  <c r="C85" i="20"/>
  <c r="C82" i="20"/>
  <c r="C81" i="20"/>
  <c r="C80" i="20"/>
  <c r="C79" i="20"/>
  <c r="C78" i="20"/>
  <c r="C77" i="20"/>
  <c r="C76" i="20"/>
  <c r="C75" i="20"/>
  <c r="C74" i="20"/>
  <c r="C73" i="20"/>
  <c r="C72" i="20"/>
  <c r="C71" i="20"/>
  <c r="C70" i="20"/>
  <c r="C69" i="20"/>
  <c r="C68" i="20"/>
  <c r="C67" i="20"/>
  <c r="C66" i="20"/>
  <c r="C65" i="20"/>
  <c r="C64" i="20"/>
  <c r="C63" i="20"/>
  <c r="C62" i="20"/>
  <c r="C61" i="20"/>
  <c r="C60" i="20"/>
  <c r="C59" i="20"/>
  <c r="C58" i="20"/>
  <c r="C57" i="20"/>
  <c r="C56" i="20"/>
  <c r="C55" i="20"/>
  <c r="C54" i="20"/>
  <c r="C53" i="20"/>
  <c r="C52" i="20"/>
  <c r="C51" i="20"/>
  <c r="C50" i="20"/>
  <c r="C49" i="20"/>
  <c r="C48" i="20"/>
  <c r="C47" i="20"/>
  <c r="C46" i="20"/>
  <c r="C45" i="20"/>
  <c r="C44" i="20"/>
  <c r="C43" i="20"/>
  <c r="C42" i="20"/>
  <c r="C41" i="20"/>
  <c r="C38" i="20"/>
  <c r="C37" i="20"/>
  <c r="C36" i="20"/>
  <c r="C35" i="20"/>
  <c r="C34" i="20"/>
  <c r="C33" i="20"/>
  <c r="C32" i="20"/>
  <c r="C31" i="20"/>
  <c r="C30" i="20"/>
  <c r="C29" i="20"/>
  <c r="C28" i="20"/>
  <c r="C23" i="20"/>
  <c r="C22" i="20"/>
  <c r="C21" i="20"/>
  <c r="C20" i="20"/>
  <c r="C19" i="20"/>
  <c r="C18" i="20"/>
  <c r="C13" i="20"/>
  <c r="B13" i="20"/>
  <c r="C12" i="20"/>
  <c r="B12" i="20"/>
  <c r="C11" i="20"/>
  <c r="B11" i="20"/>
  <c r="C10" i="20"/>
  <c r="B10" i="20"/>
  <c r="C9" i="20"/>
  <c r="B9" i="20"/>
  <c r="C8" i="20"/>
  <c r="B8" i="20"/>
  <c r="C7" i="20"/>
  <c r="B7" i="20"/>
  <c r="C6" i="20"/>
  <c r="B6" i="20"/>
  <c r="C5" i="20"/>
  <c r="B5" i="20"/>
  <c r="C4" i="20"/>
  <c r="B4" i="20"/>
  <c r="C2" i="20"/>
  <c r="C17" i="20" l="1"/>
  <c r="C223" i="19"/>
  <c r="C222" i="19"/>
  <c r="C221" i="19"/>
  <c r="C220" i="19"/>
  <c r="C219" i="19"/>
  <c r="C218" i="19"/>
  <c r="C217" i="19"/>
  <c r="C216" i="19"/>
  <c r="C215" i="19"/>
  <c r="C214" i="19"/>
  <c r="C213" i="19"/>
  <c r="C212" i="19"/>
  <c r="C211" i="19"/>
  <c r="C210" i="19"/>
  <c r="C209" i="19"/>
  <c r="C208" i="19"/>
  <c r="C207" i="19"/>
  <c r="C206" i="19"/>
  <c r="C205" i="19"/>
  <c r="C204" i="19"/>
  <c r="C203" i="19"/>
  <c r="C202" i="19"/>
  <c r="C201" i="19"/>
  <c r="C200" i="19"/>
  <c r="C199" i="19"/>
  <c r="C198" i="19"/>
  <c r="C197" i="19"/>
  <c r="C196" i="19"/>
  <c r="C195" i="19"/>
  <c r="C194" i="19"/>
  <c r="C193" i="19"/>
  <c r="C192" i="19"/>
  <c r="C191" i="19"/>
  <c r="C190" i="19"/>
  <c r="C189" i="19"/>
  <c r="C188" i="19"/>
  <c r="C187" i="19"/>
  <c r="C186" i="19"/>
  <c r="C185" i="19"/>
  <c r="C184" i="19"/>
  <c r="C183" i="19"/>
  <c r="C182" i="19"/>
  <c r="C181" i="19"/>
  <c r="C180" i="19"/>
  <c r="C179" i="19"/>
  <c r="C178" i="19"/>
  <c r="C177" i="19"/>
  <c r="C176" i="19"/>
  <c r="C175" i="19"/>
  <c r="C174" i="19"/>
  <c r="C173" i="19"/>
  <c r="C172" i="19"/>
  <c r="C171" i="19"/>
  <c r="C170" i="19"/>
  <c r="C169" i="19"/>
  <c r="C168" i="19"/>
  <c r="C167" i="19"/>
  <c r="C166" i="19"/>
  <c r="C165" i="19"/>
  <c r="C164" i="19"/>
  <c r="C163" i="19"/>
  <c r="C162" i="19"/>
  <c r="C161" i="19"/>
  <c r="C160" i="19"/>
  <c r="C159" i="19"/>
  <c r="C158" i="19"/>
  <c r="C157" i="19"/>
  <c r="C156" i="19"/>
  <c r="C155" i="19"/>
  <c r="C154" i="19"/>
  <c r="C153" i="19"/>
  <c r="C152" i="19"/>
  <c r="C151" i="19"/>
  <c r="C150" i="19"/>
  <c r="C149" i="19"/>
  <c r="C148" i="19"/>
  <c r="C147" i="19"/>
  <c r="C146" i="19"/>
  <c r="C145" i="19"/>
  <c r="C144" i="19"/>
  <c r="B144" i="19"/>
  <c r="B145" i="19" s="1"/>
  <c r="B146" i="19" s="1"/>
  <c r="B147" i="19" s="1"/>
  <c r="B148" i="19" s="1"/>
  <c r="B149" i="19" s="1"/>
  <c r="B150" i="19" s="1"/>
  <c r="B151" i="19" s="1"/>
  <c r="B152" i="19" s="1"/>
  <c r="B153" i="19" s="1"/>
  <c r="B154" i="19" s="1"/>
  <c r="B155" i="19" s="1"/>
  <c r="B156" i="19" s="1"/>
  <c r="B157" i="19" s="1"/>
  <c r="B158" i="19" s="1"/>
  <c r="B159" i="19" s="1"/>
  <c r="B160" i="19" s="1"/>
  <c r="B161" i="19" s="1"/>
  <c r="B162" i="19" s="1"/>
  <c r="B163" i="19" s="1"/>
  <c r="B164" i="19" s="1"/>
  <c r="B165" i="19" s="1"/>
  <c r="B166" i="19" s="1"/>
  <c r="B167" i="19" s="1"/>
  <c r="B168" i="19" s="1"/>
  <c r="B169" i="19" s="1"/>
  <c r="B170" i="19" s="1"/>
  <c r="B171" i="19" s="1"/>
  <c r="B172" i="19" s="1"/>
  <c r="B173" i="19" s="1"/>
  <c r="B174" i="19" s="1"/>
  <c r="B175" i="19" s="1"/>
  <c r="B176" i="19" s="1"/>
  <c r="B177" i="19" s="1"/>
  <c r="B178" i="19" s="1"/>
  <c r="B179" i="19" s="1"/>
  <c r="B180" i="19" s="1"/>
  <c r="B181" i="19" s="1"/>
  <c r="B182" i="19" s="1"/>
  <c r="B183" i="19" s="1"/>
  <c r="B184" i="19" s="1"/>
  <c r="B185" i="19" s="1"/>
  <c r="B186" i="19" s="1"/>
  <c r="B187" i="19" s="1"/>
  <c r="B188" i="19" s="1"/>
  <c r="B189" i="19" s="1"/>
  <c r="B190" i="19" s="1"/>
  <c r="B191" i="19" s="1"/>
  <c r="B192" i="19" s="1"/>
  <c r="B193" i="19" s="1"/>
  <c r="B194" i="19" s="1"/>
  <c r="B195" i="19" s="1"/>
  <c r="B196" i="19" s="1"/>
  <c r="B197" i="19" s="1"/>
  <c r="B198" i="19" s="1"/>
  <c r="B199" i="19" s="1"/>
  <c r="B200" i="19" s="1"/>
  <c r="B201" i="19" s="1"/>
  <c r="B202" i="19" s="1"/>
  <c r="B203" i="19" s="1"/>
  <c r="B204" i="19" s="1"/>
  <c r="B205" i="19" s="1"/>
  <c r="B206" i="19" s="1"/>
  <c r="B207" i="19" s="1"/>
  <c r="B208" i="19" s="1"/>
  <c r="B209" i="19" s="1"/>
  <c r="B210" i="19" s="1"/>
  <c r="B211" i="19" s="1"/>
  <c r="B212" i="19" s="1"/>
  <c r="B213" i="19" s="1"/>
  <c r="B214" i="19" s="1"/>
  <c r="B215" i="19" s="1"/>
  <c r="B216" i="19" s="1"/>
  <c r="B217" i="19" s="1"/>
  <c r="B218" i="19" s="1"/>
  <c r="B219" i="19" s="1"/>
  <c r="B220" i="19" s="1"/>
  <c r="B221" i="19" s="1"/>
  <c r="B222" i="19" s="1"/>
  <c r="B223" i="19" s="1"/>
  <c r="C143" i="19"/>
  <c r="C140" i="19"/>
  <c r="C138" i="19"/>
  <c r="C137" i="19"/>
  <c r="C136" i="19"/>
  <c r="C135" i="19"/>
  <c r="C125" i="19"/>
  <c r="C122" i="19"/>
  <c r="C121" i="19"/>
  <c r="C120" i="19"/>
  <c r="C119" i="19"/>
  <c r="C118" i="19"/>
  <c r="C117" i="19"/>
  <c r="C116" i="19"/>
  <c r="C115" i="19"/>
  <c r="C114" i="19"/>
  <c r="C113" i="19"/>
  <c r="C112" i="19"/>
  <c r="C111" i="19"/>
  <c r="C110" i="19"/>
  <c r="C109" i="19"/>
  <c r="C108" i="19"/>
  <c r="C107" i="19"/>
  <c r="C106" i="19"/>
  <c r="C105" i="19"/>
  <c r="C104" i="19"/>
  <c r="C103" i="19"/>
  <c r="C102" i="19"/>
  <c r="C101" i="19"/>
  <c r="C100" i="19"/>
  <c r="C99" i="19"/>
  <c r="C98" i="19"/>
  <c r="C97" i="19"/>
  <c r="C96" i="19"/>
  <c r="C93" i="19"/>
  <c r="C92" i="19"/>
  <c r="C91" i="19"/>
  <c r="C90" i="19"/>
  <c r="C89" i="19"/>
  <c r="C88" i="19"/>
  <c r="C87" i="19"/>
  <c r="C86" i="19"/>
  <c r="C85" i="19"/>
  <c r="C82" i="19"/>
  <c r="C81" i="19"/>
  <c r="C80" i="19"/>
  <c r="C79" i="19"/>
  <c r="C78" i="19"/>
  <c r="C77" i="19"/>
  <c r="C76" i="19"/>
  <c r="C75" i="19"/>
  <c r="C74" i="19"/>
  <c r="C73" i="19"/>
  <c r="C72" i="19"/>
  <c r="C71" i="19"/>
  <c r="C70" i="19"/>
  <c r="C69" i="19"/>
  <c r="C68" i="19"/>
  <c r="C67" i="19"/>
  <c r="C66" i="19"/>
  <c r="C65" i="19"/>
  <c r="C64" i="19"/>
  <c r="C63" i="19"/>
  <c r="C62" i="19"/>
  <c r="C61" i="19"/>
  <c r="C60" i="19"/>
  <c r="C59" i="19"/>
  <c r="C58" i="19"/>
  <c r="C57" i="19"/>
  <c r="C56" i="19"/>
  <c r="C55" i="19"/>
  <c r="C54" i="19"/>
  <c r="C53" i="19"/>
  <c r="C52" i="19"/>
  <c r="C51" i="19"/>
  <c r="C50" i="19"/>
  <c r="C49" i="19"/>
  <c r="C48" i="19"/>
  <c r="C47" i="19"/>
  <c r="C46" i="19"/>
  <c r="C45" i="19"/>
  <c r="C44" i="19"/>
  <c r="C43" i="19"/>
  <c r="C42" i="19"/>
  <c r="C41" i="19"/>
  <c r="C38" i="19"/>
  <c r="C37" i="19"/>
  <c r="C36" i="19"/>
  <c r="C35" i="19"/>
  <c r="C34" i="19"/>
  <c r="C33" i="19"/>
  <c r="C32" i="19"/>
  <c r="C31" i="19"/>
  <c r="C30" i="19"/>
  <c r="C29" i="19"/>
  <c r="C28" i="19"/>
  <c r="C23" i="19"/>
  <c r="C22" i="19"/>
  <c r="C21" i="19"/>
  <c r="C20" i="19"/>
  <c r="C19" i="19"/>
  <c r="C18" i="19"/>
  <c r="C13" i="19"/>
  <c r="B13" i="19"/>
  <c r="C12" i="19"/>
  <c r="B12" i="19"/>
  <c r="C11" i="19"/>
  <c r="B11" i="19"/>
  <c r="C10" i="19"/>
  <c r="B10" i="19"/>
  <c r="C9" i="19"/>
  <c r="B9" i="19"/>
  <c r="C8" i="19"/>
  <c r="B8" i="19"/>
  <c r="C7" i="19"/>
  <c r="B7" i="19"/>
  <c r="C6" i="19"/>
  <c r="B6" i="19"/>
  <c r="C5" i="19"/>
  <c r="B5" i="19"/>
  <c r="C4" i="19"/>
  <c r="B4" i="19"/>
  <c r="C2" i="19"/>
  <c r="C17" i="19" l="1"/>
  <c r="C223" i="18"/>
  <c r="C222" i="18"/>
  <c r="C221" i="18"/>
  <c r="C220" i="18"/>
  <c r="C219" i="18"/>
  <c r="C218" i="18"/>
  <c r="C217" i="18"/>
  <c r="C216" i="18"/>
  <c r="C215" i="18"/>
  <c r="C214" i="18"/>
  <c r="C213" i="18"/>
  <c r="C212" i="18"/>
  <c r="C211" i="18"/>
  <c r="C210" i="18"/>
  <c r="C209" i="18"/>
  <c r="C208" i="18"/>
  <c r="C207" i="18"/>
  <c r="C206" i="18"/>
  <c r="C205" i="18"/>
  <c r="C204" i="18"/>
  <c r="C203" i="18"/>
  <c r="C202" i="18"/>
  <c r="C201" i="18"/>
  <c r="C200" i="18"/>
  <c r="C199" i="18"/>
  <c r="C198" i="18"/>
  <c r="C197" i="18"/>
  <c r="C196" i="18"/>
  <c r="C195" i="18"/>
  <c r="C194" i="18"/>
  <c r="C193" i="18"/>
  <c r="C192" i="18"/>
  <c r="C191" i="18"/>
  <c r="C190" i="18"/>
  <c r="C189" i="18"/>
  <c r="C188" i="18"/>
  <c r="C187" i="18"/>
  <c r="C186" i="18"/>
  <c r="C185" i="18"/>
  <c r="C184" i="18"/>
  <c r="C183" i="18"/>
  <c r="C182" i="18"/>
  <c r="C181" i="18"/>
  <c r="C180" i="18"/>
  <c r="C179" i="18"/>
  <c r="C178" i="18"/>
  <c r="C177" i="18"/>
  <c r="C176" i="18"/>
  <c r="C175" i="18"/>
  <c r="C174" i="18"/>
  <c r="C173" i="18"/>
  <c r="C172" i="18"/>
  <c r="C171" i="18"/>
  <c r="C170" i="18"/>
  <c r="C169" i="18"/>
  <c r="C168" i="18"/>
  <c r="C167" i="18"/>
  <c r="C166" i="18"/>
  <c r="C165" i="18"/>
  <c r="C164" i="18"/>
  <c r="C163" i="18"/>
  <c r="C162" i="18"/>
  <c r="C161" i="18"/>
  <c r="C160" i="18"/>
  <c r="C159" i="18"/>
  <c r="C158" i="18"/>
  <c r="C157" i="18"/>
  <c r="C156" i="18"/>
  <c r="C155" i="18"/>
  <c r="C154" i="18"/>
  <c r="C153" i="18"/>
  <c r="C152" i="18"/>
  <c r="C151" i="18"/>
  <c r="C150" i="18"/>
  <c r="C149" i="18"/>
  <c r="C148" i="18"/>
  <c r="C147" i="18"/>
  <c r="C146" i="18"/>
  <c r="C145" i="18"/>
  <c r="C144" i="18"/>
  <c r="B144" i="18"/>
  <c r="B145" i="18" s="1"/>
  <c r="B146" i="18" s="1"/>
  <c r="B147" i="18" s="1"/>
  <c r="B148" i="18" s="1"/>
  <c r="B149" i="18" s="1"/>
  <c r="B150" i="18" s="1"/>
  <c r="B151" i="18" s="1"/>
  <c r="B152" i="18" s="1"/>
  <c r="B153" i="18" s="1"/>
  <c r="B154" i="18" s="1"/>
  <c r="B155" i="18" s="1"/>
  <c r="B156" i="18" s="1"/>
  <c r="B157" i="18" s="1"/>
  <c r="B158" i="18" s="1"/>
  <c r="B159" i="18" s="1"/>
  <c r="B160" i="18" s="1"/>
  <c r="B161" i="18" s="1"/>
  <c r="B162" i="18" s="1"/>
  <c r="B163" i="18" s="1"/>
  <c r="B164" i="18" s="1"/>
  <c r="B165" i="18" s="1"/>
  <c r="B166" i="18" s="1"/>
  <c r="B167" i="18" s="1"/>
  <c r="B168" i="18" s="1"/>
  <c r="B169" i="18" s="1"/>
  <c r="B170" i="18" s="1"/>
  <c r="B171" i="18" s="1"/>
  <c r="B172" i="18" s="1"/>
  <c r="B173" i="18" s="1"/>
  <c r="B174" i="18" s="1"/>
  <c r="B175" i="18" s="1"/>
  <c r="B176" i="18" s="1"/>
  <c r="B177" i="18" s="1"/>
  <c r="B178" i="18" s="1"/>
  <c r="B179" i="18" s="1"/>
  <c r="B180" i="18" s="1"/>
  <c r="B181" i="18" s="1"/>
  <c r="B182" i="18" s="1"/>
  <c r="B183" i="18" s="1"/>
  <c r="B184" i="18" s="1"/>
  <c r="B185" i="18" s="1"/>
  <c r="B186" i="18" s="1"/>
  <c r="B187" i="18" s="1"/>
  <c r="B188" i="18" s="1"/>
  <c r="B189" i="18" s="1"/>
  <c r="B190" i="18" s="1"/>
  <c r="B191" i="18" s="1"/>
  <c r="B192" i="18" s="1"/>
  <c r="B193" i="18" s="1"/>
  <c r="B194" i="18" s="1"/>
  <c r="B195" i="18" s="1"/>
  <c r="B196" i="18" s="1"/>
  <c r="B197" i="18" s="1"/>
  <c r="B198" i="18" s="1"/>
  <c r="B199" i="18" s="1"/>
  <c r="B200" i="18" s="1"/>
  <c r="B201" i="18" s="1"/>
  <c r="B202" i="18" s="1"/>
  <c r="B203" i="18" s="1"/>
  <c r="B204" i="18" s="1"/>
  <c r="B205" i="18" s="1"/>
  <c r="B206" i="18" s="1"/>
  <c r="B207" i="18" s="1"/>
  <c r="B208" i="18" s="1"/>
  <c r="B209" i="18" s="1"/>
  <c r="B210" i="18" s="1"/>
  <c r="B211" i="18" s="1"/>
  <c r="B212" i="18" s="1"/>
  <c r="B213" i="18" s="1"/>
  <c r="B214" i="18" s="1"/>
  <c r="B215" i="18" s="1"/>
  <c r="B216" i="18" s="1"/>
  <c r="B217" i="18" s="1"/>
  <c r="B218" i="18" s="1"/>
  <c r="B219" i="18" s="1"/>
  <c r="B220" i="18" s="1"/>
  <c r="B221" i="18" s="1"/>
  <c r="B222" i="18" s="1"/>
  <c r="B223" i="18" s="1"/>
  <c r="C143" i="18"/>
  <c r="C140" i="18"/>
  <c r="C138" i="18"/>
  <c r="C137" i="18"/>
  <c r="C136" i="18"/>
  <c r="C135" i="18"/>
  <c r="C125" i="18"/>
  <c r="C122" i="18"/>
  <c r="C121" i="18"/>
  <c r="C120" i="18"/>
  <c r="C119" i="18"/>
  <c r="C118" i="18"/>
  <c r="C117" i="18"/>
  <c r="C116" i="18"/>
  <c r="C115" i="18"/>
  <c r="C114" i="18"/>
  <c r="C113" i="18"/>
  <c r="C112" i="18"/>
  <c r="C111" i="18"/>
  <c r="C110" i="18"/>
  <c r="C109" i="18"/>
  <c r="C108" i="18"/>
  <c r="C107" i="18"/>
  <c r="C106" i="18"/>
  <c r="C105" i="18"/>
  <c r="C104" i="18"/>
  <c r="C103" i="18"/>
  <c r="C102" i="18"/>
  <c r="C101" i="18"/>
  <c r="C100" i="18"/>
  <c r="C99" i="18"/>
  <c r="C98" i="18"/>
  <c r="C97" i="18"/>
  <c r="C96" i="18"/>
  <c r="C93" i="18"/>
  <c r="C92" i="18"/>
  <c r="C91" i="18"/>
  <c r="C90" i="18"/>
  <c r="C89" i="18"/>
  <c r="C88" i="18"/>
  <c r="C87" i="18"/>
  <c r="C86" i="18"/>
  <c r="C85" i="18"/>
  <c r="C82" i="18"/>
  <c r="C81" i="18"/>
  <c r="C80" i="18"/>
  <c r="C79" i="18"/>
  <c r="C78" i="18"/>
  <c r="C77" i="18"/>
  <c r="C76" i="18"/>
  <c r="C75" i="18"/>
  <c r="C74" i="18"/>
  <c r="C73" i="18"/>
  <c r="C72" i="18"/>
  <c r="C71" i="18"/>
  <c r="C70" i="18"/>
  <c r="C69" i="18"/>
  <c r="C68" i="18"/>
  <c r="C67" i="18"/>
  <c r="C66" i="18"/>
  <c r="C65" i="18"/>
  <c r="C64" i="18"/>
  <c r="C63" i="18"/>
  <c r="C62" i="18"/>
  <c r="C61" i="18"/>
  <c r="C60" i="18"/>
  <c r="C59" i="18"/>
  <c r="C58" i="18"/>
  <c r="C57" i="18"/>
  <c r="C56" i="18"/>
  <c r="C55" i="18"/>
  <c r="C54" i="18"/>
  <c r="C53" i="18"/>
  <c r="C52" i="18"/>
  <c r="C51" i="18"/>
  <c r="C50" i="18"/>
  <c r="C49" i="18"/>
  <c r="C48" i="18"/>
  <c r="C47" i="18"/>
  <c r="C46" i="18"/>
  <c r="C45" i="18"/>
  <c r="C44" i="18"/>
  <c r="C43" i="18"/>
  <c r="C42" i="18"/>
  <c r="C41" i="18"/>
  <c r="C38" i="18"/>
  <c r="C37" i="18"/>
  <c r="C36" i="18"/>
  <c r="C35" i="18"/>
  <c r="C34" i="18"/>
  <c r="C33" i="18"/>
  <c r="C32" i="18"/>
  <c r="C31" i="18"/>
  <c r="C30" i="18"/>
  <c r="C29" i="18"/>
  <c r="C28" i="18"/>
  <c r="C23" i="18"/>
  <c r="C22" i="18"/>
  <c r="C21" i="18"/>
  <c r="C20" i="18"/>
  <c r="C19" i="18"/>
  <c r="C18" i="18"/>
  <c r="C13" i="18"/>
  <c r="B13" i="18"/>
  <c r="C12" i="18"/>
  <c r="B12" i="18"/>
  <c r="C11" i="18"/>
  <c r="B11" i="18"/>
  <c r="C10" i="18"/>
  <c r="B10" i="18"/>
  <c r="C9" i="18"/>
  <c r="B9" i="18"/>
  <c r="C8" i="18"/>
  <c r="B8" i="18"/>
  <c r="C7" i="18"/>
  <c r="B7" i="18"/>
  <c r="C6" i="18"/>
  <c r="B6" i="18"/>
  <c r="C5" i="18"/>
  <c r="B5" i="18"/>
  <c r="C4" i="18"/>
  <c r="B4" i="18"/>
  <c r="C2" i="18"/>
  <c r="C17" i="18" l="1"/>
  <c r="C223" i="17"/>
  <c r="C222" i="17"/>
  <c r="C221" i="17"/>
  <c r="C220" i="17"/>
  <c r="C219" i="17"/>
  <c r="C218" i="17"/>
  <c r="C217" i="17"/>
  <c r="C216" i="17"/>
  <c r="C215" i="17"/>
  <c r="C214" i="17"/>
  <c r="C213" i="17"/>
  <c r="C212" i="17"/>
  <c r="C211" i="17"/>
  <c r="C210" i="17"/>
  <c r="C209" i="17"/>
  <c r="C208" i="17"/>
  <c r="C207" i="17"/>
  <c r="C206" i="17"/>
  <c r="C205" i="17"/>
  <c r="C204" i="17"/>
  <c r="C203" i="17"/>
  <c r="C202" i="17"/>
  <c r="C201" i="17"/>
  <c r="C200" i="17"/>
  <c r="C199" i="17"/>
  <c r="C198" i="17"/>
  <c r="C197" i="17"/>
  <c r="C196" i="17"/>
  <c r="C195" i="17"/>
  <c r="C194" i="17"/>
  <c r="C193" i="17"/>
  <c r="C192" i="17"/>
  <c r="C191" i="17"/>
  <c r="C190" i="17"/>
  <c r="C189" i="17"/>
  <c r="C188" i="17"/>
  <c r="C187" i="17"/>
  <c r="C186" i="17"/>
  <c r="C185" i="17"/>
  <c r="C184" i="17"/>
  <c r="C183" i="17"/>
  <c r="C182" i="17"/>
  <c r="C181" i="17"/>
  <c r="C180" i="17"/>
  <c r="C179" i="17"/>
  <c r="C178" i="17"/>
  <c r="C177" i="17"/>
  <c r="C176" i="17"/>
  <c r="C175" i="17"/>
  <c r="C174" i="17"/>
  <c r="C173" i="17"/>
  <c r="C172" i="17"/>
  <c r="C171" i="17"/>
  <c r="C170" i="17"/>
  <c r="C169" i="17"/>
  <c r="C168" i="17"/>
  <c r="C167" i="17"/>
  <c r="C166" i="17"/>
  <c r="C165" i="17"/>
  <c r="C164" i="17"/>
  <c r="C163" i="17"/>
  <c r="C162" i="17"/>
  <c r="C161" i="17"/>
  <c r="C160" i="17"/>
  <c r="C159" i="17"/>
  <c r="C158" i="17"/>
  <c r="C157" i="17"/>
  <c r="C156" i="17"/>
  <c r="C155" i="17"/>
  <c r="C154" i="17"/>
  <c r="C153" i="17"/>
  <c r="C152" i="17"/>
  <c r="C151" i="17"/>
  <c r="C150" i="17"/>
  <c r="C149" i="17"/>
  <c r="C148" i="17"/>
  <c r="C147" i="17"/>
  <c r="C146" i="17"/>
  <c r="C145" i="17"/>
  <c r="C144" i="17"/>
  <c r="B144" i="17"/>
  <c r="B145" i="17" s="1"/>
  <c r="B146" i="17" s="1"/>
  <c r="B147" i="17" s="1"/>
  <c r="B148" i="17" s="1"/>
  <c r="B149" i="17" s="1"/>
  <c r="B150" i="17" s="1"/>
  <c r="B151" i="17" s="1"/>
  <c r="B152" i="17" s="1"/>
  <c r="B153" i="17" s="1"/>
  <c r="B154" i="17" s="1"/>
  <c r="B155" i="17" s="1"/>
  <c r="B156" i="17" s="1"/>
  <c r="B157" i="17" s="1"/>
  <c r="B158" i="17" s="1"/>
  <c r="B159" i="17" s="1"/>
  <c r="B160" i="17" s="1"/>
  <c r="B161" i="17" s="1"/>
  <c r="B162" i="17" s="1"/>
  <c r="B163" i="17" s="1"/>
  <c r="B164" i="17" s="1"/>
  <c r="B165" i="17" s="1"/>
  <c r="B166" i="17" s="1"/>
  <c r="B167" i="17" s="1"/>
  <c r="B168" i="17" s="1"/>
  <c r="B169" i="17" s="1"/>
  <c r="B170" i="17" s="1"/>
  <c r="B171" i="17" s="1"/>
  <c r="B172" i="17" s="1"/>
  <c r="B173" i="17" s="1"/>
  <c r="B174" i="17" s="1"/>
  <c r="B175" i="17" s="1"/>
  <c r="B176" i="17" s="1"/>
  <c r="B177" i="17" s="1"/>
  <c r="B178" i="17" s="1"/>
  <c r="B179" i="17" s="1"/>
  <c r="B180" i="17" s="1"/>
  <c r="B181" i="17" s="1"/>
  <c r="B182" i="17" s="1"/>
  <c r="B183" i="17" s="1"/>
  <c r="B184" i="17" s="1"/>
  <c r="B185" i="17" s="1"/>
  <c r="B186" i="17" s="1"/>
  <c r="B187" i="17" s="1"/>
  <c r="B188" i="17" s="1"/>
  <c r="B189" i="17" s="1"/>
  <c r="B190" i="17" s="1"/>
  <c r="B191" i="17" s="1"/>
  <c r="B192" i="17" s="1"/>
  <c r="B193" i="17" s="1"/>
  <c r="B194" i="17" s="1"/>
  <c r="B195" i="17" s="1"/>
  <c r="B196" i="17" s="1"/>
  <c r="B197" i="17" s="1"/>
  <c r="B198" i="17" s="1"/>
  <c r="B199" i="17" s="1"/>
  <c r="B200" i="17" s="1"/>
  <c r="B201" i="17" s="1"/>
  <c r="B202" i="17" s="1"/>
  <c r="B203" i="17" s="1"/>
  <c r="B204" i="17" s="1"/>
  <c r="B205" i="17" s="1"/>
  <c r="B206" i="17" s="1"/>
  <c r="B207" i="17" s="1"/>
  <c r="B208" i="17" s="1"/>
  <c r="B209" i="17" s="1"/>
  <c r="B210" i="17" s="1"/>
  <c r="B211" i="17" s="1"/>
  <c r="B212" i="17" s="1"/>
  <c r="B213" i="17" s="1"/>
  <c r="B214" i="17" s="1"/>
  <c r="B215" i="17" s="1"/>
  <c r="B216" i="17" s="1"/>
  <c r="B217" i="17" s="1"/>
  <c r="B218" i="17" s="1"/>
  <c r="B219" i="17" s="1"/>
  <c r="B220" i="17" s="1"/>
  <c r="B221" i="17" s="1"/>
  <c r="B222" i="17" s="1"/>
  <c r="B223" i="17" s="1"/>
  <c r="C143" i="17"/>
  <c r="C140" i="17"/>
  <c r="C138" i="17"/>
  <c r="C137" i="17"/>
  <c r="C136" i="17"/>
  <c r="C135" i="17"/>
  <c r="C125" i="17"/>
  <c r="C122" i="17"/>
  <c r="C121" i="17"/>
  <c r="C120" i="17"/>
  <c r="C119" i="17"/>
  <c r="C118" i="17"/>
  <c r="C117" i="17"/>
  <c r="C116" i="17"/>
  <c r="C115" i="17"/>
  <c r="C114" i="17"/>
  <c r="C113" i="17"/>
  <c r="C112" i="17"/>
  <c r="C111" i="17"/>
  <c r="C110" i="17"/>
  <c r="C109" i="17"/>
  <c r="C108" i="17"/>
  <c r="C107" i="17"/>
  <c r="C106" i="17"/>
  <c r="C105" i="17"/>
  <c r="C104" i="17"/>
  <c r="C103" i="17"/>
  <c r="C102" i="17"/>
  <c r="C101" i="17"/>
  <c r="C100" i="17"/>
  <c r="C99" i="17"/>
  <c r="C98" i="17"/>
  <c r="C97" i="17"/>
  <c r="C96" i="17"/>
  <c r="C93" i="17"/>
  <c r="C92" i="17"/>
  <c r="C91" i="17"/>
  <c r="C90" i="17"/>
  <c r="C89" i="17"/>
  <c r="C88" i="17"/>
  <c r="C87" i="17"/>
  <c r="C86" i="17"/>
  <c r="C85" i="17"/>
  <c r="C82" i="17"/>
  <c r="C81" i="17"/>
  <c r="C80" i="17"/>
  <c r="C79" i="17"/>
  <c r="C78" i="17"/>
  <c r="C77" i="17"/>
  <c r="C76" i="17"/>
  <c r="C75" i="17"/>
  <c r="C74" i="17"/>
  <c r="C73" i="17"/>
  <c r="C72" i="17"/>
  <c r="C71" i="17"/>
  <c r="C70" i="17"/>
  <c r="C69" i="17"/>
  <c r="C68" i="17"/>
  <c r="C67" i="17"/>
  <c r="C66" i="17"/>
  <c r="C65" i="17"/>
  <c r="C64" i="17"/>
  <c r="C63" i="17"/>
  <c r="C62" i="17"/>
  <c r="C61" i="17"/>
  <c r="C60" i="17"/>
  <c r="C59" i="17"/>
  <c r="C58" i="17"/>
  <c r="C57" i="17"/>
  <c r="C56" i="17"/>
  <c r="C55" i="17"/>
  <c r="C54" i="17"/>
  <c r="C53" i="17"/>
  <c r="C52" i="17"/>
  <c r="C51" i="17"/>
  <c r="C50" i="17"/>
  <c r="C49" i="17"/>
  <c r="C48" i="17"/>
  <c r="C47" i="17"/>
  <c r="C46" i="17"/>
  <c r="C45" i="17"/>
  <c r="C44" i="17"/>
  <c r="C43" i="17"/>
  <c r="C42" i="17"/>
  <c r="C41" i="17"/>
  <c r="C38" i="17"/>
  <c r="C37" i="17"/>
  <c r="C36" i="17"/>
  <c r="C35" i="17"/>
  <c r="C34" i="17"/>
  <c r="C33" i="17"/>
  <c r="C32" i="17"/>
  <c r="C31" i="17"/>
  <c r="C30" i="17"/>
  <c r="C29" i="17"/>
  <c r="C28" i="17"/>
  <c r="C23" i="17"/>
  <c r="C22" i="17"/>
  <c r="C21" i="17"/>
  <c r="C20" i="17"/>
  <c r="C19" i="17"/>
  <c r="C18" i="17"/>
  <c r="C13" i="17"/>
  <c r="B13" i="17"/>
  <c r="C12" i="17"/>
  <c r="B12" i="17"/>
  <c r="C11" i="17"/>
  <c r="B11" i="17"/>
  <c r="C10" i="17"/>
  <c r="B10" i="17"/>
  <c r="C9" i="17"/>
  <c r="B9" i="17"/>
  <c r="C8" i="17"/>
  <c r="B8" i="17"/>
  <c r="C7" i="17"/>
  <c r="B7" i="17"/>
  <c r="C6" i="17"/>
  <c r="B6" i="17"/>
  <c r="C5" i="17"/>
  <c r="B5" i="17"/>
  <c r="C4" i="17"/>
  <c r="B4" i="17"/>
  <c r="C2" i="17"/>
  <c r="C17" i="17" l="1"/>
  <c r="C223" i="16"/>
  <c r="C222" i="16"/>
  <c r="C221" i="16"/>
  <c r="C220" i="16"/>
  <c r="C219" i="16"/>
  <c r="C218" i="16"/>
  <c r="C217" i="16"/>
  <c r="C216" i="16"/>
  <c r="C215" i="16"/>
  <c r="C214" i="16"/>
  <c r="C213" i="16"/>
  <c r="C212" i="16"/>
  <c r="C211" i="16"/>
  <c r="C210" i="16"/>
  <c r="C209" i="16"/>
  <c r="C208" i="16"/>
  <c r="C207" i="16"/>
  <c r="C206" i="16"/>
  <c r="C205" i="16"/>
  <c r="C204" i="16"/>
  <c r="C203" i="16"/>
  <c r="C202" i="16"/>
  <c r="C201" i="16"/>
  <c r="C200" i="16"/>
  <c r="C199" i="16"/>
  <c r="C198" i="16"/>
  <c r="C197" i="16"/>
  <c r="C196" i="16"/>
  <c r="C195" i="16"/>
  <c r="C194" i="16"/>
  <c r="C193" i="16"/>
  <c r="C192" i="16"/>
  <c r="C191" i="16"/>
  <c r="C190" i="16"/>
  <c r="C189" i="16"/>
  <c r="C188" i="16"/>
  <c r="C187" i="16"/>
  <c r="C186" i="16"/>
  <c r="C185" i="16"/>
  <c r="C184" i="16"/>
  <c r="C183" i="16"/>
  <c r="C182" i="16"/>
  <c r="C181" i="16"/>
  <c r="C180" i="16"/>
  <c r="C179" i="16"/>
  <c r="C178" i="16"/>
  <c r="C177" i="16"/>
  <c r="C176" i="16"/>
  <c r="C175" i="16"/>
  <c r="C174" i="16"/>
  <c r="C173" i="16"/>
  <c r="C172" i="16"/>
  <c r="C171" i="16"/>
  <c r="C170" i="16"/>
  <c r="C169" i="16"/>
  <c r="C168" i="16"/>
  <c r="C167" i="16"/>
  <c r="C166" i="16"/>
  <c r="C165" i="16"/>
  <c r="C164" i="16"/>
  <c r="C163" i="16"/>
  <c r="C162" i="16"/>
  <c r="C161" i="16"/>
  <c r="C160" i="16"/>
  <c r="C159" i="16"/>
  <c r="C158" i="16"/>
  <c r="C157" i="16"/>
  <c r="C156" i="16"/>
  <c r="C155" i="16"/>
  <c r="C154" i="16"/>
  <c r="C153" i="16"/>
  <c r="C152" i="16"/>
  <c r="C151" i="16"/>
  <c r="C150" i="16"/>
  <c r="C149" i="16"/>
  <c r="C148" i="16"/>
  <c r="C147" i="16"/>
  <c r="C146" i="16"/>
  <c r="C145" i="16"/>
  <c r="C144" i="16"/>
  <c r="B144" i="16"/>
  <c r="B145" i="16" s="1"/>
  <c r="B146" i="16" s="1"/>
  <c r="B147" i="16" s="1"/>
  <c r="B148" i="16" s="1"/>
  <c r="B149" i="16" s="1"/>
  <c r="B150" i="16" s="1"/>
  <c r="B151" i="16" s="1"/>
  <c r="B152" i="16" s="1"/>
  <c r="B153" i="16" s="1"/>
  <c r="B154" i="16" s="1"/>
  <c r="B155" i="16" s="1"/>
  <c r="B156" i="16" s="1"/>
  <c r="B157" i="16" s="1"/>
  <c r="B158" i="16" s="1"/>
  <c r="B159" i="16" s="1"/>
  <c r="B160" i="16" s="1"/>
  <c r="B161" i="16" s="1"/>
  <c r="B162" i="16" s="1"/>
  <c r="B163" i="16" s="1"/>
  <c r="B164" i="16" s="1"/>
  <c r="B165" i="16" s="1"/>
  <c r="B166" i="16" s="1"/>
  <c r="B167" i="16" s="1"/>
  <c r="B168" i="16" s="1"/>
  <c r="B169" i="16" s="1"/>
  <c r="B170" i="16" s="1"/>
  <c r="B171" i="16" s="1"/>
  <c r="B172" i="16" s="1"/>
  <c r="B173" i="16" s="1"/>
  <c r="B174" i="16" s="1"/>
  <c r="B175" i="16" s="1"/>
  <c r="B176" i="16" s="1"/>
  <c r="B177" i="16" s="1"/>
  <c r="B178" i="16" s="1"/>
  <c r="B179" i="16" s="1"/>
  <c r="B180" i="16" s="1"/>
  <c r="B181" i="16" s="1"/>
  <c r="B182" i="16" s="1"/>
  <c r="B183" i="16" s="1"/>
  <c r="B184" i="16" s="1"/>
  <c r="B185" i="16" s="1"/>
  <c r="B186" i="16" s="1"/>
  <c r="B187" i="16" s="1"/>
  <c r="B188" i="16" s="1"/>
  <c r="B189" i="16" s="1"/>
  <c r="B190" i="16" s="1"/>
  <c r="B191" i="16" s="1"/>
  <c r="B192" i="16" s="1"/>
  <c r="B193" i="16" s="1"/>
  <c r="B194" i="16" s="1"/>
  <c r="B195" i="16" s="1"/>
  <c r="B196" i="16" s="1"/>
  <c r="B197" i="16" s="1"/>
  <c r="B198" i="16" s="1"/>
  <c r="B199" i="16" s="1"/>
  <c r="B200" i="16" s="1"/>
  <c r="B201" i="16" s="1"/>
  <c r="B202" i="16" s="1"/>
  <c r="B203" i="16" s="1"/>
  <c r="B204" i="16" s="1"/>
  <c r="B205" i="16" s="1"/>
  <c r="B206" i="16" s="1"/>
  <c r="B207" i="16" s="1"/>
  <c r="B208" i="16" s="1"/>
  <c r="B209" i="16" s="1"/>
  <c r="B210" i="16" s="1"/>
  <c r="B211" i="16" s="1"/>
  <c r="B212" i="16" s="1"/>
  <c r="B213" i="16" s="1"/>
  <c r="B214" i="16" s="1"/>
  <c r="B215" i="16" s="1"/>
  <c r="B216" i="16" s="1"/>
  <c r="B217" i="16" s="1"/>
  <c r="B218" i="16" s="1"/>
  <c r="B219" i="16" s="1"/>
  <c r="B220" i="16" s="1"/>
  <c r="B221" i="16" s="1"/>
  <c r="B222" i="16" s="1"/>
  <c r="B223" i="16" s="1"/>
  <c r="C143" i="16"/>
  <c r="C140" i="16"/>
  <c r="C138" i="16"/>
  <c r="C137" i="16"/>
  <c r="C136" i="16"/>
  <c r="C135" i="16"/>
  <c r="C125" i="16"/>
  <c r="C122" i="16"/>
  <c r="C121" i="16"/>
  <c r="C120" i="16"/>
  <c r="C119" i="16"/>
  <c r="C118" i="16"/>
  <c r="C117" i="16"/>
  <c r="C116" i="16"/>
  <c r="C115" i="16"/>
  <c r="C114" i="16"/>
  <c r="C113" i="16"/>
  <c r="C112" i="16"/>
  <c r="C111" i="16"/>
  <c r="C110" i="16"/>
  <c r="C109" i="16"/>
  <c r="C108" i="16"/>
  <c r="C107" i="16"/>
  <c r="C106" i="16"/>
  <c r="C105" i="16"/>
  <c r="C104" i="16"/>
  <c r="C103" i="16"/>
  <c r="C102" i="16"/>
  <c r="C101" i="16"/>
  <c r="C100" i="16"/>
  <c r="C99" i="16"/>
  <c r="C98" i="16"/>
  <c r="C97" i="16"/>
  <c r="C96" i="16"/>
  <c r="C93" i="16"/>
  <c r="C92" i="16"/>
  <c r="C91" i="16"/>
  <c r="C90" i="16"/>
  <c r="C89" i="16"/>
  <c r="C88" i="16"/>
  <c r="C87" i="16"/>
  <c r="C86" i="16"/>
  <c r="C85" i="16"/>
  <c r="C82" i="16"/>
  <c r="C81" i="16"/>
  <c r="C80" i="16"/>
  <c r="C79" i="16"/>
  <c r="C78" i="16"/>
  <c r="C77" i="16"/>
  <c r="C76" i="16"/>
  <c r="C75" i="16"/>
  <c r="C74" i="16"/>
  <c r="C73" i="16"/>
  <c r="C72" i="16"/>
  <c r="C71" i="16"/>
  <c r="C70" i="16"/>
  <c r="C69" i="16"/>
  <c r="C68" i="16"/>
  <c r="C67" i="16"/>
  <c r="C66" i="16"/>
  <c r="C65" i="16"/>
  <c r="C64" i="16"/>
  <c r="C63" i="16"/>
  <c r="C62" i="16"/>
  <c r="C61" i="16"/>
  <c r="C60" i="16"/>
  <c r="C59" i="16"/>
  <c r="C58" i="16"/>
  <c r="C57" i="16"/>
  <c r="C56" i="16"/>
  <c r="C55" i="16"/>
  <c r="C54" i="16"/>
  <c r="C53" i="16"/>
  <c r="C52" i="16"/>
  <c r="C51" i="16"/>
  <c r="C50" i="16"/>
  <c r="C49" i="16"/>
  <c r="C48" i="16"/>
  <c r="C47" i="16"/>
  <c r="C46" i="16"/>
  <c r="C45" i="16"/>
  <c r="C44" i="16"/>
  <c r="C43" i="16"/>
  <c r="C42" i="16"/>
  <c r="C41" i="16"/>
  <c r="C38" i="16"/>
  <c r="C37" i="16"/>
  <c r="C36" i="16"/>
  <c r="C35" i="16"/>
  <c r="C34" i="16"/>
  <c r="C33" i="16"/>
  <c r="C32" i="16"/>
  <c r="C31" i="16"/>
  <c r="C30" i="16"/>
  <c r="C29" i="16"/>
  <c r="C28" i="16"/>
  <c r="C23" i="16"/>
  <c r="C22" i="16"/>
  <c r="C21" i="16"/>
  <c r="C20" i="16"/>
  <c r="C19" i="16"/>
  <c r="C18" i="16"/>
  <c r="C13" i="16"/>
  <c r="B13" i="16"/>
  <c r="C12" i="16"/>
  <c r="B12" i="16"/>
  <c r="C11" i="16"/>
  <c r="B11" i="16"/>
  <c r="C10" i="16"/>
  <c r="B10" i="16"/>
  <c r="C9" i="16"/>
  <c r="B9" i="16"/>
  <c r="C8" i="16"/>
  <c r="B8" i="16"/>
  <c r="C7" i="16"/>
  <c r="B7" i="16"/>
  <c r="C6" i="16"/>
  <c r="B6" i="16"/>
  <c r="C5" i="16"/>
  <c r="B5" i="16"/>
  <c r="C4" i="16"/>
  <c r="B4" i="16"/>
  <c r="C2" i="16"/>
  <c r="C17" i="16" l="1"/>
</calcChain>
</file>

<file path=xl/sharedStrings.xml><?xml version="1.0" encoding="utf-8"?>
<sst xmlns="http://schemas.openxmlformats.org/spreadsheetml/2006/main" count="2890" uniqueCount="259">
  <si>
    <t>Год</t>
  </si>
  <si>
    <t>Предельный уровень цены на тепловую энергию (мощность), рассчитанный в соответствии с частью 1 статьи 23.6 Федерального закона от 27.07.2010 № 190-ФЗ "О теплоснабжении" и Постановлением № 1562, а также сведения о параметрах, использованных при расчете</t>
  </si>
  <si>
    <t>Дата:</t>
  </si>
  <si>
    <t>Информация о системе теплоснабжения, в отношении которой выполняется расчет:</t>
  </si>
  <si>
    <t>Предельный уровень цены на тепловую энергию (мощность) и его составляющие, обеспечивающие компенсацию расходов:</t>
  </si>
  <si>
    <t>№пп</t>
  </si>
  <si>
    <t>Наименование</t>
  </si>
  <si>
    <t>Значения</t>
  </si>
  <si>
    <t>Уровень цены на тепловую энергию (мощность) без НДС, руб./Гкал</t>
  </si>
  <si>
    <t>1.1</t>
  </si>
  <si>
    <r>
      <t>Составляющая предельного уровня цены на тепловую энергию (мощность), обеспечивающая компенсацию расходов на топливо при производстве тепловой энергии котельной в i-м расчетном периоде регулирования, руб./Гкал (</t>
    </r>
    <r>
      <rPr>
        <b/>
        <sz val="11"/>
        <color theme="1"/>
        <rFont val="Tahoma"/>
        <family val="2"/>
        <charset val="204"/>
      </rPr>
      <t>РТ</t>
    </r>
    <r>
      <rPr>
        <b/>
        <vertAlign val="subscript"/>
        <sz val="11"/>
        <color theme="1"/>
        <rFont val="Tahoma"/>
        <family val="2"/>
        <charset val="204"/>
      </rPr>
      <t>i</t>
    </r>
    <r>
      <rPr>
        <sz val="10"/>
        <color theme="1"/>
        <rFont val="Tahoma"/>
        <family val="2"/>
        <charset val="204"/>
      </rPr>
      <t>)</t>
    </r>
  </si>
  <si>
    <t>1.2</t>
  </si>
  <si>
    <r>
      <t>Составляющая предельного уровня цены на тепловую энергию (мощность), обеспечивающая возврат капитальных затрат на строительство котельной и тепловых сетей в i-м расчетном периоде регулирования, руб./Гкал (</t>
    </r>
    <r>
      <rPr>
        <b/>
        <sz val="11"/>
        <color theme="1"/>
        <rFont val="Tahoma"/>
        <family val="2"/>
        <charset val="204"/>
      </rPr>
      <t>КР</t>
    </r>
    <r>
      <rPr>
        <b/>
        <vertAlign val="subscript"/>
        <sz val="11"/>
        <color theme="1"/>
        <rFont val="Tahoma"/>
        <family val="2"/>
        <charset val="204"/>
      </rPr>
      <t>i</t>
    </r>
    <r>
      <rPr>
        <sz val="10"/>
        <color theme="1"/>
        <rFont val="Tahoma"/>
        <family val="2"/>
        <charset val="204"/>
      </rPr>
      <t>)</t>
    </r>
  </si>
  <si>
    <t>1.3</t>
  </si>
  <si>
    <r>
      <t>Составляющая предельного уровня цены на тепловую энергию (мощность), обеспечивающая компенсацию расходов на уплату налогов в i-м расчетном периоде регулирования (</t>
    </r>
    <r>
      <rPr>
        <b/>
        <sz val="11"/>
        <color theme="1"/>
        <rFont val="Tahoma"/>
        <family val="2"/>
        <charset val="204"/>
      </rPr>
      <t>Н</t>
    </r>
    <r>
      <rPr>
        <b/>
        <vertAlign val="subscript"/>
        <sz val="11"/>
        <color theme="1"/>
        <rFont val="Tahoma"/>
        <family val="2"/>
        <charset val="204"/>
      </rPr>
      <t>i</t>
    </r>
    <r>
      <rPr>
        <sz val="10"/>
        <color theme="1"/>
        <rFont val="Tahoma"/>
        <family val="2"/>
        <charset val="204"/>
      </rPr>
      <t>)</t>
    </r>
  </si>
  <si>
    <t>1.4</t>
  </si>
  <si>
    <r>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t>
    </r>
    <r>
      <rPr>
        <b/>
        <sz val="11"/>
        <color theme="1"/>
        <rFont val="Tahoma"/>
        <family val="2"/>
        <charset val="204"/>
      </rPr>
      <t>ПР</t>
    </r>
    <r>
      <rPr>
        <b/>
        <vertAlign val="subscript"/>
        <sz val="11"/>
        <color theme="1"/>
        <rFont val="Tahoma"/>
        <family val="2"/>
        <charset val="204"/>
      </rPr>
      <t>i</t>
    </r>
    <r>
      <rPr>
        <sz val="10"/>
        <color theme="1"/>
        <rFont val="Tahoma"/>
        <family val="2"/>
        <charset val="204"/>
      </rPr>
      <t>)</t>
    </r>
  </si>
  <si>
    <t>1.5</t>
  </si>
  <si>
    <r>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t>
    </r>
    <r>
      <rPr>
        <b/>
        <sz val="11"/>
        <color theme="1"/>
        <rFont val="Tahoma"/>
        <family val="2"/>
        <charset val="204"/>
      </rPr>
      <t>РД</t>
    </r>
    <r>
      <rPr>
        <b/>
        <vertAlign val="subscript"/>
        <sz val="11"/>
        <color theme="1"/>
        <rFont val="Tahoma"/>
        <family val="2"/>
        <charset val="204"/>
      </rPr>
      <t>i</t>
    </r>
    <r>
      <rPr>
        <sz val="10"/>
        <color theme="1"/>
        <rFont val="Tahoma"/>
        <family val="2"/>
        <charset val="204"/>
      </rPr>
      <t>)</t>
    </r>
  </si>
  <si>
    <t>1.6</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</si>
  <si>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t>
    </r>
    <r>
      <rPr>
        <sz val="10"/>
        <color theme="1"/>
        <rFont val="Tahoma"/>
        <family val="2"/>
        <charset val="204"/>
      </rPr>
      <t>(</t>
    </r>
    <r>
      <rPr>
        <b/>
        <sz val="11"/>
        <color theme="1"/>
        <rFont val="Calibri"/>
        <family val="2"/>
        <charset val="204"/>
      </rPr>
      <t>Δ</t>
    </r>
    <r>
      <rPr>
        <b/>
        <sz val="11"/>
        <color theme="1"/>
        <rFont val="Tahoma"/>
        <family val="2"/>
        <charset val="204"/>
      </rPr>
      <t>B</t>
    </r>
    <r>
      <rPr>
        <b/>
        <vertAlign val="subscript"/>
        <sz val="11"/>
        <color theme="1"/>
        <rFont val="Tahoma"/>
        <family val="2"/>
        <charset val="204"/>
      </rPr>
      <t>i</t>
    </r>
    <r>
      <rPr>
        <sz val="10"/>
        <color theme="1"/>
        <rFont val="Tahoma"/>
        <family val="2"/>
        <charset val="204"/>
      </rPr>
      <t>)</t>
    </r>
  </si>
  <si>
    <t>Параметры, использованные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i-м расчетном периоде регулирования</t>
  </si>
  <si>
    <t>Низшая теплота сгорания натурального топлива (угля), ккал/кг</t>
  </si>
  <si>
    <r>
      <t>Фактическая цена на топливо (уголь),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 / т н.т.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</si>
  <si>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r>
      <t>Прогнозный индекс роста цены на топливо в (i-1)-м расчетном периоде регулирования, % (</t>
    </r>
    <r>
      <rPr>
        <b/>
        <sz val="11"/>
        <color theme="1"/>
        <rFont val="Tahoma"/>
        <family val="2"/>
        <charset val="204"/>
      </rPr>
      <t>I</t>
    </r>
    <r>
      <rPr>
        <b/>
        <vertAlign val="subscript"/>
        <sz val="11"/>
        <color theme="1"/>
        <rFont val="Tahoma"/>
        <family val="2"/>
        <charset val="204"/>
      </rPr>
      <t>i-1,k</t>
    </r>
    <r>
      <rPr>
        <b/>
        <vertAlign val="superscript"/>
        <sz val="11"/>
        <color theme="1"/>
        <rFont val="Tahoma"/>
        <family val="2"/>
        <charset val="204"/>
      </rPr>
      <t>П</t>
    </r>
    <r>
      <rPr>
        <sz val="10"/>
        <color theme="1"/>
        <rFont val="Tahoma"/>
        <family val="2"/>
        <charset val="204"/>
      </rPr>
      <t>)</t>
    </r>
  </si>
  <si>
    <r>
      <t>Прогнозный индекс роста цены на топливо в i-м расчетном периоде регулирования, % (</t>
    </r>
    <r>
      <rPr>
        <b/>
        <sz val="11"/>
        <color theme="1"/>
        <rFont val="Tahoma"/>
        <family val="2"/>
        <charset val="204"/>
      </rPr>
      <t>I</t>
    </r>
    <r>
      <rPr>
        <b/>
        <vertAlign val="subscript"/>
        <sz val="11"/>
        <color theme="1"/>
        <rFont val="Tahoma"/>
        <family val="2"/>
        <charset val="204"/>
      </rPr>
      <t>i,k</t>
    </r>
    <r>
      <rPr>
        <b/>
        <vertAlign val="superscript"/>
        <sz val="11"/>
        <color theme="1"/>
        <rFont val="Tahoma"/>
        <family val="2"/>
        <charset val="204"/>
      </rPr>
      <t>П</t>
    </r>
    <r>
      <rPr>
        <sz val="10"/>
        <color theme="1"/>
        <rFont val="Tahoma"/>
        <family val="2"/>
        <charset val="204"/>
      </rPr>
      <t>)</t>
    </r>
  </si>
  <si>
    <r>
      <t>Удельный расход условного топлива при производстве тепловой энергии котельной с использованием угля в i-м расчетном периоде регулирования, кг у.т./Гкал (</t>
    </r>
    <r>
      <rPr>
        <b/>
        <i/>
        <sz val="11"/>
        <color theme="1"/>
        <rFont val="Tahoma"/>
        <family val="2"/>
        <charset val="204"/>
      </rPr>
      <t>b</t>
    </r>
    <r>
      <rPr>
        <b/>
        <i/>
        <vertAlign val="subscript"/>
        <sz val="11"/>
        <color theme="1"/>
        <rFont val="Tahoma"/>
        <family val="2"/>
        <charset val="204"/>
      </rPr>
      <t>i,k</t>
    </r>
    <r>
      <rPr>
        <i/>
        <sz val="10"/>
        <color theme="1"/>
        <rFont val="Tahoma"/>
        <family val="2"/>
        <charset val="204"/>
      </rPr>
      <t>)</t>
    </r>
  </si>
  <si>
    <t>Низшая теплота сгорания 1 кг условного топлива</t>
  </si>
  <si>
    <t>1.7</t>
  </si>
  <si>
    <r>
      <t>Коэффициент перевода натурального топлива в условное топливо, кг у.т./кг (</t>
    </r>
    <r>
      <rPr>
        <b/>
        <sz val="11"/>
        <color theme="1"/>
        <rFont val="Tahoma"/>
        <family val="2"/>
        <charset val="204"/>
      </rPr>
      <t>К</t>
    </r>
    <r>
      <rPr>
        <sz val="10"/>
        <color theme="1"/>
        <rFont val="Tahoma"/>
        <family val="2"/>
        <charset val="204"/>
      </rPr>
      <t>)</t>
    </r>
  </si>
  <si>
    <t>1.8</t>
  </si>
  <si>
    <r>
      <t>Объем отпуска тепловой энергии с коллекторов котельной (</t>
    </r>
    <r>
      <rPr>
        <b/>
        <sz val="11"/>
        <rFont val="Tahoma"/>
        <family val="2"/>
        <charset val="204"/>
      </rPr>
      <t>Q</t>
    </r>
    <r>
      <rPr>
        <b/>
        <vertAlign val="superscript"/>
        <sz val="11"/>
        <rFont val="Tahoma"/>
        <family val="2"/>
        <charset val="204"/>
      </rPr>
      <t>ОТП</t>
    </r>
    <r>
      <rPr>
        <sz val="10"/>
        <rFont val="Tahoma"/>
        <family val="2"/>
        <charset val="204"/>
      </rPr>
      <t>)</t>
    </r>
  </si>
  <si>
    <t>1.8.1</t>
  </si>
  <si>
    <r>
      <t>Объем полезного отпуска тепловой энергии котельной (</t>
    </r>
    <r>
      <rPr>
        <b/>
        <sz val="11"/>
        <color theme="1"/>
        <rFont val="Tahoma"/>
        <family val="2"/>
        <charset val="204"/>
      </rPr>
      <t>Q</t>
    </r>
    <r>
      <rPr>
        <b/>
        <vertAlign val="superscript"/>
        <sz val="11"/>
        <color theme="1"/>
        <rFont val="Tahoma"/>
        <family val="2"/>
        <charset val="204"/>
      </rPr>
      <t>ПО</t>
    </r>
    <r>
      <rPr>
        <sz val="10"/>
        <color theme="1"/>
        <rFont val="Tahoma"/>
        <family val="2"/>
        <charset val="204"/>
      </rPr>
      <t>)</t>
    </r>
  </si>
  <si>
    <t>1.8.2</t>
  </si>
  <si>
    <r>
      <t>Коэффициент учета потерь тепловой энергии в тепловых сетях(</t>
    </r>
    <r>
      <rPr>
        <b/>
        <i/>
        <sz val="10"/>
        <color theme="1"/>
        <rFont val="Tahoma"/>
        <family val="2"/>
        <charset val="204"/>
      </rPr>
      <t>К</t>
    </r>
    <r>
      <rPr>
        <b/>
        <i/>
        <vertAlign val="superscript"/>
        <sz val="10"/>
        <color theme="1"/>
        <rFont val="Tahoma"/>
        <family val="2"/>
        <charset val="204"/>
      </rPr>
      <t>П</t>
    </r>
    <r>
      <rPr>
        <i/>
        <sz val="10"/>
        <color theme="1"/>
        <rFont val="Tahoma"/>
        <family val="2"/>
        <charset val="204"/>
      </rPr>
      <t>)</t>
    </r>
  </si>
  <si>
    <t>1.9</t>
  </si>
  <si>
    <r>
      <t>Коэффициент учета стоимости транспортных услуг, оказываемых на подъездных железнодорожных путях организациями промышленного железнодорожного транспорта и другими хозяйствующими субъектами независимо от организационно-правовой формы, за исключением организаций федерального железнодорожного транспорта (</t>
    </r>
    <r>
      <rPr>
        <b/>
        <i/>
        <sz val="10"/>
        <color theme="1"/>
        <rFont val="Tahoma"/>
        <family val="2"/>
        <charset val="204"/>
      </rPr>
      <t>К</t>
    </r>
    <r>
      <rPr>
        <b/>
        <i/>
        <vertAlign val="superscript"/>
        <sz val="10"/>
        <color theme="1"/>
        <rFont val="Tahoma"/>
        <family val="2"/>
        <charset val="204"/>
      </rPr>
      <t>ппжт</t>
    </r>
    <r>
      <rPr>
        <i/>
        <sz val="10"/>
        <color theme="1"/>
        <rFont val="Tahoma"/>
        <family val="2"/>
        <charset val="204"/>
      </rPr>
      <t xml:space="preserve">) </t>
    </r>
  </si>
  <si>
    <t>2</t>
  </si>
  <si>
    <t>Параметры, использованные при расчете составляющей предельного уровня цены на тепловую энергию (мощность), обеспечивающей возврат капитальных затрат на строительство котельной и тепловых сетей в i-м расчетном периоде регулирования</t>
  </si>
  <si>
    <t>2.1</t>
  </si>
  <si>
    <t>Температурная зона, к которой относится поселение или городской округ, на территории которого находится система теплоснабжения</t>
  </si>
  <si>
    <t>2.2</t>
  </si>
  <si>
    <t>Степень сейсмической опасности сейсмического района, к которому относится поселение или городской округ, на территории которого находится система теплоснабжения</t>
  </si>
  <si>
    <t>2.3</t>
  </si>
  <si>
    <t>Расстояние от границы системы теплоснабжения до границы ближайшего административного центра субъекта Российской Федерации с железнодорожным сообщением, км</t>
  </si>
  <si>
    <t>2.4</t>
  </si>
  <si>
    <t>Поселение, городской округ, на территории которого находится система теплоснабжения, отнесено к территории распространения вечномерзлых грунтов?</t>
  </si>
  <si>
    <t>2.5</t>
  </si>
  <si>
    <r>
      <t>Величина капитальных затрат на строительство тепловых сетей в i-м расчетном периоде регулирования, тыс. руб. (</t>
    </r>
    <r>
      <rPr>
        <b/>
        <sz val="11"/>
        <color theme="1"/>
        <rFont val="Tahoma"/>
        <family val="2"/>
        <charset val="204"/>
      </rPr>
      <t>КЗ</t>
    </r>
    <r>
      <rPr>
        <b/>
        <vertAlign val="subscript"/>
        <sz val="11"/>
        <color theme="1"/>
        <rFont val="Tahoma"/>
        <family val="2"/>
        <charset val="204"/>
      </rPr>
      <t>i</t>
    </r>
    <r>
      <rPr>
        <b/>
        <vertAlign val="superscript"/>
        <sz val="11"/>
        <color theme="1"/>
        <rFont val="Tahoma"/>
        <family val="2"/>
        <charset val="204"/>
      </rPr>
      <t>сети</t>
    </r>
    <r>
      <rPr>
        <sz val="10"/>
        <color theme="1"/>
        <rFont val="Tahoma"/>
        <family val="2"/>
        <charset val="204"/>
      </rPr>
      <t>)</t>
    </r>
  </si>
  <si>
    <t>2.5.1</t>
  </si>
  <si>
    <r>
      <t xml:space="preserve">Базовая величина капитальных затрат на строительство тепловых сетей в базовом (2019) году, тыс. руб. </t>
    </r>
    <r>
      <rPr>
        <sz val="11"/>
        <color theme="1"/>
        <rFont val="Tahoma"/>
        <family val="2"/>
        <charset val="204"/>
      </rPr>
      <t>(</t>
    </r>
    <r>
      <rPr>
        <b/>
        <sz val="11"/>
        <color theme="1"/>
        <rFont val="Tahoma"/>
        <family val="2"/>
        <charset val="204"/>
      </rPr>
      <t>КЗ</t>
    </r>
    <r>
      <rPr>
        <b/>
        <vertAlign val="subscript"/>
        <sz val="11"/>
        <color theme="1"/>
        <rFont val="Tahoma"/>
        <family val="2"/>
        <charset val="204"/>
      </rPr>
      <t>б</t>
    </r>
    <r>
      <rPr>
        <b/>
        <vertAlign val="superscript"/>
        <sz val="11"/>
        <color theme="1"/>
        <rFont val="Tahoma"/>
        <family val="2"/>
        <charset val="204"/>
      </rPr>
      <t>сети(б)</t>
    </r>
    <r>
      <rPr>
        <sz val="11"/>
        <color theme="1"/>
        <rFont val="Tahoma"/>
        <family val="2"/>
        <charset val="204"/>
      </rPr>
      <t>)</t>
    </r>
  </si>
  <si>
    <t>2.5.1.1</t>
  </si>
  <si>
    <t>Расчетная температура наружного воздуха, которая соответствует температуре воздуха наиболее холодной пятидневки, в поселении, городском округе,°C</t>
  </si>
  <si>
    <t>2.5.1.2</t>
  </si>
  <si>
    <t>Поселение, городской округ, на территории которого находится система теплоснабжения, отнесено к районам Крайнего Севера или местностям, приравненным к районам Крайнего Севера?</t>
  </si>
  <si>
    <t>2.5.1.3</t>
  </si>
  <si>
    <r>
      <t>Сметная стоимость строительно-монтажных и пусконаладочных работ по объекту строительства "Внешние инженерные сети теплоснабжения", учитывающая прямые затраты, накладные расходы и сметную прибыль, в ценах 2001 года,тыс. рублей (</t>
    </r>
    <r>
      <rPr>
        <b/>
        <i/>
        <sz val="10"/>
        <color indexed="8"/>
        <rFont val="Tahoma"/>
        <family val="2"/>
        <charset val="204"/>
      </rPr>
      <t>Р</t>
    </r>
    <r>
      <rPr>
        <i/>
        <sz val="10"/>
        <color indexed="8"/>
        <rFont val="Tahoma"/>
        <family val="2"/>
        <charset val="204"/>
      </rPr>
      <t>)</t>
    </r>
  </si>
  <si>
    <t>2.5.1.4</t>
  </si>
  <si>
    <r>
      <t>Индекс изменения сметной стоимости строительно-монтажных и пусконаладочных работ по объекту строительства "Внешние инженерные сети теплоснабжения" на базовый год (</t>
    </r>
    <r>
      <rPr>
        <b/>
        <i/>
        <sz val="10"/>
        <color theme="1"/>
        <rFont val="Tahoma"/>
        <family val="2"/>
        <charset val="204"/>
      </rPr>
      <t>И</t>
    </r>
    <r>
      <rPr>
        <i/>
        <sz val="10"/>
        <color theme="1"/>
        <rFont val="Tahoma"/>
        <family val="2"/>
        <charset val="204"/>
      </rPr>
      <t>)</t>
    </r>
  </si>
  <si>
    <t>2.5.1.5</t>
  </si>
  <si>
    <r>
      <t>Коэффициент, применяемый для учета повышенной нормы накладных расходов к индексам изменения сметной стоимости строительно-монтажных и пусконаладочных работ в базовом году в случае отнесения поселения, городского округа к районам Крайнего Севера или местностям, приравненным к районам Крайнего Севера (</t>
    </r>
    <r>
      <rPr>
        <b/>
        <sz val="10"/>
        <color theme="1"/>
        <rFont val="Tahoma"/>
        <family val="2"/>
        <charset val="204"/>
      </rPr>
      <t>К</t>
    </r>
    <r>
      <rPr>
        <b/>
        <vertAlign val="superscript"/>
        <sz val="10"/>
        <color theme="1"/>
        <rFont val="Tahoma"/>
        <family val="2"/>
        <charset val="204"/>
      </rPr>
      <t>кс</t>
    </r>
    <r>
      <rPr>
        <sz val="10"/>
        <color theme="1"/>
        <rFont val="Tahoma"/>
        <family val="2"/>
        <charset val="204"/>
      </rPr>
      <t>)</t>
    </r>
  </si>
  <si>
    <t>2.5.1.6</t>
  </si>
  <si>
    <r>
      <t>Базовая величина капитальных затрат на основные средства тепловых сетей в базовом году, тыс.рублей (</t>
    </r>
    <r>
      <rPr>
        <b/>
        <i/>
        <sz val="10"/>
        <color theme="1"/>
        <rFont val="Tahoma"/>
        <family val="2"/>
        <charset val="204"/>
      </rPr>
      <t>КЗО</t>
    </r>
    <r>
      <rPr>
        <b/>
        <i/>
        <vertAlign val="subscript"/>
        <sz val="10"/>
        <color theme="1"/>
        <rFont val="Tahoma"/>
        <family val="2"/>
        <charset val="204"/>
      </rPr>
      <t>б</t>
    </r>
    <r>
      <rPr>
        <b/>
        <i/>
        <vertAlign val="superscript"/>
        <sz val="10"/>
        <color theme="1"/>
        <rFont val="Tahoma"/>
        <family val="2"/>
        <charset val="204"/>
      </rPr>
      <t>сети(б)</t>
    </r>
    <r>
      <rPr>
        <i/>
        <sz val="10"/>
        <color theme="1"/>
        <rFont val="Tahoma"/>
        <family val="2"/>
        <charset val="204"/>
      </rPr>
      <t>)</t>
    </r>
  </si>
  <si>
    <t>2.5.1.7</t>
  </si>
  <si>
    <r>
      <t>Сметная норма дополнительных затрат по виду строительства "Энергетическое строительство. Тепловые сети",% (</t>
    </r>
    <r>
      <rPr>
        <b/>
        <sz val="10"/>
        <color theme="1"/>
        <rFont val="Tahoma"/>
        <family val="2"/>
        <charset val="204"/>
      </rPr>
      <t>z</t>
    </r>
    <r>
      <rPr>
        <sz val="10"/>
        <color theme="1"/>
        <rFont val="Tahoma"/>
        <family val="2"/>
        <charset val="204"/>
      </rPr>
      <t>)</t>
    </r>
  </si>
  <si>
    <t>2.5.1.8</t>
  </si>
  <si>
    <r>
      <t>Коэффициент к сметным нормам по видам строительства (</t>
    </r>
    <r>
      <rPr>
        <b/>
        <sz val="10"/>
        <color theme="1"/>
        <rFont val="Tahoma"/>
        <family val="2"/>
        <charset val="204"/>
      </rPr>
      <t>h</t>
    </r>
    <r>
      <rPr>
        <sz val="10"/>
        <color theme="1"/>
        <rFont val="Tahoma"/>
        <family val="2"/>
        <charset val="204"/>
      </rPr>
      <t>)</t>
    </r>
  </si>
  <si>
    <t>2.5.2</t>
  </si>
  <si>
    <r>
      <t>Коэффициент сейсмического влияния для тепловых сетей (</t>
    </r>
    <r>
      <rPr>
        <b/>
        <i/>
        <sz val="11"/>
        <color theme="1"/>
        <rFont val="Tahoma"/>
        <family val="2"/>
        <charset val="204"/>
      </rPr>
      <t>К</t>
    </r>
    <r>
      <rPr>
        <b/>
        <i/>
        <vertAlign val="superscript"/>
        <sz val="11"/>
        <color theme="1"/>
        <rFont val="Tahoma"/>
        <family val="2"/>
        <charset val="204"/>
      </rPr>
      <t>сети,с</t>
    </r>
    <r>
      <rPr>
        <i/>
        <sz val="10"/>
        <color theme="1"/>
        <rFont val="Tahoma"/>
        <family val="2"/>
        <charset val="204"/>
      </rPr>
      <t>)</t>
    </r>
  </si>
  <si>
    <t>2.6</t>
  </si>
  <si>
    <r>
      <t>Величина капитальных затрат на строительство котельной с использованием угля в i-м расчетном периоде регулирования, тыс. руб. (</t>
    </r>
    <r>
      <rPr>
        <b/>
        <sz val="11"/>
        <color theme="1"/>
        <rFont val="Tahoma"/>
        <family val="2"/>
        <charset val="204"/>
      </rPr>
      <t>КЗ</t>
    </r>
    <r>
      <rPr>
        <b/>
        <vertAlign val="subscript"/>
        <sz val="11"/>
        <color theme="1"/>
        <rFont val="Tahoma"/>
        <family val="2"/>
        <charset val="204"/>
      </rPr>
      <t>i,k</t>
    </r>
    <r>
      <rPr>
        <b/>
        <vertAlign val="superscript"/>
        <sz val="11"/>
        <color theme="1"/>
        <rFont val="Tahoma"/>
        <family val="2"/>
        <charset val="204"/>
      </rPr>
      <t>кот</t>
    </r>
    <r>
      <rPr>
        <sz val="10"/>
        <color theme="1"/>
        <rFont val="Tahoma"/>
        <family val="2"/>
        <charset val="204"/>
      </rPr>
      <t>)</t>
    </r>
  </si>
  <si>
    <t>2.6.1</t>
  </si>
  <si>
    <r>
      <t>Базовая величина капитальных затрат на строительство котельной с использованием угля в базовом (2019) году (</t>
    </r>
    <r>
      <rPr>
        <b/>
        <i/>
        <sz val="11"/>
        <color theme="1"/>
        <rFont val="Tahoma"/>
        <family val="2"/>
        <charset val="204"/>
      </rPr>
      <t>КЗ</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</si>
  <si>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2.6.2</t>
  </si>
  <si>
    <r>
      <t>Коэффициент температурной зоны для котельной (</t>
    </r>
    <r>
      <rPr>
        <b/>
        <i/>
        <sz val="11"/>
        <color theme="1"/>
        <rFont val="Tahoma"/>
        <family val="2"/>
        <charset val="204"/>
      </rPr>
      <t>К</t>
    </r>
    <r>
      <rPr>
        <b/>
        <i/>
        <vertAlign val="superscript"/>
        <sz val="11"/>
        <color theme="1"/>
        <rFont val="Tahoma"/>
        <family val="2"/>
        <charset val="204"/>
      </rPr>
      <t>кот,т</t>
    </r>
    <r>
      <rPr>
        <i/>
        <sz val="10"/>
        <color theme="1"/>
        <rFont val="Tahoma"/>
        <family val="2"/>
        <charset val="204"/>
      </rPr>
      <t>)</t>
    </r>
  </si>
  <si>
    <t>2.6.3</t>
  </si>
  <si>
    <r>
      <t>Коэффициент сейсмического влияния для котельной(</t>
    </r>
    <r>
      <rPr>
        <b/>
        <i/>
        <sz val="11"/>
        <color theme="1"/>
        <rFont val="Tahoma"/>
        <family val="2"/>
        <charset val="204"/>
      </rPr>
      <t>К</t>
    </r>
    <r>
      <rPr>
        <b/>
        <i/>
        <vertAlign val="superscript"/>
        <sz val="11"/>
        <color theme="1"/>
        <rFont val="Tahoma"/>
        <family val="2"/>
        <charset val="204"/>
      </rPr>
      <t>кот,с</t>
    </r>
    <r>
      <rPr>
        <i/>
        <sz val="10"/>
        <color theme="1"/>
        <rFont val="Tahoma"/>
        <family val="2"/>
        <charset val="204"/>
      </rPr>
      <t>)</t>
    </r>
  </si>
  <si>
    <t>2.6.4</t>
  </si>
  <si>
    <r>
      <t>Коэффициент влияния расстояния на транспортировку основных средств котельной (</t>
    </r>
    <r>
      <rPr>
        <b/>
        <i/>
        <sz val="11"/>
        <color theme="1"/>
        <rFont val="Tahoma"/>
        <family val="2"/>
        <charset val="204"/>
      </rPr>
      <t>К</t>
    </r>
    <r>
      <rPr>
        <b/>
        <i/>
        <vertAlign val="subscript"/>
        <sz val="11"/>
        <color theme="1"/>
        <rFont val="Tahoma"/>
        <family val="2"/>
        <charset val="204"/>
      </rPr>
      <t>тр</t>
    </r>
    <r>
      <rPr>
        <i/>
        <sz val="10"/>
        <color theme="1"/>
        <rFont val="Tahoma"/>
        <family val="2"/>
        <charset val="204"/>
      </rPr>
      <t>)</t>
    </r>
  </si>
  <si>
    <t>2.6.5</t>
  </si>
  <si>
    <r>
      <t>Срок возврата инвестированного капитала, лет (</t>
    </r>
    <r>
      <rPr>
        <b/>
        <i/>
        <sz val="11"/>
        <color theme="1"/>
        <rFont val="Tahoma"/>
        <family val="2"/>
        <charset val="204"/>
      </rPr>
      <t>СВК</t>
    </r>
    <r>
      <rPr>
        <i/>
        <sz val="10"/>
        <color theme="1"/>
        <rFont val="Tahoma"/>
        <family val="2"/>
        <charset val="204"/>
      </rPr>
      <t>)</t>
    </r>
  </si>
  <si>
    <t>2.7</t>
  </si>
  <si>
    <r>
      <t>Стоимость земельного участка для размещения котельной в i-м расчетном периоде регулирования, тыс.руб. (</t>
    </r>
    <r>
      <rPr>
        <b/>
        <sz val="11"/>
        <color theme="1"/>
        <rFont val="Tahoma"/>
        <family val="2"/>
        <charset val="204"/>
      </rPr>
      <t>З</t>
    </r>
    <r>
      <rPr>
        <b/>
        <vertAlign val="subscript"/>
        <sz val="11"/>
        <color theme="1"/>
        <rFont val="Tahoma"/>
        <family val="2"/>
        <charset val="204"/>
      </rPr>
      <t>i,k</t>
    </r>
    <r>
      <rPr>
        <sz val="10"/>
        <color theme="1"/>
        <rFont val="Tahoma"/>
        <family val="2"/>
        <charset val="204"/>
      </rPr>
      <t>)</t>
    </r>
  </si>
  <si>
    <t>2.7.1</t>
  </si>
  <si>
    <r>
      <t>Удельная базовая стоимость земельного участка,тыс. руб./ кв. м (</t>
    </r>
    <r>
      <rPr>
        <b/>
        <sz val="11"/>
        <color theme="1"/>
        <rFont val="Tahoma"/>
        <family val="2"/>
        <charset val="204"/>
      </rPr>
      <t>Р</t>
    </r>
    <r>
      <rPr>
        <b/>
        <vertAlign val="subscript"/>
        <sz val="11"/>
        <color theme="1"/>
        <rFont val="Tahoma"/>
        <family val="2"/>
        <charset val="204"/>
      </rPr>
      <t>k,б</t>
    </r>
    <r>
      <rPr>
        <sz val="10"/>
        <color theme="1"/>
        <rFont val="Tahoma"/>
        <family val="2"/>
        <charset val="204"/>
      </rPr>
      <t>)</t>
    </r>
  </si>
  <si>
    <t>2.7.2</t>
  </si>
  <si>
    <r>
      <t>Площадь земельного участка для размещения котельной с использованием угля, кв. м (</t>
    </r>
    <r>
      <rPr>
        <b/>
        <i/>
        <sz val="11"/>
        <color theme="1"/>
        <rFont val="Tahoma"/>
        <family val="2"/>
        <charset val="204"/>
      </rPr>
      <t>S</t>
    </r>
    <r>
      <rPr>
        <b/>
        <i/>
        <vertAlign val="subscript"/>
        <sz val="11"/>
        <color theme="1"/>
        <rFont val="Tahoma"/>
        <family val="2"/>
        <charset val="204"/>
      </rPr>
      <t>k</t>
    </r>
    <r>
      <rPr>
        <i/>
        <sz val="10"/>
        <color theme="1"/>
        <rFont val="Tahoma"/>
        <family val="2"/>
        <charset val="204"/>
      </rPr>
      <t>)</t>
    </r>
  </si>
  <si>
    <t>2.8</t>
  </si>
  <si>
    <r>
      <t>Затраты на подключение (технологическое присоединение) котельной с использованием угля к электрическим сетям, к централизованной системе водоснабжения и водоотведения в i-м расчетном периоде регулирования, тыс. руб. (</t>
    </r>
    <r>
      <rPr>
        <b/>
        <sz val="11"/>
        <color theme="1"/>
        <rFont val="Tahoma"/>
        <family val="2"/>
        <charset val="204"/>
      </rPr>
      <t>ТП</t>
    </r>
    <r>
      <rPr>
        <b/>
        <vertAlign val="subscript"/>
        <sz val="11"/>
        <color theme="1"/>
        <rFont val="Tahoma"/>
        <family val="2"/>
        <charset val="204"/>
      </rPr>
      <t>i,k</t>
    </r>
    <r>
      <rPr>
        <sz val="10"/>
        <color theme="1"/>
        <rFont val="Tahoma"/>
        <family val="2"/>
        <charset val="204"/>
      </rPr>
      <t>)</t>
    </r>
  </si>
  <si>
    <t>2.8.1</t>
  </si>
  <si>
    <r>
      <t>Базовая величина затрат на подключение (технологическое присоединение) котельной с использованием угля к электрическим сетям (</t>
    </r>
    <r>
      <rPr>
        <b/>
        <i/>
        <sz val="11"/>
        <color theme="1"/>
        <rFont val="Tahoma"/>
        <family val="2"/>
        <charset val="204"/>
      </rPr>
      <t>ТП</t>
    </r>
    <r>
      <rPr>
        <b/>
        <i/>
        <vertAlign val="subscript"/>
        <sz val="11"/>
        <color theme="1"/>
        <rFont val="Tahoma"/>
        <family val="2"/>
        <charset val="204"/>
      </rPr>
      <t>б,k</t>
    </r>
    <r>
      <rPr>
        <b/>
        <i/>
        <vertAlign val="superscript"/>
        <sz val="11"/>
        <color theme="1"/>
        <rFont val="Tahoma"/>
        <family val="2"/>
        <charset val="204"/>
      </rPr>
      <t>эс</t>
    </r>
    <r>
      <rPr>
        <i/>
        <sz val="10"/>
        <color theme="1"/>
        <rFont val="Tahoma"/>
        <family val="2"/>
        <charset val="204"/>
      </rPr>
      <t>)</t>
    </r>
  </si>
  <si>
    <t>2.8.2</t>
  </si>
  <si>
    <r>
      <t>Затраты на подключение (технологическое присоединение) котельной к централизованной системе водоснабжения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вс</t>
    </r>
    <r>
      <rPr>
        <sz val="10"/>
        <color theme="1"/>
        <rFont val="Tahoma"/>
        <family val="2"/>
        <charset val="204"/>
      </rPr>
      <t>)</t>
    </r>
  </si>
  <si>
    <t>2.8.2.1</t>
  </si>
  <si>
    <t>Гарантирующая организация в сфере холодного водоснабжения, обеспечивающая максимальный объем отпуска воды в поселении, городском округе, на территории которого находится система теплоснабжения</t>
  </si>
  <si>
    <t>2.8.2.2</t>
  </si>
  <si>
    <t>Величина подключаемой (технологически присоединяемой) нагрузки к централизованной системе водоснабжения, куб. м/сут</t>
  </si>
  <si>
    <t>2.8.2.3</t>
  </si>
  <si>
    <t>Протяженность сетей от котельной до места подключения к централизованной системе водоснабжения и водоотведения, м</t>
  </si>
  <si>
    <t>2.8.2.4</t>
  </si>
  <si>
    <t>Ставка тарифа за подключаемую (технологически присоединяемую) нагрузку водопроводной сети, действующая на день окончания базового (2019) года, без НДС, руб./куб. м/сут</t>
  </si>
  <si>
    <t>2.8.2.5</t>
  </si>
  <si>
    <t>Ставка тарифа за расстояние от точки подключения (технологического присоединения) котельной до точки подключения водопроводных сетей к централизованной системе водоснабжения, действующих на день окончания базового (2019) года, без НДС, руб./м</t>
  </si>
  <si>
    <t>2.8.3</t>
  </si>
  <si>
    <r>
      <t>Затраты на подключение (технологическое присоединение) котельной к централизованной системе водоотведения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во</t>
    </r>
    <r>
      <rPr>
        <sz val="10"/>
        <color theme="1"/>
        <rFont val="Tahoma"/>
        <family val="2"/>
        <charset val="204"/>
      </rPr>
      <t>)</t>
    </r>
  </si>
  <si>
    <t>2.8.3.1</t>
  </si>
  <si>
    <t>Гарантирующая организация в сфере холодного водоотведения, обеспечивающая максимальный объем принятых сточных вод в поселении, городском округе, на территории которого находится система теплоснабжения</t>
  </si>
  <si>
    <t>2.8.3.2</t>
  </si>
  <si>
    <t>Величина подключаемой (технологически присоединяемой) нагрузки к централизованной системе водоотведения, куб. м/сут</t>
  </si>
  <si>
    <t>2.8.3.3</t>
  </si>
  <si>
    <t>2.8.3.4</t>
  </si>
  <si>
    <t>Ставка тарифа за подключаемую (технологически присоединяемую) нагрузку канализационной сети, действующая на день окончания базового (2019) года, без НДС, руб./куб. м/сут</t>
  </si>
  <si>
    <t>2.8.3.5</t>
  </si>
  <si>
    <t>Ставка тарифа за расстояние от точки подключения (технологического присоединения) котельной до точки подключения канализационных сетей к централизованной системе водоотведения, действующая на день окончания базового (2019) года, без НДС, руб./м</t>
  </si>
  <si>
    <t>2.9</t>
  </si>
  <si>
    <r>
      <t>Норма доходности инвестированного капитала в i-м расчетном периоде регулирования, % (</t>
    </r>
    <r>
      <rPr>
        <b/>
        <sz val="11"/>
        <color theme="1"/>
        <rFont val="Tahoma"/>
        <family val="2"/>
        <charset val="204"/>
      </rPr>
      <t>НД</t>
    </r>
    <r>
      <rPr>
        <b/>
        <vertAlign val="subscript"/>
        <sz val="11"/>
        <color theme="1"/>
        <rFont val="Tahoma"/>
        <family val="2"/>
        <charset val="204"/>
      </rPr>
      <t>i</t>
    </r>
    <r>
      <rPr>
        <sz val="10"/>
        <color theme="1"/>
        <rFont val="Tahoma"/>
        <family val="2"/>
        <charset val="204"/>
      </rPr>
      <t>)</t>
    </r>
  </si>
  <si>
    <t>2.9.1</t>
  </si>
  <si>
    <r>
      <t>Средневзвешенная по дням 9 месяцев (i-1)-го расчетного периода регулирования ключевая ставка Центрального банка Российской Федерации, % (</t>
    </r>
    <r>
      <rPr>
        <b/>
        <sz val="11"/>
        <color theme="1"/>
        <rFont val="Tahoma"/>
        <family val="2"/>
        <charset val="204"/>
      </rPr>
      <t>КС</t>
    </r>
    <r>
      <rPr>
        <b/>
        <vertAlign val="subscript"/>
        <sz val="11"/>
        <color theme="1"/>
        <rFont val="Tahoma"/>
        <family val="2"/>
        <charset val="204"/>
      </rPr>
      <t>i-1</t>
    </r>
    <r>
      <rPr>
        <sz val="10"/>
        <color theme="1"/>
        <rFont val="Tahoma"/>
        <family val="2"/>
        <charset val="204"/>
      </rPr>
      <t>)</t>
    </r>
  </si>
  <si>
    <t>2.9.2</t>
  </si>
  <si>
    <r>
      <t>Базовый уровень нормы доходности инвестированного капитала,% (</t>
    </r>
    <r>
      <rPr>
        <b/>
        <i/>
        <sz val="11"/>
        <color theme="1"/>
        <rFont val="Tahoma"/>
        <family val="2"/>
        <charset val="204"/>
      </rPr>
      <t>НД</t>
    </r>
    <r>
      <rPr>
        <b/>
        <i/>
        <vertAlign val="subscript"/>
        <sz val="11"/>
        <color theme="1"/>
        <rFont val="Tahoma"/>
        <family val="2"/>
        <charset val="204"/>
      </rPr>
      <t>б</t>
    </r>
    <r>
      <rPr>
        <i/>
        <sz val="10"/>
        <color theme="1"/>
        <rFont val="Tahoma"/>
        <family val="2"/>
        <charset val="204"/>
      </rPr>
      <t>)</t>
    </r>
  </si>
  <si>
    <t>2.9.3</t>
  </si>
  <si>
    <r>
      <t>Базовый уровень ключевой ставки Центрального банка Российской Федерации, % (</t>
    </r>
    <r>
      <rPr>
        <b/>
        <i/>
        <sz val="11"/>
        <color theme="1"/>
        <rFont val="Tahoma"/>
        <family val="2"/>
        <charset val="204"/>
      </rPr>
      <t>КС</t>
    </r>
    <r>
      <rPr>
        <b/>
        <i/>
        <vertAlign val="subscript"/>
        <sz val="11"/>
        <color theme="1"/>
        <rFont val="Tahoma"/>
        <family val="2"/>
        <charset val="204"/>
      </rPr>
      <t>б</t>
    </r>
    <r>
      <rPr>
        <i/>
        <sz val="10"/>
        <color theme="1"/>
        <rFont val="Tahoma"/>
        <family val="2"/>
        <charset val="204"/>
      </rPr>
      <t>)</t>
    </r>
  </si>
  <si>
    <t>3</t>
  </si>
  <si>
    <t>Параметры, использованные при расчете составляющей предельного уровня цены на тепловую энергию (мощность), обеспечивающей компенсацию расходов на уплату налогов в i-м расчетном периоде регулирования</t>
  </si>
  <si>
    <t>3.1</t>
  </si>
  <si>
    <r>
      <t>Расходы на уплату налога на прибыль от деятельности, связанной с производством и поставкой тепловой энергии (мощности),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</si>
  <si>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3.1.1</t>
  </si>
  <si>
    <r>
      <t>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</si>
  <si>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3.1.2</t>
  </si>
  <si>
    <r>
      <t>Период амортизации котельной и тепловых сетей, лет (</t>
    </r>
    <r>
      <rPr>
        <b/>
        <i/>
        <sz val="11"/>
        <color theme="1"/>
        <rFont val="Tahoma"/>
        <family val="2"/>
        <charset val="204"/>
      </rPr>
      <t>ПА</t>
    </r>
    <r>
      <rPr>
        <i/>
        <sz val="10"/>
        <color theme="1"/>
        <rFont val="Tahoma"/>
        <family val="2"/>
        <charset val="204"/>
      </rPr>
      <t>)</t>
    </r>
  </si>
  <si>
    <t>3.2</t>
  </si>
  <si>
    <r>
      <t>Расходы на уплату налога на имущество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</si>
  <si>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3.2.1</t>
  </si>
  <si>
    <r>
      <t>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</si>
  <si>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3.2.2</t>
  </si>
  <si>
    <t>3.3</t>
  </si>
  <si>
    <r>
      <t>Расходы на уплату земельного налога в i-м расчетном периоде регулирования, тыс. руб. (</t>
    </r>
    <r>
      <rPr>
        <b/>
        <sz val="11"/>
        <color indexed="8"/>
        <rFont val="Tahoma"/>
        <family val="2"/>
        <charset val="204"/>
      </rPr>
      <t>Н</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</si>
  <si>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3.3.1</t>
  </si>
  <si>
    <r>
      <t>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</si>
  <si>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3.3.2</t>
  </si>
  <si>
    <r>
      <t>Стоимость земельного участка для размещения котельной в i-м расчетном периоде регулирования, тыс.руб. (</t>
    </r>
    <r>
      <rPr>
        <b/>
        <sz val="10"/>
        <color theme="1"/>
        <rFont val="Tahoma"/>
        <family val="2"/>
        <charset val="204"/>
      </rPr>
      <t>З</t>
    </r>
    <r>
      <rPr>
        <b/>
        <vertAlign val="subscript"/>
        <sz val="10"/>
        <color theme="1"/>
        <rFont val="Tahoma"/>
        <family val="2"/>
        <charset val="204"/>
      </rPr>
      <t>i,k</t>
    </r>
    <r>
      <rPr>
        <sz val="10"/>
        <color theme="1"/>
        <rFont val="Tahoma"/>
        <family val="2"/>
        <charset val="204"/>
      </rPr>
      <t>)</t>
    </r>
  </si>
  <si>
    <t>4</t>
  </si>
  <si>
    <t>Параметры, использованные при расчете составляющей предельного уровня цены на тепловую энергию (мощность), обеспечивающей компенсацию прочих расходов при производстве тепловой энергии котельной в i-м расчетном периоде регулирования</t>
  </si>
  <si>
    <t>4.1</t>
  </si>
  <si>
    <r>
      <t>Расходы на техническое обслуживание и ремонт основных средств котельной с использованием угля и тепловых сетей в базовом (2019) году, тыс. руб. (</t>
    </r>
    <r>
      <rPr>
        <b/>
        <sz val="11"/>
        <color theme="1"/>
        <rFont val="Tahoma"/>
        <family val="2"/>
        <charset val="204"/>
      </rPr>
      <t>ТО</t>
    </r>
    <r>
      <rPr>
        <b/>
        <vertAlign val="subscript"/>
        <sz val="11"/>
        <color theme="1"/>
        <rFont val="Tahoma"/>
        <family val="2"/>
        <charset val="204"/>
      </rPr>
      <t>б,k</t>
    </r>
    <r>
      <rPr>
        <sz val="10"/>
        <color theme="1"/>
        <rFont val="Tahoma"/>
        <family val="2"/>
        <charset val="204"/>
      </rPr>
      <t>)</t>
    </r>
  </si>
  <si>
    <t>4.1.1</t>
  </si>
  <si>
    <r>
      <t>Базовая величина капитальных затрат на основные средства котельной с использованием угля в базовом году, тыс. руб. (</t>
    </r>
    <r>
      <rPr>
        <b/>
        <i/>
        <sz val="11"/>
        <color theme="1"/>
        <rFont val="Tahoma"/>
        <family val="2"/>
        <charset val="204"/>
      </rPr>
      <t>КЗО</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</si>
  <si>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4.1.2</t>
  </si>
  <si>
    <r>
      <t>Коэффициент расходов на техническое обслуживание и ремонт основных средств котельной (</t>
    </r>
    <r>
      <rPr>
        <b/>
        <i/>
        <sz val="11"/>
        <color theme="1"/>
        <rFont val="Tahoma"/>
        <family val="2"/>
        <charset val="204"/>
      </rPr>
      <t>К</t>
    </r>
    <r>
      <rPr>
        <b/>
        <i/>
        <vertAlign val="subscript"/>
        <sz val="11"/>
        <color theme="1"/>
        <rFont val="Tahoma"/>
        <family val="2"/>
        <charset val="204"/>
      </rPr>
      <t>k</t>
    </r>
    <r>
      <rPr>
        <b/>
        <i/>
        <vertAlign val="superscript"/>
        <sz val="11"/>
        <color theme="1"/>
        <rFont val="Tahoma"/>
        <family val="2"/>
        <charset val="204"/>
      </rPr>
      <t>кот, ТО</t>
    </r>
    <r>
      <rPr>
        <i/>
        <sz val="10"/>
        <color theme="1"/>
        <rFont val="Tahoma"/>
        <family val="2"/>
        <charset val="204"/>
      </rPr>
      <t>)</t>
    </r>
  </si>
  <si>
    <t>4.1.3</t>
  </si>
  <si>
    <r>
      <t>Базовая величина капитальных затрат на основные средства тепловых сетей в базовом году, тыс. руб. (</t>
    </r>
    <r>
      <rPr>
        <b/>
        <i/>
        <sz val="11"/>
        <color theme="1"/>
        <rFont val="Tahoma"/>
        <family val="2"/>
        <charset val="204"/>
      </rPr>
      <t>КЗО</t>
    </r>
    <r>
      <rPr>
        <b/>
        <i/>
        <vertAlign val="subscript"/>
        <sz val="11"/>
        <color theme="1"/>
        <rFont val="Tahoma"/>
        <family val="2"/>
        <charset val="204"/>
      </rPr>
      <t>б</t>
    </r>
    <r>
      <rPr>
        <b/>
        <i/>
        <vertAlign val="superscript"/>
        <sz val="11"/>
        <color theme="1"/>
        <rFont val="Tahoma"/>
        <family val="2"/>
        <charset val="204"/>
      </rPr>
      <t>сети(б)</t>
    </r>
    <r>
      <rPr>
        <i/>
        <sz val="10"/>
        <color theme="1"/>
        <rFont val="Tahoma"/>
        <family val="2"/>
        <charset val="204"/>
      </rPr>
      <t>)</t>
    </r>
  </si>
  <si>
    <t>4.1.4</t>
  </si>
  <si>
    <r>
      <t>Коэффициент расходов на техническое обслуживание и ремонт основных средств тепловых сетей (</t>
    </r>
    <r>
      <rPr>
        <b/>
        <i/>
        <sz val="11"/>
        <color theme="1"/>
        <rFont val="Tahoma"/>
        <family val="2"/>
        <charset val="204"/>
      </rPr>
      <t>К</t>
    </r>
    <r>
      <rPr>
        <b/>
        <i/>
        <vertAlign val="superscript"/>
        <sz val="11"/>
        <color theme="1"/>
        <rFont val="Tahoma"/>
        <family val="2"/>
        <charset val="204"/>
      </rPr>
      <t>сети, ТО</t>
    </r>
    <r>
      <rPr>
        <i/>
        <sz val="10"/>
        <color theme="1"/>
        <rFont val="Tahoma"/>
        <family val="2"/>
        <charset val="204"/>
      </rPr>
      <t>)</t>
    </r>
  </si>
  <si>
    <t>4.2</t>
  </si>
  <si>
    <r>
      <t>Расходы на электрическую энергию на собственные нужды котельной с использованием угля в базовом (2019) году, тыс. руб. (</t>
    </r>
    <r>
      <rPr>
        <b/>
        <sz val="11"/>
        <color theme="1"/>
        <rFont val="Tahoma"/>
        <family val="2"/>
        <charset val="204"/>
      </rPr>
      <t>РЭ</t>
    </r>
    <r>
      <rPr>
        <b/>
        <vertAlign val="subscript"/>
        <sz val="11"/>
        <color theme="1"/>
        <rFont val="Tahoma"/>
        <family val="2"/>
        <charset val="204"/>
      </rPr>
      <t>б,k</t>
    </r>
    <r>
      <rPr>
        <sz val="10"/>
        <color theme="1"/>
        <rFont val="Tahoma"/>
        <family val="2"/>
        <charset val="204"/>
      </rPr>
      <t>)</t>
    </r>
  </si>
  <si>
    <t>4.2.1</t>
  </si>
  <si>
    <t>Наименование гарантирующего поставщика</t>
  </si>
  <si>
    <t>4.2.2</t>
  </si>
  <si>
    <r>
      <t>Среднеарифметическая величина из значений цен (тарифов) на электрическую энергию (мощность), поставляемую покупателям на розничном рынке, функционирующем в поселении или городском округе, на территории которого находится система теплоснабжения, в базовом (2019) году для категории потребителей, установленной технико-экономическими параметрами работы котельных и тепловых сетей, без НДС, руб./кВтч (</t>
    </r>
    <r>
      <rPr>
        <b/>
        <sz val="11"/>
        <color theme="1"/>
        <rFont val="Tahoma"/>
        <family val="2"/>
        <charset val="204"/>
      </rPr>
      <t>ЦЭ</t>
    </r>
    <r>
      <rPr>
        <b/>
        <vertAlign val="subscript"/>
        <sz val="11"/>
        <color theme="1"/>
        <rFont val="Tahoma"/>
        <family val="2"/>
        <charset val="204"/>
      </rPr>
      <t>б</t>
    </r>
    <r>
      <rPr>
        <sz val="10"/>
        <color theme="1"/>
        <rFont val="Tahoma"/>
        <family val="2"/>
        <charset val="204"/>
      </rPr>
      <t>)</t>
    </r>
  </si>
  <si>
    <t>4.2.3</t>
  </si>
  <si>
    <r>
      <t>Общая максимальная мощность энергопринимающих устройств котельной с использованием угля, кВт (</t>
    </r>
    <r>
      <rPr>
        <b/>
        <i/>
        <sz val="11"/>
        <color theme="1"/>
        <rFont val="Tahoma"/>
        <family val="2"/>
        <charset val="204"/>
      </rPr>
      <t>Э</t>
    </r>
    <r>
      <rPr>
        <b/>
        <i/>
        <vertAlign val="subscript"/>
        <sz val="11"/>
        <color theme="1"/>
        <rFont val="Tahoma"/>
        <family val="2"/>
        <charset val="204"/>
      </rPr>
      <t>k</t>
    </r>
    <r>
      <rPr>
        <i/>
        <sz val="10"/>
        <color theme="1"/>
        <rFont val="Tahoma"/>
        <family val="2"/>
        <charset val="204"/>
      </rPr>
      <t>)</t>
    </r>
  </si>
  <si>
    <t>4.2.4</t>
  </si>
  <si>
    <r>
      <t>Продолжительность годовой работы оборудования котельной с учетом коэффициента готовности, ч (</t>
    </r>
    <r>
      <rPr>
        <b/>
        <sz val="11"/>
        <color theme="1"/>
        <rFont val="Tahoma"/>
        <family val="2"/>
        <charset val="204"/>
      </rPr>
      <t>ГР</t>
    </r>
    <r>
      <rPr>
        <sz val="10"/>
        <color theme="1"/>
        <rFont val="Tahoma"/>
        <family val="2"/>
        <charset val="204"/>
      </rPr>
      <t>)</t>
    </r>
  </si>
  <si>
    <t>4.2.5</t>
  </si>
  <si>
    <r>
      <t>Коэффициент использования установленной тепловой мощности котельной (</t>
    </r>
    <r>
      <rPr>
        <b/>
        <i/>
        <sz val="11"/>
        <color theme="1"/>
        <rFont val="Tahoma"/>
        <family val="2"/>
        <charset val="204"/>
      </rPr>
      <t>КИУМ</t>
    </r>
    <r>
      <rPr>
        <i/>
        <sz val="10"/>
        <color theme="1"/>
        <rFont val="Tahoma"/>
        <family val="2"/>
        <charset val="204"/>
      </rPr>
      <t>)</t>
    </r>
  </si>
  <si>
    <t>4.3</t>
  </si>
  <si>
    <r>
      <t>Расходы на водоподготовку и водоотведение котельной в базовом (2019) году, тыс. руб. (</t>
    </r>
    <r>
      <rPr>
        <b/>
        <sz val="11"/>
        <color theme="1"/>
        <rFont val="Tahoma"/>
        <family val="2"/>
        <charset val="204"/>
      </rPr>
      <t>РВ</t>
    </r>
    <r>
      <rPr>
        <b/>
        <vertAlign val="subscript"/>
        <sz val="11"/>
        <color theme="1"/>
        <rFont val="Tahoma"/>
        <family val="2"/>
        <charset val="204"/>
      </rPr>
      <t>б</t>
    </r>
    <r>
      <rPr>
        <sz val="10"/>
        <color theme="1"/>
        <rFont val="Tahoma"/>
        <family val="2"/>
        <charset val="204"/>
      </rPr>
      <t>)</t>
    </r>
  </si>
  <si>
    <t>4.3.1</t>
  </si>
  <si>
    <t>4.3.2</t>
  </si>
  <si>
    <t>Тариф на питьевую воду (питьевое водоснабжение), действующий на день окончания базового (2019) года, без НДС, руб./куб. м</t>
  </si>
  <si>
    <t>4.3.3</t>
  </si>
  <si>
    <t>4.3.4</t>
  </si>
  <si>
    <t>Тариф на водоотведение, действующий на день окончания базового (2019) года, без НДС, руб./куб. м</t>
  </si>
  <si>
    <t>4.3.5</t>
  </si>
  <si>
    <t>Расход воды на водоподготовку, куб.м/год</t>
  </si>
  <si>
    <t>4.3.6</t>
  </si>
  <si>
    <t>Расход воды на собственные нужды котельной, куб.м/год</t>
  </si>
  <si>
    <t>4.3.7</t>
  </si>
  <si>
    <t>Объем водоотведения, куб.м/год</t>
  </si>
  <si>
    <t>4.4</t>
  </si>
  <si>
    <r>
      <t>Расходы на оплату труда персонала котельной с использованием угля в базовом (2019) году, тыс. руб. (</t>
    </r>
    <r>
      <rPr>
        <b/>
        <sz val="11"/>
        <color theme="1"/>
        <rFont val="Tahoma"/>
        <family val="2"/>
        <charset val="204"/>
      </rPr>
      <t>РП</t>
    </r>
    <r>
      <rPr>
        <b/>
        <vertAlign val="subscript"/>
        <sz val="11"/>
        <color theme="1"/>
        <rFont val="Tahoma"/>
        <family val="2"/>
        <charset val="204"/>
      </rPr>
      <t>б,k</t>
    </r>
    <r>
      <rPr>
        <sz val="10"/>
        <color theme="1"/>
        <rFont val="Tahoma"/>
        <family val="2"/>
        <charset val="204"/>
      </rPr>
      <t>)</t>
    </r>
  </si>
  <si>
    <t>4.4.1</t>
  </si>
  <si>
    <t>Заработная плата сотрудников котельной, производящей тепловую энергию с использованием угля, в базовом (2019) году, тыс. руб.</t>
  </si>
  <si>
    <t>4.4.2</t>
  </si>
  <si>
    <r>
      <t>Расходы на уплату в базовом (2019) году страховых взносов по персоналу котельной, определяемые в соответствии с требованиями законодательства Российской Федерации о страховых взносах исходя из расходов на оплату труда персонала котельной, тыс. руб. (</t>
    </r>
    <r>
      <rPr>
        <b/>
        <sz val="11"/>
        <color theme="1"/>
        <rFont val="Tahoma"/>
        <family val="2"/>
        <charset val="204"/>
      </rPr>
      <t>Р</t>
    </r>
    <r>
      <rPr>
        <b/>
        <vertAlign val="subscript"/>
        <sz val="11"/>
        <color theme="1"/>
        <rFont val="Tahoma"/>
        <family val="2"/>
        <charset val="204"/>
      </rPr>
      <t>б,k</t>
    </r>
    <r>
      <rPr>
        <b/>
        <vertAlign val="superscript"/>
        <sz val="11"/>
        <color theme="1"/>
        <rFont val="Tahoma"/>
        <family val="2"/>
        <charset val="204"/>
      </rPr>
      <t>СВ</t>
    </r>
    <r>
      <rPr>
        <sz val="10"/>
        <color theme="1"/>
        <rFont val="Tahoma"/>
        <family val="2"/>
        <charset val="204"/>
      </rPr>
      <t>)</t>
    </r>
  </si>
  <si>
    <t>4.5</t>
  </si>
  <si>
    <r>
      <t>Иные прочие расходы при производстве тепловой энергии котельной в i-м расчетном периоде регулирования, тыс. руб. (</t>
    </r>
    <r>
      <rPr>
        <b/>
        <sz val="11"/>
        <color theme="1"/>
        <rFont val="Tahoma"/>
        <family val="2"/>
        <charset val="204"/>
      </rPr>
      <t>ПР</t>
    </r>
    <r>
      <rPr>
        <b/>
        <vertAlign val="subscript"/>
        <sz val="11"/>
        <color theme="1"/>
        <rFont val="Tahoma"/>
        <family val="2"/>
        <charset val="204"/>
      </rPr>
      <t>i</t>
    </r>
    <r>
      <rPr>
        <b/>
        <vertAlign val="superscript"/>
        <sz val="11"/>
        <color theme="1"/>
        <rFont val="Tahoma"/>
        <family val="2"/>
        <charset val="204"/>
      </rPr>
      <t>иные</t>
    </r>
    <r>
      <rPr>
        <sz val="11"/>
        <color theme="1"/>
        <rFont val="Tahoma"/>
        <family val="2"/>
        <charset val="204"/>
      </rPr>
      <t>)</t>
    </r>
  </si>
  <si>
    <t>4.5.1</t>
  </si>
  <si>
    <r>
      <t>Расходы на плату за выбросы загрязняющих веществ в атмосферный воздух в пределах установленных нормативов и (или) лимитов, на утилизацию и размещение золы и шлака для котельной с использованием угля в i-м расчетном периоде регулирования, тыс. руб. (</t>
    </r>
    <r>
      <rPr>
        <b/>
        <sz val="11"/>
        <color theme="1"/>
        <rFont val="Tahoma"/>
        <family val="2"/>
        <charset val="204"/>
      </rPr>
      <t>ЗВ</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</si>
  <si>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t>
  </si>
  <si>
    <r>
      <t>Дополнительные расходы на плату за выбросы загрязняющих веществ в атмосферный воздух в пределах установленных нормативов и (или) лимитов для котельной с использованием угля (</t>
    </r>
    <r>
      <rPr>
        <b/>
        <sz val="11"/>
        <color theme="1"/>
        <rFont val="Tahoma"/>
        <family val="2"/>
        <charset val="204"/>
      </rPr>
      <t>Y</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</si>
  <si>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4.5.1.1.1</t>
  </si>
  <si>
    <r>
      <t>Базовая величина платы за выбросы загрязняющих веществ в атмосферный воздух, руб. (</t>
    </r>
    <r>
      <rPr>
        <b/>
        <i/>
        <sz val="10"/>
        <color theme="1"/>
        <rFont val="Tahoma"/>
        <family val="2"/>
        <charset val="204"/>
      </rPr>
      <t>ПВ</t>
    </r>
    <r>
      <rPr>
        <b/>
        <i/>
        <vertAlign val="subscript"/>
        <sz val="10"/>
        <color theme="1"/>
        <rFont val="Tahoma"/>
        <family val="2"/>
        <charset val="204"/>
      </rPr>
      <t>б</t>
    </r>
    <r>
      <rPr>
        <i/>
        <sz val="10"/>
        <color theme="1"/>
        <rFont val="Tahoma"/>
        <family val="2"/>
        <charset val="204"/>
      </rPr>
      <t>)</t>
    </r>
  </si>
  <si>
    <t>4.5.1.1.2</t>
  </si>
  <si>
    <r>
      <t>Коэффициент, применяемый к базовой величине платы за выбросы загрязняющих веществ в атмосферный воздух (</t>
    </r>
    <r>
      <rPr>
        <b/>
        <sz val="10"/>
        <color theme="1"/>
        <rFont val="Tahoma"/>
        <family val="2"/>
        <charset val="204"/>
      </rPr>
      <t>К</t>
    </r>
    <r>
      <rPr>
        <b/>
        <vertAlign val="subscript"/>
        <sz val="10"/>
        <color theme="1"/>
        <rFont val="Tahoma"/>
        <family val="2"/>
        <charset val="204"/>
      </rPr>
      <t>i</t>
    </r>
    <r>
      <rPr>
        <b/>
        <vertAlign val="superscript"/>
        <sz val="10"/>
        <color theme="1"/>
        <rFont val="Tahoma"/>
        <family val="2"/>
        <charset val="204"/>
      </rPr>
      <t>ОС</t>
    </r>
    <r>
      <rPr>
        <sz val="10"/>
        <color theme="1"/>
        <rFont val="Tahoma"/>
        <family val="2"/>
        <charset val="204"/>
      </rPr>
      <t>)</t>
    </r>
  </si>
  <si>
    <t>5</t>
  </si>
  <si>
    <t>Параметры, использованные при расчете составляющей предельного уровня цены на тепловую энергию (мощность), обеспечивающей создание резерва по сомнительным долгам в i-м расчетном периоде регулирования</t>
  </si>
  <si>
    <t>5.1</t>
  </si>
  <si>
    <r>
      <t>Коэффициент, отражающий размер резерва по сомнительным долгам (</t>
    </r>
    <r>
      <rPr>
        <b/>
        <sz val="11"/>
        <color theme="1"/>
        <rFont val="Tahoma"/>
        <family val="2"/>
        <charset val="204"/>
      </rPr>
      <t>k</t>
    </r>
    <r>
      <rPr>
        <b/>
        <vertAlign val="superscript"/>
        <sz val="11"/>
        <color theme="1"/>
        <rFont val="Tahoma"/>
        <family val="2"/>
        <charset val="204"/>
      </rPr>
      <t>РД</t>
    </r>
    <r>
      <rPr>
        <sz val="10"/>
        <color theme="1"/>
        <rFont val="Tahoma"/>
        <family val="2"/>
        <charset val="204"/>
      </rPr>
      <t>)</t>
    </r>
  </si>
  <si>
    <t>6</t>
  </si>
  <si>
    <t>Параметры, использованные при расчете составляющей предельного уровня цены на тепловую энергию (мощность), обеспечивающей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t>
  </si>
  <si>
    <t>6.1</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</si>
  <si>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(i-2)-м расчетном периоде регулирования, определяемой в  i-м расчетном периоде регулирования, руб./Гкал </t>
    </r>
    <r>
      <rPr>
        <sz val="11"/>
        <color theme="1"/>
        <rFont val="Tahoma"/>
        <family val="2"/>
        <charset val="204"/>
      </rPr>
      <t>(</t>
    </r>
    <r>
      <rPr>
        <b/>
        <sz val="11"/>
        <color theme="1"/>
        <rFont val="Tahoma"/>
        <family val="2"/>
        <charset val="204"/>
      </rPr>
      <t>ΔPT</t>
    </r>
    <r>
      <rPr>
        <b/>
        <vertAlign val="subscript"/>
        <sz val="11"/>
        <color theme="1"/>
        <rFont val="Tahoma"/>
        <family val="2"/>
        <charset val="204"/>
      </rPr>
      <t>i-2</t>
    </r>
    <r>
      <rPr>
        <sz val="11"/>
        <color theme="1"/>
        <rFont val="Tahoma"/>
        <family val="2"/>
        <charset val="204"/>
      </rPr>
      <t>)</t>
    </r>
  </si>
  <si>
    <t>-</t>
  </si>
  <si>
    <t>6.1.1</t>
  </si>
  <si>
    <r>
      <t>Фактическая цена на k-й вид топлива, используемый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 н. т.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</si>
  <si>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t>6.2</t>
  </si>
  <si>
    <r>
      <t>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уплату налогов  в (i-2)-м расчетном периоде регулирования, определяемой в  i-м расчетном периоде регулирования, руб./Гкал (</t>
    </r>
    <r>
      <rPr>
        <b/>
        <sz val="11"/>
        <color theme="1"/>
        <rFont val="Tahoma"/>
        <family val="2"/>
        <charset val="204"/>
      </rPr>
      <t>ΔH</t>
    </r>
    <r>
      <rPr>
        <b/>
        <vertAlign val="subscript"/>
        <sz val="11"/>
        <color theme="1"/>
        <rFont val="Tahoma"/>
        <family val="2"/>
        <charset val="204"/>
      </rPr>
      <t>i-2</t>
    </r>
    <r>
      <rPr>
        <sz val="10"/>
        <color theme="1"/>
        <rFont val="Tahoma"/>
        <family val="2"/>
        <charset val="204"/>
      </rPr>
      <t>)</t>
    </r>
  </si>
  <si>
    <t>6.2.1</t>
  </si>
  <si>
    <r>
      <t>Фактическая 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п</t>
    </r>
    <r>
      <rPr>
        <sz val="10"/>
        <color theme="1"/>
        <rFont val="Tahoma"/>
        <family val="2"/>
        <charset val="204"/>
      </rPr>
      <t>)</t>
    </r>
  </si>
  <si>
    <t>6.2.2</t>
  </si>
  <si>
    <r>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им</t>
    </r>
    <r>
      <rPr>
        <sz val="10"/>
        <color theme="1"/>
        <rFont val="Tahoma"/>
        <family val="2"/>
        <charset val="204"/>
      </rPr>
      <t>)</t>
    </r>
  </si>
  <si>
    <t>6.2.3</t>
  </si>
  <si>
    <r>
      <t>Фактическая 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з</t>
    </r>
    <r>
      <rPr>
        <sz val="10"/>
        <color theme="1"/>
        <rFont val="Tahoma"/>
        <family val="2"/>
        <charset val="204"/>
      </rPr>
      <t>)</t>
    </r>
  </si>
  <si>
    <t>7</t>
  </si>
  <si>
    <r>
      <t>Объем полезного отпуска тепловой энергии котельной,  тыс. Гкал (</t>
    </r>
    <r>
      <rPr>
        <b/>
        <sz val="11"/>
        <color theme="1"/>
        <rFont val="Tahoma"/>
        <family val="2"/>
        <charset val="204"/>
      </rPr>
      <t>Q</t>
    </r>
    <r>
      <rPr>
        <b/>
        <vertAlign val="superscript"/>
        <sz val="11"/>
        <color theme="1"/>
        <rFont val="Tahoma"/>
        <family val="2"/>
        <charset val="204"/>
      </rPr>
      <t>ПО</t>
    </r>
    <r>
      <rPr>
        <b/>
        <sz val="10"/>
        <color theme="1"/>
        <rFont val="Tahoma"/>
        <family val="2"/>
        <charset val="204"/>
      </rPr>
      <t>)</t>
    </r>
  </si>
  <si>
    <t>7.1</t>
  </si>
  <si>
    <r>
      <t>Установленная тепловая мощность котельной, Гкал/ч (</t>
    </r>
    <r>
      <rPr>
        <b/>
        <i/>
        <sz val="11"/>
        <color theme="1"/>
        <rFont val="Tahoma"/>
        <family val="2"/>
        <charset val="204"/>
      </rPr>
      <t>p</t>
    </r>
    <r>
      <rPr>
        <i/>
        <sz val="10"/>
        <color theme="1"/>
        <rFont val="Tahoma"/>
        <family val="2"/>
        <charset val="204"/>
      </rPr>
      <t>)</t>
    </r>
  </si>
  <si>
    <t>7.2</t>
  </si>
  <si>
    <r>
      <t>Коэффициент готовности, учитывающий продолжительность годовой работы оборудования (</t>
    </r>
    <r>
      <rPr>
        <b/>
        <i/>
        <sz val="11"/>
        <color theme="1"/>
        <rFont val="Tahoma"/>
        <family val="2"/>
        <charset val="204"/>
      </rPr>
      <t>К</t>
    </r>
    <r>
      <rPr>
        <b/>
        <i/>
        <vertAlign val="subscript"/>
        <sz val="11"/>
        <color theme="1"/>
        <rFont val="Tahoma"/>
        <family val="2"/>
        <charset val="204"/>
      </rPr>
      <t>r</t>
    </r>
    <r>
      <rPr>
        <i/>
        <sz val="10"/>
        <color theme="1"/>
        <rFont val="Tahoma"/>
        <family val="2"/>
        <charset val="204"/>
      </rPr>
      <t>)</t>
    </r>
  </si>
  <si>
    <t>7.3</t>
  </si>
  <si>
    <r>
      <t>Коэффициент использования установленной тепловой мощности котельной (</t>
    </r>
    <r>
      <rPr>
        <b/>
        <i/>
        <sz val="11"/>
        <rFont val="Tahoma"/>
        <family val="2"/>
        <charset val="204"/>
      </rPr>
      <t>КИУМ</t>
    </r>
    <r>
      <rPr>
        <i/>
        <sz val="10"/>
        <rFont val="Tahoma"/>
        <family val="2"/>
        <charset val="204"/>
      </rPr>
      <t>)</t>
    </r>
  </si>
  <si>
    <t>8</t>
  </si>
  <si>
    <r>
      <t>Прогнозный индекс цен производителей промышленной продукции (накопленным итогом), % (</t>
    </r>
    <r>
      <rPr>
        <b/>
        <sz val="11"/>
        <rFont val="Tahoma"/>
        <family val="2"/>
        <charset val="204"/>
      </rPr>
      <t>ИЦП</t>
    </r>
    <r>
      <rPr>
        <b/>
        <vertAlign val="subscript"/>
        <sz val="11"/>
        <rFont val="Tahoma"/>
        <family val="2"/>
        <charset val="204"/>
      </rPr>
      <t>i</t>
    </r>
    <r>
      <rPr>
        <b/>
        <sz val="10"/>
        <rFont val="Tahoma"/>
        <family val="2"/>
        <charset val="204"/>
      </rPr>
      <t>)</t>
    </r>
  </si>
  <si>
    <t>8.1</t>
  </si>
  <si>
    <r>
      <t>Индекс цен производителей промышленной продукции (в среднем за год к предыдущему году), % г/г (</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б+1</t>
    </r>
    <r>
      <rPr>
        <b/>
        <sz val="11"/>
        <color indexed="8"/>
        <rFont val="Tahoma"/>
        <family val="2"/>
        <charset val="204"/>
      </rPr>
      <t>, ИЦП</t>
    </r>
    <r>
      <rPr>
        <b/>
        <vertAlign val="superscript"/>
        <sz val="11"/>
        <color indexed="8"/>
        <rFont val="Tahoma"/>
        <family val="2"/>
        <charset val="204"/>
      </rPr>
      <t>п</t>
    </r>
    <r>
      <rPr>
        <b/>
        <vertAlign val="subscript"/>
        <sz val="11"/>
        <color indexed="8"/>
        <rFont val="Tahoma"/>
        <family val="2"/>
        <charset val="204"/>
      </rPr>
      <t>б+2</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i</t>
    </r>
    <r>
      <rPr>
        <sz val="10"/>
        <color indexed="8"/>
        <rFont val="Tahoma"/>
        <family val="2"/>
        <charset val="204"/>
      </rPr>
      <t>)</t>
    </r>
  </si>
  <si>
    <t>Предельный уровень цены на тепловую энергию (мощность), рассчитанный в соответствии с частью 1 статьи 23.6 Федерального закона от 27.07.2010 N 190-ФЗ "О теплоснабжении" и Постановлением № 1562, а также сведения о параметрах, использованных при расчете</t>
  </si>
  <si>
    <r>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t>
    </r>
    <r>
      <rPr>
        <b/>
        <sz val="11"/>
        <color theme="1"/>
        <rFont val="Tahoma"/>
        <family val="2"/>
        <charset val="204"/>
      </rPr>
      <t>ПР</t>
    </r>
    <r>
      <rPr>
        <b/>
        <vertAlign val="subscript"/>
        <sz val="11"/>
        <color theme="1"/>
        <rFont val="Tahoma"/>
        <family val="2"/>
        <charset val="204"/>
      </rPr>
      <t>i</t>
    </r>
    <r>
      <rPr>
        <sz val="11"/>
        <color theme="1"/>
        <rFont val="Tahoma"/>
        <family val="2"/>
        <charset val="204"/>
      </rPr>
      <t>)</t>
    </r>
  </si>
  <si>
    <r>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t>
    </r>
    <r>
      <rPr>
        <b/>
        <sz val="11"/>
        <color theme="1"/>
        <rFont val="Tahoma"/>
        <family val="2"/>
        <charset val="204"/>
      </rPr>
      <t>РД</t>
    </r>
    <r>
      <rPr>
        <b/>
        <vertAlign val="subscript"/>
        <sz val="11"/>
        <color theme="1"/>
        <rFont val="Tahoma"/>
        <family val="2"/>
        <charset val="204"/>
      </rPr>
      <t>i</t>
    </r>
    <r>
      <rPr>
        <sz val="11"/>
        <color theme="1"/>
        <rFont val="Tahoma"/>
        <family val="2"/>
        <charset val="204"/>
      </rPr>
      <t>)</t>
    </r>
  </si>
  <si>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t>
    </r>
    <r>
      <rPr>
        <sz val="11"/>
        <color theme="1"/>
        <rFont val="Tahoma"/>
        <family val="2"/>
        <charset val="204"/>
      </rPr>
      <t>(</t>
    </r>
    <r>
      <rPr>
        <b/>
        <sz val="11"/>
        <color theme="1"/>
        <rFont val="Calibri"/>
        <family val="2"/>
        <charset val="204"/>
      </rPr>
      <t>Δ</t>
    </r>
    <r>
      <rPr>
        <b/>
        <sz val="11"/>
        <color theme="1"/>
        <rFont val="Tahoma"/>
        <family val="2"/>
        <charset val="204"/>
      </rPr>
      <t>B</t>
    </r>
    <r>
      <rPr>
        <b/>
        <vertAlign val="subscript"/>
        <sz val="11"/>
        <color theme="1"/>
        <rFont val="Tahoma"/>
        <family val="2"/>
        <charset val="204"/>
      </rPr>
      <t>i</t>
    </r>
    <r>
      <rPr>
        <sz val="11"/>
        <color theme="1"/>
        <rFont val="Tahoma"/>
        <family val="2"/>
        <charset val="204"/>
      </rPr>
      <t>)</t>
    </r>
  </si>
  <si>
    <t>Низшая теплота сгорания натурального топлива (газа), ккал/кг</t>
  </si>
  <si>
    <r>
      <t>Фактическая цена на топливо (газ),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</si>
  <si>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t>1.2.1</t>
  </si>
  <si>
    <t>Организация с наибольшим объемом поставляемого, транспортируемого газа, осуществляющая свою деятельность на территории системы теплоснабжения</t>
  </si>
  <si>
    <t>1.2.2</t>
  </si>
  <si>
    <t>1.2.3</t>
  </si>
  <si>
    <t>1.2.4</t>
  </si>
  <si>
    <t>1.2.5</t>
  </si>
  <si>
    <r>
      <t>Удельный расход условного топлива при производстве тепловой энергии котельной с использованием газа в i-м расчетном периоде регулирования, кг у.т./Гкал (</t>
    </r>
    <r>
      <rPr>
        <b/>
        <i/>
        <sz val="11"/>
        <color theme="1"/>
        <rFont val="Tahoma"/>
        <family val="2"/>
        <charset val="204"/>
      </rPr>
      <t>b</t>
    </r>
    <r>
      <rPr>
        <b/>
        <i/>
        <vertAlign val="subscript"/>
        <sz val="11"/>
        <color theme="1"/>
        <rFont val="Tahoma"/>
        <family val="2"/>
        <charset val="204"/>
      </rPr>
      <t>i,k</t>
    </r>
    <r>
      <rPr>
        <i/>
        <sz val="10"/>
        <color theme="1"/>
        <rFont val="Tahoma"/>
        <family val="2"/>
        <charset val="204"/>
      </rPr>
      <t>)</t>
    </r>
  </si>
  <si>
    <r>
      <t>Коэффициент перевода натурального топлива в условное топливо, кг у.т./куб. м (</t>
    </r>
    <r>
      <rPr>
        <b/>
        <sz val="11"/>
        <color theme="1"/>
        <rFont val="Tahoma"/>
        <family val="2"/>
        <charset val="204"/>
      </rPr>
      <t>К</t>
    </r>
    <r>
      <rPr>
        <sz val="10"/>
        <color theme="1"/>
        <rFont val="Tahoma"/>
        <family val="2"/>
        <charset val="204"/>
      </rPr>
      <t>)</t>
    </r>
  </si>
  <si>
    <t>Расстояние от границы системы теплоснабжения до границы ближайшего административного центра субъекта РФ с железнодорожным сообщением, км</t>
  </si>
  <si>
    <t xml:space="preserve">Поселение, городской округ, на территории которого находится система теплоснабжения, отнесено к территории распространения вечномерзлых грунтов? </t>
  </si>
  <si>
    <r>
      <t>Величина капитальных затрат на строительство котельной с использованием газа в i-м расчетном периоде регулирования, тыс. руб. (</t>
    </r>
    <r>
      <rPr>
        <b/>
        <sz val="11"/>
        <color theme="1"/>
        <rFont val="Tahoma"/>
        <family val="2"/>
        <charset val="204"/>
      </rPr>
      <t>КЗ</t>
    </r>
    <r>
      <rPr>
        <b/>
        <vertAlign val="subscript"/>
        <sz val="11"/>
        <color theme="1"/>
        <rFont val="Tahoma"/>
        <family val="2"/>
        <charset val="204"/>
      </rPr>
      <t>i,k</t>
    </r>
    <r>
      <rPr>
        <b/>
        <vertAlign val="superscript"/>
        <sz val="11"/>
        <color theme="1"/>
        <rFont val="Tahoma"/>
        <family val="2"/>
        <charset val="204"/>
      </rPr>
      <t>кот</t>
    </r>
    <r>
      <rPr>
        <sz val="10"/>
        <color theme="1"/>
        <rFont val="Tahoma"/>
        <family val="2"/>
        <charset val="204"/>
      </rPr>
      <t>)</t>
    </r>
  </si>
  <si>
    <r>
      <t>Базовая величина капитальных затрат на строительство котельной с использованием газа в базовом (2019) году (</t>
    </r>
    <r>
      <rPr>
        <b/>
        <i/>
        <sz val="11"/>
        <color theme="1"/>
        <rFont val="Tahoma"/>
        <family val="2"/>
        <charset val="204"/>
      </rPr>
      <t>КЗ</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</si>
  <si>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r>
      <t>Удельная базовая стоимость земельного участка, тыс. руб./ кв. м (</t>
    </r>
    <r>
      <rPr>
        <b/>
        <sz val="11"/>
        <color theme="1"/>
        <rFont val="Tahoma"/>
        <family val="2"/>
        <charset val="204"/>
      </rPr>
      <t>Р</t>
    </r>
    <r>
      <rPr>
        <b/>
        <vertAlign val="subscript"/>
        <sz val="11"/>
        <color theme="1"/>
        <rFont val="Tahoma"/>
        <family val="2"/>
        <charset val="204"/>
      </rPr>
      <t>k,б</t>
    </r>
    <r>
      <rPr>
        <sz val="10"/>
        <color theme="1"/>
        <rFont val="Tahoma"/>
        <family val="2"/>
        <charset val="204"/>
      </rPr>
      <t>)</t>
    </r>
  </si>
  <si>
    <r>
      <t>Площадь земельного участка для размещения котельной с использованием газа, кв. м (</t>
    </r>
    <r>
      <rPr>
        <b/>
        <i/>
        <sz val="11"/>
        <color theme="1"/>
        <rFont val="Tahoma"/>
        <family val="2"/>
        <charset val="204"/>
      </rPr>
      <t>S</t>
    </r>
    <r>
      <rPr>
        <b/>
        <i/>
        <vertAlign val="subscript"/>
        <sz val="11"/>
        <color theme="1"/>
        <rFont val="Tahoma"/>
        <family val="2"/>
        <charset val="204"/>
      </rPr>
      <t>k</t>
    </r>
    <r>
      <rPr>
        <i/>
        <sz val="10"/>
        <color theme="1"/>
        <rFont val="Tahoma"/>
        <family val="2"/>
        <charset val="204"/>
      </rPr>
      <t>)</t>
    </r>
  </si>
  <si>
    <r>
      <t>Затраты на подключение (технологическое присоединение) котельной с использованием газа к электрическим сетям, к централизованной системе водоснабжения и водоотведения, к газораспределительным сетям в i-м расчетном периоде регулирования, тыс. руб. (</t>
    </r>
    <r>
      <rPr>
        <b/>
        <sz val="11"/>
        <color theme="1"/>
        <rFont val="Tahoma"/>
        <family val="2"/>
        <charset val="204"/>
      </rPr>
      <t>ТП</t>
    </r>
    <r>
      <rPr>
        <b/>
        <vertAlign val="subscript"/>
        <sz val="11"/>
        <color theme="1"/>
        <rFont val="Tahoma"/>
        <family val="2"/>
        <charset val="204"/>
      </rPr>
      <t>i,k</t>
    </r>
    <r>
      <rPr>
        <sz val="10"/>
        <color theme="1"/>
        <rFont val="Tahoma"/>
        <family val="2"/>
        <charset val="204"/>
      </rPr>
      <t>)</t>
    </r>
  </si>
  <si>
    <r>
      <t>Базовая величина затрат на подключение (технологическое присоединение) котельной с использованием газа к электрическим сетям (</t>
    </r>
    <r>
      <rPr>
        <b/>
        <i/>
        <sz val="11"/>
        <color theme="1"/>
        <rFont val="Tahoma"/>
        <family val="2"/>
        <charset val="204"/>
      </rPr>
      <t>ТП</t>
    </r>
    <r>
      <rPr>
        <b/>
        <i/>
        <vertAlign val="subscript"/>
        <sz val="11"/>
        <color theme="1"/>
        <rFont val="Tahoma"/>
        <family val="2"/>
        <charset val="204"/>
      </rPr>
      <t>б,k</t>
    </r>
    <r>
      <rPr>
        <b/>
        <i/>
        <vertAlign val="superscript"/>
        <sz val="11"/>
        <color theme="1"/>
        <rFont val="Tahoma"/>
        <family val="2"/>
        <charset val="204"/>
      </rPr>
      <t>эс</t>
    </r>
    <r>
      <rPr>
        <i/>
        <sz val="10"/>
        <color theme="1"/>
        <rFont val="Tahoma"/>
        <family val="2"/>
        <charset val="204"/>
      </rPr>
      <t>)</t>
    </r>
  </si>
  <si>
    <t>2.8.4</t>
  </si>
  <si>
    <r>
      <t>Базовая величина затрат на подключение (технологическое присоединение) к газораспределительным сетям, тыс. руб. (</t>
    </r>
    <r>
      <rPr>
        <b/>
        <i/>
        <sz val="11"/>
        <color theme="1"/>
        <rFont val="Tahoma"/>
        <family val="2"/>
        <charset val="204"/>
      </rPr>
      <t>ТП</t>
    </r>
    <r>
      <rPr>
        <b/>
        <i/>
        <vertAlign val="subscript"/>
        <sz val="11"/>
        <color theme="1"/>
        <rFont val="Tahoma"/>
        <family val="2"/>
        <charset val="204"/>
      </rPr>
      <t>б</t>
    </r>
    <r>
      <rPr>
        <b/>
        <i/>
        <vertAlign val="superscript"/>
        <sz val="11"/>
        <color theme="1"/>
        <rFont val="Tahoma"/>
        <family val="2"/>
        <charset val="204"/>
      </rPr>
      <t>гс</t>
    </r>
    <r>
      <rPr>
        <i/>
        <sz val="10"/>
        <color theme="1"/>
        <rFont val="Tahoma"/>
        <family val="2"/>
        <charset val="204"/>
      </rPr>
      <t>)</t>
    </r>
  </si>
  <si>
    <r>
      <t>Расходы на техническое обслуживание и ремонт основных средств котельной с использованием газа и тепловых сетей в базовом (2019) году, тыс. руб. (</t>
    </r>
    <r>
      <rPr>
        <b/>
        <sz val="11"/>
        <color theme="1"/>
        <rFont val="Tahoma"/>
        <family val="2"/>
        <charset val="204"/>
      </rPr>
      <t>ТО</t>
    </r>
    <r>
      <rPr>
        <b/>
        <vertAlign val="subscript"/>
        <sz val="11"/>
        <color theme="1"/>
        <rFont val="Tahoma"/>
        <family val="2"/>
        <charset val="204"/>
      </rPr>
      <t>б,k</t>
    </r>
    <r>
      <rPr>
        <sz val="10"/>
        <color theme="1"/>
        <rFont val="Tahoma"/>
        <family val="2"/>
        <charset val="204"/>
      </rPr>
      <t>)</t>
    </r>
  </si>
  <si>
    <r>
      <t>Базовая величина капитальных затрат на основные средства котельной с использованием газа в базовом году, тыс. руб. (</t>
    </r>
    <r>
      <rPr>
        <b/>
        <i/>
        <sz val="11"/>
        <color theme="1"/>
        <rFont val="Tahoma"/>
        <family val="2"/>
        <charset val="204"/>
      </rPr>
      <t>КЗО</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</si>
  <si>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r>
      <t>Расходы на электрическую энергию на собственные нужды котельной с использованием газа в базовом (2019) году, тыс. руб. (</t>
    </r>
    <r>
      <rPr>
        <b/>
        <sz val="11"/>
        <color theme="1"/>
        <rFont val="Tahoma"/>
        <family val="2"/>
        <charset val="204"/>
      </rPr>
      <t>РЭ</t>
    </r>
    <r>
      <rPr>
        <b/>
        <vertAlign val="subscript"/>
        <sz val="11"/>
        <color theme="1"/>
        <rFont val="Tahoma"/>
        <family val="2"/>
        <charset val="204"/>
      </rPr>
      <t>б,k</t>
    </r>
    <r>
      <rPr>
        <sz val="10"/>
        <color theme="1"/>
        <rFont val="Tahoma"/>
        <family val="2"/>
        <charset val="204"/>
      </rPr>
      <t>)</t>
    </r>
  </si>
  <si>
    <r>
      <t>Общая максимальная мощность энергопринимающих устройств котельной с использованием газа, кВт (</t>
    </r>
    <r>
      <rPr>
        <b/>
        <i/>
        <sz val="11"/>
        <color theme="1"/>
        <rFont val="Tahoma"/>
        <family val="2"/>
        <charset val="204"/>
      </rPr>
      <t>Э</t>
    </r>
    <r>
      <rPr>
        <b/>
        <i/>
        <vertAlign val="subscript"/>
        <sz val="11"/>
        <color theme="1"/>
        <rFont val="Tahoma"/>
        <family val="2"/>
        <charset val="204"/>
      </rPr>
      <t>k</t>
    </r>
    <r>
      <rPr>
        <i/>
        <sz val="10"/>
        <color theme="1"/>
        <rFont val="Tahoma"/>
        <family val="2"/>
        <charset val="204"/>
      </rPr>
      <t>)</t>
    </r>
  </si>
  <si>
    <r>
      <t>Расходы на оплату труда персонала котельной с использованием газа в базовом (2019) году, тыс. руб. (</t>
    </r>
    <r>
      <rPr>
        <b/>
        <sz val="11"/>
        <color theme="1"/>
        <rFont val="Tahoma"/>
        <family val="2"/>
        <charset val="204"/>
      </rPr>
      <t>РП</t>
    </r>
    <r>
      <rPr>
        <b/>
        <vertAlign val="subscript"/>
        <sz val="11"/>
        <color theme="1"/>
        <rFont val="Tahoma"/>
        <family val="2"/>
        <charset val="204"/>
      </rPr>
      <t>б,k</t>
    </r>
    <r>
      <rPr>
        <sz val="10"/>
        <color theme="1"/>
        <rFont val="Tahoma"/>
        <family val="2"/>
        <charset val="204"/>
      </rPr>
      <t>)</t>
    </r>
  </si>
  <si>
    <t>Заработная плата сотрудников котельной, производящей тепловую энергию с использованием газа, в базовом (2019) году, тыс. руб.</t>
  </si>
  <si>
    <r>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им</t>
    </r>
    <r>
      <rPr>
        <sz val="10"/>
        <color theme="1"/>
        <rFont val="Tahoma"/>
        <family val="2"/>
        <charset val="204"/>
      </rPr>
      <t>)</t>
    </r>
  </si>
  <si>
    <r>
      <t>Индекс цен производителей промышленной продукции (накопленным итогом), % (</t>
    </r>
    <r>
      <rPr>
        <b/>
        <sz val="11"/>
        <rFont val="Tahoma"/>
        <family val="2"/>
        <charset val="204"/>
      </rPr>
      <t>ИЦП</t>
    </r>
    <r>
      <rPr>
        <b/>
        <vertAlign val="subscript"/>
        <sz val="11"/>
        <rFont val="Tahoma"/>
        <family val="2"/>
        <charset val="204"/>
      </rPr>
      <t>i</t>
    </r>
    <r>
      <rPr>
        <b/>
        <sz val="10"/>
        <rFont val="Tahoma"/>
        <family val="2"/>
        <charset val="204"/>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</si>
</sst>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
    <numFmt numFmtId="167" formatCode="0.000"/>
  </numFmts>
  <fonts count="3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Times New Roman"/>
      <family val="1"/>
      <charset val="204"/>
    </font>
    <font>
      <sz val="11"/>
      <color theme="1"/>
      <name val="Calibri"/>
      <family val="2"/>
      <scheme val="minor"/>
    </font>
    <font>
      <sz val="11"/>
      <color rgb="FF000000"/>
      <name val="Calibri"/>
      <family val="2"/>
      <charset val="204"/>
    </font>
    <font>
      <sz val="10"/>
      <color indexed="8"/>
      <name val="Tahoma"/>
      <family val="2"/>
      <charset val="204"/>
    </font>
    <font>
      <b/>
      <sz val="11"/>
      <name val="Tahoma"/>
      <family val="2"/>
      <charset val="204"/>
    </font>
    <font>
      <b/>
      <sz val="10"/>
      <color indexed="8"/>
      <name val="Tahoma"/>
      <family val="2"/>
      <charset val="204"/>
    </font>
    <font>
      <b/>
      <sz val="11"/>
      <color theme="1"/>
      <name val="Tahoma"/>
      <family val="2"/>
      <charset val="204"/>
    </font>
    <font>
      <b/>
      <vertAlign val="subscript"/>
      <sz val="11"/>
      <color theme="1"/>
      <name val="Tahoma"/>
      <family val="2"/>
      <charset val="204"/>
    </font>
    <font>
      <sz val="10"/>
      <color theme="1"/>
      <name val="Tahoma"/>
      <family val="2"/>
      <charset val="204"/>
    </font>
    <font>
      <b/>
      <sz val="11"/>
      <color theme="1"/>
      <name val="Calibri"/>
      <family val="2"/>
      <charset val="204"/>
    </font>
    <font>
      <b/>
      <vertAlign val="superscript"/>
      <sz val="11"/>
      <color theme="1"/>
      <name val="Tahoma"/>
      <family val="2"/>
      <charset val="204"/>
    </font>
    <font>
      <i/>
      <sz val="10"/>
      <color indexed="8"/>
      <name val="Tahoma"/>
      <family val="2"/>
      <charset val="204"/>
    </font>
    <font>
      <b/>
      <i/>
      <sz val="11"/>
      <color theme="1"/>
      <name val="Tahoma"/>
      <family val="2"/>
      <charset val="204"/>
    </font>
    <font>
      <b/>
      <i/>
      <vertAlign val="subscript"/>
      <sz val="11"/>
      <color theme="1"/>
      <name val="Tahoma"/>
      <family val="2"/>
      <charset val="204"/>
    </font>
    <font>
      <i/>
      <sz val="10"/>
      <color theme="1"/>
      <name val="Tahoma"/>
      <family val="2"/>
      <charset val="204"/>
    </font>
    <font>
      <sz val="10"/>
      <name val="Tahoma"/>
      <family val="2"/>
      <charset val="204"/>
    </font>
    <font>
      <b/>
      <vertAlign val="superscript"/>
      <sz val="11"/>
      <name val="Tahoma"/>
      <family val="2"/>
      <charset val="204"/>
    </font>
    <font>
      <b/>
      <i/>
      <sz val="10"/>
      <color theme="1"/>
      <name val="Tahoma"/>
      <family val="2"/>
      <charset val="204"/>
    </font>
    <font>
      <b/>
      <i/>
      <vertAlign val="superscript"/>
      <sz val="10"/>
      <color theme="1"/>
      <name val="Tahoma"/>
      <family val="2"/>
      <charset val="204"/>
    </font>
    <font>
      <sz val="11"/>
      <color theme="1"/>
      <name val="Tahoma"/>
      <family val="2"/>
      <charset val="204"/>
    </font>
    <font>
      <b/>
      <i/>
      <sz val="10"/>
      <color indexed="8"/>
      <name val="Tahoma"/>
      <family val="2"/>
      <charset val="204"/>
    </font>
    <font>
      <b/>
      <sz val="10"/>
      <color theme="1"/>
      <name val="Tahoma"/>
      <family val="2"/>
      <charset val="204"/>
    </font>
    <font>
      <b/>
      <vertAlign val="superscript"/>
      <sz val="10"/>
      <color theme="1"/>
      <name val="Tahoma"/>
      <family val="2"/>
      <charset val="204"/>
    </font>
    <font>
      <b/>
      <i/>
      <vertAlign val="subscript"/>
      <sz val="10"/>
      <color theme="1"/>
      <name val="Tahoma"/>
      <family val="2"/>
      <charset val="204"/>
    </font>
    <font>
      <b/>
      <i/>
      <vertAlign val="superscript"/>
      <sz val="11"/>
      <color theme="1"/>
      <name val="Tahoma"/>
      <family val="2"/>
      <charset val="204"/>
    </font>
    <font>
      <b/>
      <sz val="11"/>
      <color indexed="8"/>
      <name val="Tahoma"/>
      <family val="2"/>
      <charset val="204"/>
    </font>
    <font>
      <b/>
      <vertAlign val="subscript"/>
      <sz val="10"/>
      <color theme="1"/>
      <name val="Tahoma"/>
      <family val="2"/>
      <charset val="204"/>
    </font>
    <font>
      <b/>
      <i/>
      <sz val="11"/>
      <name val="Tahoma"/>
      <family val="2"/>
      <charset val="204"/>
    </font>
    <font>
      <i/>
      <sz val="10"/>
      <name val="Tahoma"/>
      <family val="2"/>
      <charset val="204"/>
    </font>
    <font>
      <sz val="10"/>
      <name val="Arial Cyr"/>
      <charset val="204"/>
    </font>
    <font>
      <b/>
      <sz val="10"/>
      <name val="Tahoma"/>
      <family val="2"/>
      <charset val="204"/>
    </font>
    <font>
      <b/>
      <vertAlign val="subscript"/>
      <sz val="11"/>
      <name val="Tahoma"/>
      <family val="2"/>
      <charset val="204"/>
    </font>
    <font>
      <b/>
      <vertAlign val="superscript"/>
      <sz val="11"/>
      <color indexed="8"/>
      <name val="Tahoma"/>
      <family val="2"/>
      <charset val="204"/>
    </font>
    <font>
      <b/>
      <vertAlign val="subscript"/>
      <sz val="11"/>
      <color indexed="8"/>
      <name val="Tahoma"/>
      <family val="2"/>
      <charset val="204"/>
    </font>
  </fonts>
  <fills count="3">
    <fill>
      <patternFill patternType="none"/>
    </fill>
    <fill>
      <patternFill patternType="gray125"/>
    </fill>
    <fill>
      <patternFill patternType="solid">
        <fgColor theme="0"/>
        <bgColor indexed="64"/>
      </patternFill>
    </fill>
  </fills>
  <borders count="23">
    <border>
      <left/>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style="medium">
        <color indexed="64"/>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bottom/>
      <diagonal/>
    </border>
    <border>
      <left style="thin">
        <color indexed="64"/>
      </left>
      <right style="medium">
        <color indexed="64"/>
      </right>
      <top/>
      <bottom/>
      <diagonal/>
    </border>
    <border>
      <left/>
      <right/>
      <top style="medium">
        <color auto="1"/>
      </top>
      <bottom/>
      <diagonal/>
    </border>
  </borders>
  <cellStyleXfs count="9">
    <xf numFmtId="0" fontId="0" fillId="0" borderId="0"/>
    <xf numFmtId="0" fontId="3" fillId="0" borderId="0"/>
    <xf numFmtId="0" fontId="4" fillId="0" borderId="0" applyNumberFormat="0" applyFill="0" applyBorder="0" applyAlignment="0" applyProtection="0"/>
    <xf numFmtId="0" fontId="5" fillId="0" borderId="0"/>
    <xf numFmtId="0" fontId="3" fillId="0" borderId="0"/>
    <xf numFmtId="0" fontId="2" fillId="0" borderId="0"/>
    <xf numFmtId="9" fontId="6" fillId="0" borderId="0" applyFont="0" applyFill="0" applyBorder="0" applyAlignment="0" applyProtection="0"/>
    <xf numFmtId="0" fontId="1" fillId="0" borderId="0"/>
    <xf numFmtId="0" fontId="34" fillId="0" borderId="0"/>
  </cellStyleXfs>
  <cellXfs count="148">
    <xf numFmtId="0" fontId="0" fillId="0" borderId="0" xfId="0"/>
    <xf numFmtId="10" fontId="8" fillId="2" borderId="0" xfId="7" applyNumberFormat="1" applyFont="1" applyFill="1" applyAlignment="1">
      <alignment wrapText="1"/>
    </xf>
    <xf numFmtId="0" fontId="8" fillId="2" borderId="0" xfId="7" applyFont="1" applyFill="1"/>
    <xf numFmtId="0" fontId="8" fillId="2" borderId="0" xfId="7" applyFont="1" applyFill="1" applyAlignment="1">
      <alignment wrapText="1"/>
    </xf>
    <xf numFmtId="0" fontId="8" fillId="2" borderId="0" xfId="7" applyFont="1" applyFill="1" applyAlignment="1">
      <alignment horizontal="right"/>
    </xf>
    <xf numFmtId="14" fontId="8" fillId="2" borderId="0" xfId="7" applyNumberFormat="1" applyFont="1" applyFill="1" applyAlignment="1">
      <alignment horizontal="center" vertical="center" wrapText="1"/>
    </xf>
    <xf numFmtId="0" fontId="10" fillId="2" borderId="0" xfId="7" applyFont="1" applyFill="1" applyAlignment="1">
      <alignment horizontal="left"/>
    </xf>
    <xf numFmtId="0" fontId="8" fillId="2" borderId="0" xfId="7" applyFont="1" applyFill="1" applyAlignment="1">
      <alignment horizontal="center" vertical="center"/>
    </xf>
    <xf numFmtId="0" fontId="8" fillId="2" borderId="0" xfId="7" applyFont="1" applyFill="1" applyBorder="1" applyAlignment="1">
      <alignment wrapText="1"/>
    </xf>
    <xf numFmtId="0" fontId="8" fillId="2" borderId="0" xfId="7" applyFont="1" applyFill="1" applyBorder="1" applyAlignment="1">
      <alignment horizontal="left" vertical="center" wrapText="1"/>
    </xf>
    <xf numFmtId="0" fontId="8" fillId="2" borderId="0" xfId="7" applyNumberFormat="1" applyFont="1" applyFill="1" applyBorder="1" applyAlignment="1">
      <alignment horizontal="center" vertical="center" wrapText="1"/>
    </xf>
    <xf numFmtId="49" fontId="8" fillId="2" borderId="0" xfId="7" applyNumberFormat="1" applyFont="1" applyFill="1" applyBorder="1" applyAlignment="1">
      <alignment horizontal="center" vertical="center" wrapText="1"/>
    </xf>
    <xf numFmtId="0" fontId="8" fillId="2" borderId="0" xfId="7" applyFont="1" applyFill="1" applyBorder="1" applyAlignment="1">
      <alignment vertical="center" wrapText="1"/>
    </xf>
    <xf numFmtId="0" fontId="8" fillId="2" borderId="0" xfId="7" applyFont="1" applyFill="1" applyBorder="1" applyAlignment="1">
      <alignment horizontal="center" vertical="center" wrapText="1"/>
    </xf>
    <xf numFmtId="1" fontId="8" fillId="2" borderId="0" xfId="7" applyNumberFormat="1" applyFont="1" applyFill="1" applyBorder="1" applyAlignment="1">
      <alignment horizontal="center" vertical="center" wrapText="1"/>
    </xf>
    <xf numFmtId="4" fontId="8" fillId="2" borderId="0" xfId="7" applyNumberFormat="1" applyFont="1" applyFill="1" applyBorder="1" applyAlignment="1">
      <alignment horizontal="center" vertical="center" wrapText="1"/>
    </xf>
    <xf numFmtId="4" fontId="10" fillId="2" borderId="5" xfId="7" applyNumberFormat="1" applyFont="1" applyFill="1" applyBorder="1" applyAlignment="1">
      <alignment horizontal="center" vertical="center" wrapText="1"/>
    </xf>
    <xf numFmtId="4" fontId="10" fillId="0" borderId="6" xfId="7" applyNumberFormat="1" applyFont="1" applyFill="1" applyBorder="1" applyAlignment="1">
      <alignment horizontal="center" vertical="center" wrapText="1"/>
    </xf>
    <xf numFmtId="4" fontId="10" fillId="0" borderId="7" xfId="7" applyNumberFormat="1" applyFont="1" applyFill="1" applyBorder="1" applyAlignment="1">
      <alignment horizontal="center" vertical="center" wrapText="1"/>
    </xf>
    <xf numFmtId="0" fontId="10" fillId="2" borderId="2" xfId="7" applyFont="1" applyFill="1" applyBorder="1" applyAlignment="1">
      <alignment horizontal="center" vertical="center" wrapText="1"/>
    </xf>
    <xf numFmtId="0" fontId="10" fillId="0" borderId="8" xfId="7" applyFont="1" applyBorder="1" applyAlignment="1">
      <alignment horizontal="center" vertical="center" wrapText="1"/>
    </xf>
    <xf numFmtId="0" fontId="10" fillId="0" borderId="3" xfId="7" applyFont="1" applyBorder="1" applyAlignment="1">
      <alignment horizontal="center" vertical="center" wrapText="1"/>
    </xf>
    <xf numFmtId="49" fontId="8" fillId="2" borderId="2" xfId="7" applyNumberFormat="1" applyFont="1" applyFill="1" applyBorder="1" applyAlignment="1">
      <alignment horizontal="right" vertical="center" wrapText="1"/>
    </xf>
    <xf numFmtId="0" fontId="10" fillId="2" borderId="8" xfId="7" applyFont="1" applyFill="1" applyBorder="1" applyAlignment="1">
      <alignment vertical="center" wrapText="1"/>
    </xf>
    <xf numFmtId="4" fontId="10" fillId="2" borderId="3" xfId="7" applyNumberFormat="1" applyFont="1" applyFill="1" applyBorder="1" applyAlignment="1">
      <alignment horizontal="center" vertical="center" wrapText="1"/>
    </xf>
    <xf numFmtId="0" fontId="8" fillId="2" borderId="8" xfId="7" applyFont="1" applyFill="1" applyBorder="1" applyAlignment="1">
      <alignment horizontal="left" vertical="center" wrapText="1"/>
    </xf>
    <xf numFmtId="4" fontId="8" fillId="2" borderId="3" xfId="7" applyNumberFormat="1" applyFont="1" applyFill="1" applyBorder="1" applyAlignment="1">
      <alignment horizontal="center" vertical="center" wrapText="1"/>
    </xf>
    <xf numFmtId="49" fontId="8" fillId="2" borderId="9" xfId="7" applyNumberFormat="1" applyFont="1" applyFill="1" applyBorder="1" applyAlignment="1">
      <alignment horizontal="right" vertical="center" wrapText="1"/>
    </xf>
    <xf numFmtId="0" fontId="8" fillId="2" borderId="10" xfId="7" applyFont="1" applyFill="1" applyBorder="1" applyAlignment="1">
      <alignment horizontal="left" vertical="center" wrapText="1"/>
    </xf>
    <xf numFmtId="4" fontId="8" fillId="2" borderId="11" xfId="7" applyNumberFormat="1" applyFont="1" applyFill="1" applyBorder="1" applyAlignment="1">
      <alignment horizontal="center" vertical="center" wrapText="1"/>
    </xf>
    <xf numFmtId="4" fontId="10" fillId="2" borderId="12" xfId="7" applyNumberFormat="1" applyFont="1" applyFill="1" applyBorder="1" applyAlignment="1">
      <alignment horizontal="center" vertical="center" wrapText="1"/>
    </xf>
    <xf numFmtId="4" fontId="10" fillId="2" borderId="6" xfId="7" applyNumberFormat="1" applyFont="1" applyFill="1" applyBorder="1" applyAlignment="1">
      <alignment horizontal="center" vertical="center" wrapText="1"/>
    </xf>
    <xf numFmtId="3" fontId="10" fillId="2" borderId="13" xfId="7" applyNumberFormat="1" applyFont="1" applyFill="1" applyBorder="1" applyAlignment="1">
      <alignment horizontal="center" vertical="center" wrapText="1"/>
    </xf>
    <xf numFmtId="3" fontId="10" fillId="2" borderId="8" xfId="7" applyNumberFormat="1" applyFont="1" applyFill="1" applyBorder="1" applyAlignment="1">
      <alignment horizontal="center" vertical="center" wrapText="1"/>
    </xf>
    <xf numFmtId="0" fontId="8" fillId="2" borderId="13" xfId="7" applyFont="1" applyFill="1" applyBorder="1" applyAlignment="1">
      <alignment horizontal="left" vertical="center" wrapText="1" indent="2"/>
    </xf>
    <xf numFmtId="4" fontId="8" fillId="2" borderId="8" xfId="7" applyNumberFormat="1" applyFont="1" applyFill="1" applyBorder="1" applyAlignment="1">
      <alignment horizontal="center" vertical="center" wrapText="1"/>
    </xf>
    <xf numFmtId="10" fontId="8" fillId="2" borderId="8" xfId="6" applyNumberFormat="1" applyFont="1" applyFill="1" applyBorder="1" applyAlignment="1">
      <alignment horizontal="center" vertical="center" wrapText="1"/>
    </xf>
    <xf numFmtId="0" fontId="16" fillId="2" borderId="13" xfId="7" applyFont="1" applyFill="1" applyBorder="1" applyAlignment="1">
      <alignment horizontal="left" vertical="center" wrapText="1" indent="2"/>
    </xf>
    <xf numFmtId="4" fontId="8" fillId="2" borderId="8" xfId="7" applyNumberFormat="1" applyFont="1" applyFill="1" applyBorder="1" applyAlignment="1">
      <alignment horizontal="center" vertical="center"/>
    </xf>
    <xf numFmtId="3" fontId="8" fillId="2" borderId="8" xfId="7" applyNumberFormat="1" applyFont="1" applyFill="1" applyBorder="1" applyAlignment="1">
      <alignment horizontal="center" vertical="center"/>
    </xf>
    <xf numFmtId="0" fontId="8" fillId="2" borderId="8" xfId="7" applyFont="1" applyFill="1" applyBorder="1" applyAlignment="1">
      <alignment horizontal="left" vertical="center" wrapText="1" indent="2"/>
    </xf>
    <xf numFmtId="164" fontId="8" fillId="2" borderId="8" xfId="7" applyNumberFormat="1" applyFont="1" applyFill="1" applyBorder="1" applyAlignment="1">
      <alignment horizontal="center" vertical="center" wrapText="1"/>
    </xf>
    <xf numFmtId="49" fontId="13" fillId="2" borderId="2" xfId="0" applyNumberFormat="1" applyFont="1" applyFill="1" applyBorder="1" applyAlignment="1">
      <alignment horizontal="right" vertical="center"/>
    </xf>
    <xf numFmtId="0" fontId="20" fillId="0" borderId="8" xfId="0" applyFont="1" applyFill="1" applyBorder="1" applyAlignment="1">
      <alignment horizontal="left" vertical="center" wrapText="1" indent="3"/>
    </xf>
    <xf numFmtId="0" fontId="13" fillId="2" borderId="8" xfId="0" applyFont="1" applyFill="1" applyBorder="1" applyAlignment="1">
      <alignment horizontal="left" vertical="center" wrapText="1" indent="5"/>
    </xf>
    <xf numFmtId="0" fontId="19" fillId="2" borderId="8" xfId="0" applyFont="1" applyFill="1" applyBorder="1" applyAlignment="1">
      <alignment horizontal="left" vertical="center" wrapText="1" indent="5"/>
    </xf>
    <xf numFmtId="0" fontId="16" fillId="2" borderId="15" xfId="7" applyFont="1" applyFill="1" applyBorder="1" applyAlignment="1">
      <alignment horizontal="left" vertical="center" wrapText="1" indent="2"/>
    </xf>
    <xf numFmtId="164" fontId="8" fillId="2" borderId="10" xfId="7" applyNumberFormat="1" applyFont="1" applyFill="1" applyBorder="1" applyAlignment="1">
      <alignment horizontal="center" vertical="center" wrapText="1"/>
    </xf>
    <xf numFmtId="49" fontId="8" fillId="2" borderId="1" xfId="7" applyNumberFormat="1" applyFont="1" applyFill="1" applyBorder="1" applyAlignment="1">
      <alignment horizontal="right" vertical="center" wrapText="1"/>
    </xf>
    <xf numFmtId="0" fontId="8" fillId="0" borderId="0" xfId="7" applyFont="1" applyFill="1" applyBorder="1" applyAlignment="1">
      <alignment horizontal="left" vertical="center" wrapText="1" indent="2"/>
    </xf>
    <xf numFmtId="4" fontId="8" fillId="0" borderId="0" xfId="7" applyNumberFormat="1" applyFont="1" applyFill="1" applyBorder="1" applyAlignment="1">
      <alignment horizontal="center" vertical="center" wrapText="1"/>
    </xf>
    <xf numFmtId="49" fontId="8" fillId="2" borderId="5" xfId="7" applyNumberFormat="1" applyFont="1" applyFill="1" applyBorder="1" applyAlignment="1">
      <alignment horizontal="right" vertical="center" wrapText="1"/>
    </xf>
    <xf numFmtId="49" fontId="8" fillId="2" borderId="8" xfId="7" applyNumberFormat="1" applyFont="1" applyFill="1" applyBorder="1" applyAlignment="1">
      <alignment horizontal="center" vertical="center" wrapText="1"/>
    </xf>
    <xf numFmtId="0" fontId="8" fillId="2" borderId="8" xfId="7" applyFont="1" applyFill="1" applyBorder="1" applyAlignment="1">
      <alignment horizontal="center" vertical="center" wrapText="1"/>
    </xf>
    <xf numFmtId="0" fontId="8" fillId="2" borderId="13" xfId="7" applyFont="1" applyFill="1" applyBorder="1" applyAlignment="1">
      <alignment horizontal="left" vertical="center" wrapText="1" indent="4"/>
    </xf>
    <xf numFmtId="0" fontId="8" fillId="2" borderId="13" xfId="7" applyFont="1" applyFill="1" applyBorder="1" applyAlignment="1">
      <alignment horizontal="left" vertical="center" wrapText="1" indent="7"/>
    </xf>
    <xf numFmtId="0" fontId="16" fillId="2" borderId="13" xfId="7" applyFont="1" applyFill="1" applyBorder="1" applyAlignment="1">
      <alignment horizontal="left" vertical="center" wrapText="1" indent="7"/>
    </xf>
    <xf numFmtId="0" fontId="19" fillId="2" borderId="8" xfId="0" applyFont="1" applyFill="1" applyBorder="1" applyAlignment="1">
      <alignment horizontal="left" vertical="center" wrapText="1" indent="7"/>
    </xf>
    <xf numFmtId="0" fontId="13" fillId="2" borderId="8" xfId="0" applyFont="1" applyFill="1" applyBorder="1" applyAlignment="1">
      <alignment horizontal="left" vertical="center" wrapText="1" indent="7"/>
    </xf>
    <xf numFmtId="0" fontId="16" fillId="2" borderId="13" xfId="7" applyFont="1" applyFill="1" applyBorder="1" applyAlignment="1">
      <alignment horizontal="left" vertical="center" wrapText="1" indent="4"/>
    </xf>
    <xf numFmtId="49" fontId="8" fillId="2" borderId="2" xfId="7" applyNumberFormat="1" applyFont="1" applyFill="1" applyBorder="1" applyAlignment="1">
      <alignment horizontal="right" vertical="center"/>
    </xf>
    <xf numFmtId="0" fontId="19" fillId="2" borderId="8" xfId="0" applyFont="1" applyFill="1" applyBorder="1" applyAlignment="1">
      <alignment horizontal="left" vertical="center" wrapText="1" indent="4"/>
    </xf>
    <xf numFmtId="0" fontId="19" fillId="2" borderId="8" xfId="0" applyFont="1" applyFill="1" applyBorder="1" applyAlignment="1">
      <alignment horizontal="left" vertical="center" wrapText="1" indent="3"/>
    </xf>
    <xf numFmtId="3" fontId="8" fillId="2" borderId="8" xfId="7" applyNumberFormat="1" applyFont="1" applyFill="1" applyBorder="1" applyAlignment="1">
      <alignment horizontal="center" vertical="center" wrapText="1"/>
    </xf>
    <xf numFmtId="0" fontId="20" fillId="2" borderId="0" xfId="7" applyFont="1" applyFill="1"/>
    <xf numFmtId="0" fontId="13" fillId="2" borderId="8" xfId="0" applyFont="1" applyFill="1" applyBorder="1" applyAlignment="1">
      <alignment horizontal="left" vertical="center" wrapText="1" indent="2"/>
    </xf>
    <xf numFmtId="0" fontId="8" fillId="2" borderId="13" xfId="7" applyFont="1" applyFill="1" applyBorder="1" applyAlignment="1">
      <alignment horizontal="left" vertical="center" wrapText="1" indent="5"/>
    </xf>
    <xf numFmtId="0" fontId="16" fillId="2" borderId="13" xfId="7" applyFont="1" applyFill="1" applyBorder="1" applyAlignment="1">
      <alignment horizontal="left" vertical="center" wrapText="1" indent="5"/>
    </xf>
    <xf numFmtId="165" fontId="8" fillId="2" borderId="8" xfId="7" applyNumberFormat="1" applyFont="1" applyFill="1" applyBorder="1" applyAlignment="1">
      <alignment horizontal="center" vertical="center" wrapText="1"/>
    </xf>
    <xf numFmtId="4" fontId="20" fillId="2" borderId="8" xfId="7" applyNumberFormat="1" applyFont="1" applyFill="1" applyBorder="1" applyAlignment="1">
      <alignment horizontal="center" vertical="center"/>
    </xf>
    <xf numFmtId="0" fontId="8" fillId="2" borderId="13" xfId="7" applyFont="1" applyFill="1" applyBorder="1" applyAlignment="1">
      <alignment horizontal="left" wrapText="1" indent="5"/>
    </xf>
    <xf numFmtId="10" fontId="20" fillId="2" borderId="8" xfId="6" applyNumberFormat="1" applyFont="1" applyFill="1" applyBorder="1" applyAlignment="1">
      <alignment horizontal="center" vertical="center"/>
    </xf>
    <xf numFmtId="0" fontId="19" fillId="2" borderId="13" xfId="7" applyFont="1" applyFill="1" applyBorder="1" applyAlignment="1">
      <alignment horizontal="left" vertical="center" wrapText="1" indent="4"/>
    </xf>
    <xf numFmtId="49" fontId="8" fillId="2" borderId="9" xfId="7" applyNumberFormat="1" applyFont="1" applyFill="1" applyBorder="1" applyAlignment="1">
      <alignment horizontal="right" vertical="center"/>
    </xf>
    <xf numFmtId="0" fontId="16" fillId="2" borderId="15" xfId="7" applyFont="1" applyFill="1" applyBorder="1" applyAlignment="1">
      <alignment horizontal="left" vertical="center" wrapText="1" indent="4"/>
    </xf>
    <xf numFmtId="10" fontId="8" fillId="2" borderId="10" xfId="6" applyNumberFormat="1" applyFont="1" applyFill="1" applyBorder="1" applyAlignment="1">
      <alignment horizontal="center" vertical="center" wrapText="1"/>
    </xf>
    <xf numFmtId="0" fontId="8" fillId="2" borderId="0" xfId="7" applyFont="1" applyFill="1" applyBorder="1" applyAlignment="1">
      <alignment horizontal="left" vertical="center" wrapText="1" indent="2"/>
    </xf>
    <xf numFmtId="49" fontId="20" fillId="2" borderId="5" xfId="7" applyNumberFormat="1" applyFont="1" applyFill="1" applyBorder="1" applyAlignment="1">
      <alignment horizontal="right" vertical="center"/>
    </xf>
    <xf numFmtId="49" fontId="20" fillId="2" borderId="2" xfId="7" applyNumberFormat="1" applyFont="1" applyFill="1" applyBorder="1" applyAlignment="1">
      <alignment horizontal="right" vertical="center"/>
    </xf>
    <xf numFmtId="9" fontId="8" fillId="2" borderId="8" xfId="6" applyFont="1" applyFill="1" applyBorder="1" applyAlignment="1">
      <alignment horizontal="center" vertical="center" wrapText="1"/>
    </xf>
    <xf numFmtId="0" fontId="16" fillId="0" borderId="13" xfId="7" applyFont="1" applyFill="1" applyBorder="1" applyAlignment="1">
      <alignment horizontal="left" vertical="center" wrapText="1" indent="4"/>
    </xf>
    <xf numFmtId="166" fontId="8" fillId="2" borderId="8" xfId="6" applyNumberFormat="1" applyFont="1" applyFill="1" applyBorder="1" applyAlignment="1">
      <alignment horizontal="center" vertical="center" wrapText="1"/>
    </xf>
    <xf numFmtId="49" fontId="20" fillId="2" borderId="9" xfId="7" applyNumberFormat="1" applyFont="1" applyFill="1" applyBorder="1" applyAlignment="1">
      <alignment horizontal="right" vertical="center"/>
    </xf>
    <xf numFmtId="0" fontId="13" fillId="2" borderId="10" xfId="0" applyFont="1" applyFill="1" applyBorder="1" applyAlignment="1">
      <alignment horizontal="left" vertical="center" wrapText="1" indent="4"/>
    </xf>
    <xf numFmtId="4" fontId="8" fillId="2" borderId="10" xfId="7" applyNumberFormat="1" applyFont="1" applyFill="1" applyBorder="1" applyAlignment="1">
      <alignment horizontal="center" vertical="center" wrapText="1"/>
    </xf>
    <xf numFmtId="49" fontId="8" fillId="2" borderId="5" xfId="7" applyNumberFormat="1" applyFont="1" applyFill="1" applyBorder="1" applyAlignment="1">
      <alignment horizontal="right" vertical="center"/>
    </xf>
    <xf numFmtId="0" fontId="8" fillId="2" borderId="8" xfId="7" applyNumberFormat="1" applyFont="1" applyFill="1" applyBorder="1" applyAlignment="1">
      <alignment horizontal="center" vertical="center" wrapText="1"/>
    </xf>
    <xf numFmtId="0" fontId="8" fillId="2" borderId="8" xfId="7" applyFont="1" applyFill="1" applyBorder="1" applyAlignment="1">
      <alignment horizontal="left" vertical="center" wrapText="1" indent="4"/>
    </xf>
    <xf numFmtId="0" fontId="13" fillId="2" borderId="8" xfId="0" applyFont="1" applyFill="1" applyBorder="1" applyAlignment="1">
      <alignment horizontal="left" vertical="center" wrapText="1" indent="6"/>
    </xf>
    <xf numFmtId="0" fontId="13" fillId="2" borderId="10" xfId="0" applyFont="1" applyFill="1" applyBorder="1" applyAlignment="1">
      <alignment horizontal="left" vertical="center" wrapText="1" indent="7"/>
    </xf>
    <xf numFmtId="0" fontId="8" fillId="2" borderId="0" xfId="7" applyFont="1" applyFill="1" applyBorder="1"/>
    <xf numFmtId="0" fontId="8" fillId="2" borderId="15" xfId="7" applyFont="1" applyFill="1" applyBorder="1" applyAlignment="1">
      <alignment horizontal="left" vertical="center" wrapText="1" indent="2"/>
    </xf>
    <xf numFmtId="0" fontId="20" fillId="2" borderId="8" xfId="7" applyFont="1" applyFill="1" applyBorder="1" applyAlignment="1">
      <alignment horizontal="left" vertical="center" wrapText="1" indent="2"/>
    </xf>
    <xf numFmtId="4" fontId="8" fillId="2" borderId="8" xfId="6" applyNumberFormat="1" applyFont="1" applyFill="1" applyBorder="1" applyAlignment="1">
      <alignment horizontal="center" vertical="center" wrapText="1"/>
    </xf>
    <xf numFmtId="0" fontId="20" fillId="2" borderId="10" xfId="7" applyFont="1" applyFill="1" applyBorder="1" applyAlignment="1">
      <alignment horizontal="left" vertical="center" wrapText="1" indent="2"/>
    </xf>
    <xf numFmtId="4" fontId="20" fillId="2" borderId="10" xfId="7" applyNumberFormat="1" applyFont="1" applyFill="1" applyBorder="1" applyAlignment="1">
      <alignment horizontal="center" vertical="center" wrapText="1"/>
    </xf>
    <xf numFmtId="49" fontId="8" fillId="2" borderId="17" xfId="7" applyNumberFormat="1" applyFont="1" applyFill="1" applyBorder="1" applyAlignment="1">
      <alignment horizontal="right" vertical="center"/>
    </xf>
    <xf numFmtId="0" fontId="8" fillId="2" borderId="18" xfId="7" applyFont="1" applyFill="1" applyBorder="1" applyAlignment="1">
      <alignment horizontal="left" vertical="center" wrapText="1" indent="4"/>
    </xf>
    <xf numFmtId="10" fontId="8" fillId="2" borderId="18" xfId="6" applyNumberFormat="1" applyFont="1" applyFill="1" applyBorder="1" applyAlignment="1">
      <alignment horizontal="center" vertical="center" wrapText="1"/>
    </xf>
    <xf numFmtId="0" fontId="8" fillId="2" borderId="10" xfId="7" applyFont="1" applyFill="1" applyBorder="1" applyAlignment="1">
      <alignment horizontal="left" vertical="center" wrapText="1" indent="4"/>
    </xf>
    <xf numFmtId="0" fontId="26" fillId="2" borderId="6" xfId="0" applyFont="1" applyFill="1" applyBorder="1" applyAlignment="1">
      <alignment horizontal="left" vertical="center" wrapText="1"/>
    </xf>
    <xf numFmtId="4" fontId="8" fillId="2" borderId="6" xfId="7" applyNumberFormat="1" applyFont="1" applyFill="1" applyBorder="1" applyAlignment="1">
      <alignment horizontal="center" vertical="center" wrapText="1"/>
    </xf>
    <xf numFmtId="0" fontId="16" fillId="2" borderId="8" xfId="7" applyFont="1" applyFill="1" applyBorder="1" applyAlignment="1">
      <alignment horizontal="left" vertical="center" wrapText="1" indent="4"/>
    </xf>
    <xf numFmtId="0" fontId="16" fillId="2" borderId="10" xfId="7" applyFont="1" applyFill="1" applyBorder="1" applyAlignment="1">
      <alignment horizontal="left" vertical="center" wrapText="1" indent="4"/>
    </xf>
    <xf numFmtId="0" fontId="35" fillId="2" borderId="6" xfId="8" applyFont="1" applyFill="1" applyBorder="1" applyAlignment="1">
      <alignment horizontal="left" vertical="center" wrapText="1"/>
    </xf>
    <xf numFmtId="10" fontId="8" fillId="2" borderId="6" xfId="6" applyNumberFormat="1" applyFont="1" applyFill="1" applyBorder="1" applyAlignment="1">
      <alignment horizontal="center" vertical="center" wrapText="1"/>
    </xf>
    <xf numFmtId="0" fontId="8" fillId="2" borderId="0" xfId="7" applyFont="1" applyFill="1" applyBorder="1" applyAlignment="1">
      <alignment horizontal="right" vertical="center"/>
    </xf>
    <xf numFmtId="0" fontId="8" fillId="2" borderId="20" xfId="7" applyFont="1" applyFill="1" applyBorder="1" applyAlignment="1">
      <alignment horizontal="right" wrapText="1" indent="1"/>
    </xf>
    <xf numFmtId="0" fontId="8" fillId="2" borderId="21" xfId="7" applyFont="1" applyFill="1" applyBorder="1" applyAlignment="1">
      <alignment horizontal="center" vertical="center" wrapText="1"/>
    </xf>
    <xf numFmtId="0" fontId="8" fillId="2" borderId="5" xfId="7" applyFont="1" applyFill="1" applyBorder="1"/>
    <xf numFmtId="10" fontId="20" fillId="2" borderId="7" xfId="7" applyNumberFormat="1" applyFont="1" applyFill="1" applyBorder="1" applyAlignment="1" applyProtection="1">
      <alignment vertical="center"/>
    </xf>
    <xf numFmtId="0" fontId="8" fillId="2" borderId="2" xfId="7" applyFont="1" applyFill="1" applyBorder="1"/>
    <xf numFmtId="10" fontId="20" fillId="2" borderId="3" xfId="7" applyNumberFormat="1" applyFont="1" applyFill="1" applyBorder="1" applyAlignment="1" applyProtection="1">
      <alignment vertical="center"/>
    </xf>
    <xf numFmtId="0" fontId="8" fillId="2" borderId="9" xfId="7" applyFont="1" applyFill="1" applyBorder="1"/>
    <xf numFmtId="10" fontId="20" fillId="2" borderId="11" xfId="7" applyNumberFormat="1" applyFont="1" applyFill="1" applyBorder="1" applyAlignment="1" applyProtection="1">
      <alignment vertical="center"/>
    </xf>
    <xf numFmtId="0" fontId="8" fillId="2" borderId="17" xfId="7" applyFont="1" applyFill="1" applyBorder="1"/>
    <xf numFmtId="10" fontId="20" fillId="2" borderId="19" xfId="7" applyNumberFormat="1" applyFont="1" applyFill="1" applyBorder="1" applyAlignment="1" applyProtection="1">
      <alignment vertical="center"/>
    </xf>
    <xf numFmtId="0" fontId="8" fillId="2" borderId="0" xfId="7" applyFont="1" applyFill="1" applyAlignment="1" applyProtection="1">
      <alignment horizontal="center" vertical="center"/>
    </xf>
    <xf numFmtId="0" fontId="10" fillId="2" borderId="0" xfId="7" applyFont="1" applyFill="1" applyAlignment="1">
      <alignment horizontal="left" vertical="center"/>
    </xf>
    <xf numFmtId="4" fontId="10" fillId="2" borderId="7" xfId="7" applyNumberFormat="1" applyFont="1" applyFill="1" applyBorder="1" applyAlignment="1">
      <alignment horizontal="center" vertical="center" wrapText="1"/>
    </xf>
    <xf numFmtId="0" fontId="10" fillId="2" borderId="8" xfId="7" applyFont="1" applyFill="1" applyBorder="1" applyAlignment="1">
      <alignment horizontal="center" vertical="center" wrapText="1"/>
    </xf>
    <xf numFmtId="0" fontId="10" fillId="2" borderId="3" xfId="7" applyFont="1" applyFill="1" applyBorder="1" applyAlignment="1">
      <alignment horizontal="center" vertical="center" wrapText="1"/>
    </xf>
    <xf numFmtId="165" fontId="8" fillId="2" borderId="8" xfId="7" applyNumberFormat="1" applyFont="1" applyFill="1" applyBorder="1" applyAlignment="1">
      <alignment horizontal="center" vertical="center"/>
    </xf>
    <xf numFmtId="49" fontId="8" fillId="2" borderId="8" xfId="7" applyNumberFormat="1" applyFont="1" applyFill="1" applyBorder="1" applyAlignment="1">
      <alignment horizontal="right" vertical="center" wrapText="1"/>
    </xf>
    <xf numFmtId="49" fontId="13" fillId="2" borderId="8" xfId="0" applyNumberFormat="1" applyFont="1" applyFill="1" applyBorder="1" applyAlignment="1">
      <alignment horizontal="right" vertical="center"/>
    </xf>
    <xf numFmtId="167" fontId="8" fillId="2" borderId="8" xfId="6" applyNumberFormat="1" applyFont="1" applyFill="1" applyBorder="1" applyAlignment="1">
      <alignment horizontal="center" vertical="center" wrapText="1"/>
    </xf>
    <xf numFmtId="167" fontId="8" fillId="2" borderId="8" xfId="7" applyNumberFormat="1" applyFont="1" applyFill="1" applyBorder="1" applyAlignment="1">
      <alignment horizontal="center" vertical="center" wrapText="1"/>
    </xf>
    <xf numFmtId="2" fontId="8" fillId="2" borderId="8" xfId="7" applyNumberFormat="1" applyFont="1" applyFill="1" applyBorder="1" applyAlignment="1">
      <alignment horizontal="center" vertical="center" wrapText="1"/>
    </xf>
    <xf numFmtId="4" fontId="20" fillId="2" borderId="8" xfId="7" applyNumberFormat="1" applyFont="1" applyFill="1" applyBorder="1" applyAlignment="1">
      <alignment horizontal="center" vertical="center" wrapText="1"/>
    </xf>
    <xf numFmtId="10" fontId="8" fillId="2" borderId="6" xfId="7" applyNumberFormat="1" applyFont="1" applyFill="1" applyBorder="1" applyAlignment="1">
      <alignment horizontal="center" vertical="center" wrapText="1"/>
    </xf>
    <xf numFmtId="0" fontId="8" fillId="2" borderId="5" xfId="7" applyFont="1" applyFill="1" applyBorder="1" applyAlignment="1">
      <alignment horizontal="right" wrapText="1" indent="1"/>
    </xf>
    <xf numFmtId="0" fontId="8" fillId="2" borderId="7" xfId="7" applyFont="1" applyFill="1" applyBorder="1" applyAlignment="1">
      <alignment horizontal="center" vertical="center" wrapText="1"/>
    </xf>
    <xf numFmtId="0" fontId="8" fillId="2" borderId="2" xfId="7" applyFont="1" applyFill="1" applyBorder="1" applyProtection="1"/>
    <xf numFmtId="10" fontId="20" fillId="2" borderId="3" xfId="7" applyNumberFormat="1" applyFont="1" applyFill="1" applyBorder="1" applyAlignment="1" applyProtection="1">
      <alignment horizontal="right" vertical="center"/>
    </xf>
    <xf numFmtId="10" fontId="8" fillId="2" borderId="3" xfId="7" applyNumberFormat="1" applyFont="1" applyFill="1" applyBorder="1" applyAlignment="1" applyProtection="1">
      <alignment horizontal="right" vertical="center"/>
    </xf>
    <xf numFmtId="10" fontId="8" fillId="2" borderId="3" xfId="7" applyNumberFormat="1" applyFont="1" applyFill="1" applyBorder="1" applyAlignment="1" applyProtection="1">
      <alignment vertical="center"/>
    </xf>
    <xf numFmtId="10" fontId="8" fillId="2" borderId="3" xfId="7" applyNumberFormat="1" applyFont="1" applyFill="1" applyBorder="1" applyAlignment="1" applyProtection="1">
      <alignment vertical="center"/>
      <protection locked="0"/>
    </xf>
    <xf numFmtId="10" fontId="8" fillId="2" borderId="11" xfId="7" applyNumberFormat="1" applyFont="1" applyFill="1" applyBorder="1" applyAlignment="1" applyProtection="1">
      <alignment vertical="center"/>
      <protection locked="0"/>
    </xf>
    <xf numFmtId="0" fontId="8" fillId="2" borderId="22" xfId="7" applyFont="1" applyFill="1" applyBorder="1"/>
    <xf numFmtId="0" fontId="8" fillId="2" borderId="22" xfId="7" applyFont="1" applyFill="1" applyBorder="1" applyAlignment="1">
      <alignment vertical="center"/>
    </xf>
    <xf numFmtId="0" fontId="8" fillId="2" borderId="0" xfId="7" applyFont="1" applyFill="1" applyAlignment="1">
      <alignment vertical="center"/>
    </xf>
    <xf numFmtId="0" fontId="8" fillId="2" borderId="10" xfId="7" applyFont="1" applyFill="1" applyBorder="1" applyAlignment="1">
      <alignment horizontal="left" vertical="center" wrapText="1"/>
    </xf>
    <xf numFmtId="0" fontId="10" fillId="2" borderId="16" xfId="7" applyFont="1" applyFill="1" applyBorder="1" applyAlignment="1">
      <alignment horizontal="left" vertical="center" wrapText="1"/>
    </xf>
    <xf numFmtId="0" fontId="10" fillId="2" borderId="6" xfId="7" applyFont="1" applyFill="1" applyBorder="1" applyAlignment="1">
      <alignment horizontal="left" vertical="center" wrapText="1"/>
    </xf>
    <xf numFmtId="0" fontId="9" fillId="2" borderId="0" xfId="7" applyFont="1" applyFill="1" applyBorder="1" applyAlignment="1">
      <alignment horizontal="center" vertical="center" wrapText="1"/>
    </xf>
    <xf numFmtId="0" fontId="10" fillId="2" borderId="4" xfId="7" applyFont="1" applyFill="1" applyBorder="1" applyAlignment="1">
      <alignment horizontal="left" wrapText="1"/>
    </xf>
    <xf numFmtId="0" fontId="10" fillId="2" borderId="14" xfId="7" applyFont="1" applyFill="1" applyBorder="1" applyAlignment="1">
      <alignment horizontal="left" vertical="center" wrapText="1"/>
    </xf>
    <xf numFmtId="0" fontId="10" fillId="2" borderId="4" xfId="7" applyFont="1" applyFill="1" applyBorder="1" applyAlignment="1">
      <alignment horizontal="center" wrapText="1"/>
    </xf>
  </cellXfs>
  <cellStyles count="9">
    <cellStyle name="Гиперссылка 2" xfId="2"/>
    <cellStyle name="Обычный" xfId="0" builtinId="0"/>
    <cellStyle name="Обычный 2" xfId="1"/>
    <cellStyle name="Обычный 2 2" xfId="3"/>
    <cellStyle name="Обычный 3" xfId="4"/>
    <cellStyle name="Обычный 4" xfId="5"/>
    <cellStyle name="Обычный 80" xfId="7"/>
    <cellStyle name="Обычный_Копия Condition-все вар13.12.08-утнах17-50" xfId="8"/>
    <cellStyle name="Процентный" xfId="6"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025" name="Button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0241" name="Button 1" hidden="1">
              <a:extLst>
                <a:ext uri="{63B3BB69-23CF-44E3-9099-C40C66FF867C}">
                  <a14:compatExt spid="_x0000_s1024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0242" name="Button 2" hidden="1">
              <a:extLst>
                <a:ext uri="{63B3BB69-23CF-44E3-9099-C40C66FF867C}">
                  <a14:compatExt spid="_x0000_s1024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1265" name="Button 1" hidden="1">
              <a:extLst>
                <a:ext uri="{63B3BB69-23CF-44E3-9099-C40C66FF867C}">
                  <a14:compatExt spid="_x0000_s1126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47625</xdr:colOff>
          <xdr:row>0</xdr:row>
          <xdr:rowOff>104775</xdr:rowOff>
        </xdr:from>
        <xdr:to>
          <xdr:col>4</xdr:col>
          <xdr:colOff>1095375</xdr:colOff>
          <xdr:row>0</xdr:row>
          <xdr:rowOff>352425</xdr:rowOff>
        </xdr:to>
        <xdr:sp macro="" textlink="">
          <xdr:nvSpPr>
            <xdr:cNvPr id="12289" name="Button 1" hidden="1">
              <a:extLst>
                <a:ext uri="{63B3BB69-23CF-44E3-9099-C40C66FF867C}">
                  <a14:compatExt spid="_x0000_s1228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2049" name="Button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3073" name="Button 1" hidden="1">
              <a:extLst>
                <a:ext uri="{63B3BB69-23CF-44E3-9099-C40C66FF867C}">
                  <a14:compatExt spid="_x0000_s307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4097" name="Button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4098" name="Button 2" hidden="1">
              <a:extLst>
                <a:ext uri="{63B3BB69-23CF-44E3-9099-C40C66FF867C}">
                  <a14:compatExt spid="_x0000_s409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5121" name="Button 1" hidden="1">
              <a:extLst>
                <a:ext uri="{63B3BB69-23CF-44E3-9099-C40C66FF867C}">
                  <a14:compatExt spid="_x0000_s512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5122" name="Button 2" hidden="1">
              <a:extLst>
                <a:ext uri="{63B3BB69-23CF-44E3-9099-C40C66FF867C}">
                  <a14:compatExt spid="_x0000_s512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6145" name="Button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6146" name="Button 2" hidden="1">
              <a:extLst>
                <a:ext uri="{63B3BB69-23CF-44E3-9099-C40C66FF867C}">
                  <a14:compatExt spid="_x0000_s614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7169" name="Button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7170" name="Button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8193" name="Button 1" hidden="1">
              <a:extLst>
                <a:ext uri="{63B3BB69-23CF-44E3-9099-C40C66FF867C}">
                  <a14:compatExt spid="_x0000_s819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8194" name="Button 2" hidden="1">
              <a:extLst>
                <a:ext uri="{63B3BB69-23CF-44E3-9099-C40C66FF867C}">
                  <a14:compatExt spid="_x0000_s8194"/>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9217" name="Button 1" hidden="1">
              <a:extLst>
                <a:ext uri="{63B3BB69-23CF-44E3-9099-C40C66FF867C}">
                  <a14:compatExt spid="_x0000_s921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9218" name="Button 2" hidden="1">
              <a:extLst>
                <a:ext uri="{63B3BB69-23CF-44E3-9099-C40C66FF867C}">
                  <a14:compatExt spid="_x0000_s921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ackoffice\Projects\Energy%20Group\&#1056;&#1072;&#1073;&#1086;&#1095;&#1080;&#1077;%20&#1084;&#1072;&#1090;&#1077;&#1088;&#1080;&#1072;&#1083;&#1099;%20&#1087;&#1086;%20&#1087;&#1088;&#1086;&#1077;&#1082;&#1090;&#1072;&#1084;\&#1050;&#1072;&#1083;&#1100;&#1082;&#1091;&#1083;&#1103;&#1090;&#1086;&#1088;\&#1056;&#1072;&#1089;&#1095;&#1077;&#1090;%20&#1087;&#1086;%20&#1075;&#1086;&#1088;&#1086;&#1076;&#1072;&#1084;\&#1052;&#1091;&#1088;&#1084;&#1072;&#1085;&#1089;&#1082;&#1072;&#1103;%20&#1086;&#1073;&#1083;&#1072;&#1089;&#1090;&#1100;\2.%20Ugol._&#1052;&#1091;&#1088;&#1084;&#1072;&#1085;&#1089;&#108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064;&#1072;&#1073;&#1083;&#1086;&#1085;%20&#1062;&#1040;&#1050;_&#1091;&#1075;&#1086;&#1083;&#1100;_&#1062;&#1055;%20(&#1073;&#1077;&#1079;%20&#1053;&#1044;&#1057;)_2&#1087;&#1075;2023&#1075;_&#1084;&#1077;&#1085;&#1077;&#1077;%2050%20&#1090;&#1099;&#1089;_&#1045;&#1075;&#1086;&#1088;&#1100;&#1077;&#1074;&#1089;&#1082;&#1080;&#1081;.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1064;&#1072;&#1073;&#1083;&#1086;&#1085;%20&#1062;&#1040;&#1050;_&#1091;&#1075;&#1086;&#1083;&#1100;_&#1062;&#1055;%20(&#1073;&#1077;&#1079;%20&#1053;&#1044;&#1057;)_2&#1087;&#1075;2023&#1075;_&#1084;&#1077;&#1085;&#1077;&#1077;%2050%20&#1090;&#1099;&#1089;_&#1045;&#1083;&#1073;&#1072;&#1085;&#1089;&#1082;&#1080;&#108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1064;&#1072;&#1073;&#1083;&#1086;&#1085;%20&#1062;&#1040;&#1050;_&#1091;&#1075;&#1086;&#1083;&#1100;_&#1062;&#1055;%20(&#1073;&#1077;&#1079;%20&#1053;&#1044;&#1057;)_2&#1087;&#1075;2023&#1075;_&#1084;&#1077;&#1085;&#1077;&#1077;%2050%20&#1090;&#1099;&#1089;_&#1052;&#1072;&#1084;&#1086;&#1085;&#1086;&#1074;&#1089;&#1082;&#1080;&#1081;.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1064;&#1072;&#1073;&#1083;&#1086;&#1085;%20&#1062;&#1040;&#1050;_&#1075;&#1072;&#1079;_&#1062;&#1055;%20(&#1073;&#1077;&#1079;%20&#1053;&#1044;&#1057;)_2&#1087;&#1075;2023&#1075;_&#1084;&#1077;&#1085;&#1077;&#1077;%2050%20&#1090;&#1099;&#1089;_&#1088;.&#1087;.%20&#1052;&#1072;&#1089;&#1083;&#1103;&#1085;&#1080;&#1085;&#108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64;&#1072;&#1073;&#1083;&#1086;&#1085;%20&#1062;&#1040;&#1050;_&#1091;&#1075;&#1086;&#1083;&#1100;_&#1062;&#1055;%20(&#1073;&#1077;&#1079;%20&#1053;&#1044;&#1057;)_2&#1087;&#1075;2023&#1075;_&#1084;&#1077;&#1085;&#1077;&#1077;%2050%20&#1090;&#1099;&#1089;_&#1053;&#1080;&#1082;&#1086;&#1085;&#1086;&#1074;&#1089;&#1082;&#1080;&#108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64;&#1072;&#1073;&#1083;&#1086;&#1085;%20&#1062;&#1040;&#1050;_&#1091;&#1075;&#1086;&#1083;&#1100;_&#1062;&#1055;%20(&#1073;&#1077;&#1079;%20&#1053;&#1044;&#1057;)_2&#1087;&#1075;2023&#1075;_&#1084;&#1077;&#1085;&#1077;&#1077;%2050%20&#1090;&#1099;&#1089;_&#1055;&#1077;&#1085;&#1100;&#1082;&#1086;&#1074;&#1089;&#1082;&#1080;&#108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64;&#1072;&#1073;&#1083;&#1086;&#1085;%20&#1062;&#1040;&#1050;_&#1091;&#1075;&#1086;&#1083;&#1100;_&#1062;&#1055;%20(&#1073;&#1077;&#1079;%20&#1053;&#1044;&#1057;)_2&#1087;&#1075;2023&#1075;_&#1084;&#1077;&#1085;&#1077;&#1077;%2050%20&#1090;&#1099;&#1089;_&#1041;&#1072;&#1078;&#1080;&#1085;&#1089;&#1082;&#1080;&#108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64;&#1072;&#1073;&#1083;&#1086;&#1085;%20&#1062;&#1040;&#1050;_&#1091;&#1075;&#1086;&#1083;&#1100;_&#1062;&#1055;%20(&#1073;&#1077;&#1079;%20&#1053;&#1044;&#1057;)_2&#1087;&#1075;2023&#1075;_&#1084;&#1077;&#1085;&#1077;&#1077;%2050%20&#1090;&#1099;&#1089;_&#1041;&#1077;&#1088;&#1077;&#1079;&#1086;&#1074;&#1089;&#1082;&#1080;&#108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64;&#1072;&#1073;&#1083;&#1086;&#1085;%20&#1062;&#1040;&#1050;_&#1091;&#1075;&#1086;&#1083;&#1100;_&#1062;&#1055;%20(&#1073;&#1077;&#1079;%20&#1053;&#1044;&#1057;)_2&#1087;&#1075;2023&#1075;_&#1084;&#1077;&#1085;&#1077;&#1077;%2050%20&#1090;&#1099;&#1089;_&#1052;&#1072;&#1083;&#1086;&#1090;&#1086;&#1084;&#1089;&#1082;&#1080;&#108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064;&#1072;&#1073;&#1083;&#1086;&#1085;%20&#1062;&#1040;&#1050;_&#1091;&#1075;&#1086;&#1083;&#1100;_&#1062;&#1055;%20(&#1073;&#1077;&#1079;%20&#1053;&#1044;&#1057;)_2&#1087;&#1075;2023&#1075;_&#1084;&#1077;&#1085;&#1077;&#1077;%2050%20&#1090;&#1099;&#1089;_&#1041;&#1086;&#1083;&#1100;&#1096;&#1077;&#1080;&#1079;&#1099;&#1088;&#1072;&#1082;&#1089;&#1082;&#1080;&#1081;.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64;&#1072;&#1073;&#1083;&#1086;&#1085;%20&#1062;&#1040;&#1050;_&#1091;&#1075;&#1086;&#1083;&#1100;_&#1062;&#1055;%20(&#1073;&#1077;&#1079;%20&#1053;&#1044;&#1057;)_2&#1087;&#1075;2023&#1075;_&#1084;&#1077;&#1085;&#1077;&#1077;%2050%20&#1090;&#1099;&#1089;_&#1041;&#1086;&#1088;&#1082;&#1086;&#1074;&#1089;&#1082;&#1080;&#108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064;&#1072;&#1073;&#1083;&#1086;&#1085;%20&#1062;&#1040;&#1050;_&#1091;&#1075;&#1086;&#1083;&#1100;_&#1062;&#1055;%20(&#1073;&#1077;&#1079;%20&#1053;&#1044;&#1057;)_2&#1087;&#1075;2023&#1075;_&#1084;&#1077;&#1085;&#1077;&#1077;%2050%20&#1090;&#1099;&#1089;_&#1044;&#1091;&#1073;&#1088;&#1086;&#1074;&#1089;&#1082;&#1080;&#108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одержание"/>
      <sheetName val="Предположения"/>
      <sheetName val="Уголь"/>
      <sheetName val="Модель"/>
      <sheetName val="Результаты на 10 лет уголь"/>
      <sheetName val="ФОТ"/>
      <sheetName val="темп изм Т до АК"/>
      <sheetName val="Коэффициенты"/>
      <sheetName val="КИУМ"/>
      <sheetName val="Топливо"/>
      <sheetName val="Стоимость строительства"/>
      <sheetName val="WACC"/>
      <sheetName val="Техприс. водоснаб и водоот"/>
      <sheetName val="Стоимость земля кадастр"/>
      <sheetName val="Тариф ВиК"/>
      <sheetName val="Тариф ЭЭ"/>
      <sheetName val="Стандартизированные ставки ЭЭ"/>
    </sheetNames>
    <sheetDataSet>
      <sheetData sheetId="0" refreshError="1"/>
      <sheetData sheetId="1">
        <row r="161">
          <cell r="E161">
            <v>10</v>
          </cell>
        </row>
        <row r="165">
          <cell r="E165">
            <v>2891.7928000000002</v>
          </cell>
        </row>
      </sheetData>
      <sheetData sheetId="2" refreshError="1"/>
      <sheetData sheetId="3" refreshError="1"/>
      <sheetData sheetId="4" refreshError="1"/>
      <sheetData sheetId="5"/>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Егорьевское, Маслянинский муниципальный район</v>
          </cell>
        </row>
        <row r="15">
          <cell r="D15" t="str">
            <v/>
          </cell>
        </row>
        <row r="16">
          <cell r="D16" t="str">
            <v>Код ОКТМО</v>
          </cell>
          <cell r="E16" t="str">
            <v>50636419101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931.18468604281509</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2503.8000000000002</v>
          </cell>
        </row>
      </sheetData>
      <sheetData sheetId="9" refreshError="1"/>
      <sheetData sheetId="10" refreshError="1"/>
      <sheetData sheetId="11"/>
      <sheetData sheetId="12" refreshError="1"/>
      <sheetData sheetId="13">
        <row r="12">
          <cell r="F12">
            <v>2110.2454761302993</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1598.6279958476514</v>
          </cell>
        </row>
        <row r="27">
          <cell r="F27">
            <v>0.27536184199999997</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504.95006339690781</v>
          </cell>
        </row>
        <row r="14">
          <cell r="F14">
            <v>7020.1696866647444</v>
          </cell>
        </row>
        <row r="15">
          <cell r="F15">
            <v>0.2</v>
          </cell>
        </row>
        <row r="18">
          <cell r="F18">
            <v>15</v>
          </cell>
        </row>
        <row r="19">
          <cell r="F19">
            <v>3487.1555421534131</v>
          </cell>
        </row>
        <row r="20">
          <cell r="F20">
            <v>2.1999999999999999E-2</v>
          </cell>
        </row>
        <row r="21">
          <cell r="F21">
            <v>10</v>
          </cell>
        </row>
        <row r="22">
          <cell r="F22">
            <v>4.795883987542954</v>
          </cell>
        </row>
        <row r="23">
          <cell r="F23">
            <v>3.0000000000000001E-3</v>
          </cell>
        </row>
        <row r="24">
          <cell r="F24">
            <v>1598.6279958476514</v>
          </cell>
        </row>
      </sheetData>
      <sheetData sheetId="24"/>
      <sheetData sheetId="25">
        <row r="12">
          <cell r="F12">
            <v>440.52089314640926</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102.59900000000002</v>
          </cell>
        </row>
        <row r="27">
          <cell r="F27">
            <v>1413.5806587229636</v>
          </cell>
        </row>
        <row r="28">
          <cell r="F28">
            <v>1085.6994306627985</v>
          </cell>
        </row>
        <row r="29">
          <cell r="F29">
            <v>327.8812280601652</v>
          </cell>
        </row>
        <row r="30">
          <cell r="F30">
            <v>2118.6333473771006</v>
          </cell>
        </row>
        <row r="33">
          <cell r="F33">
            <v>1374.0280021926758</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26.866666666666671</v>
          </cell>
        </row>
        <row r="19">
          <cell r="E19">
            <v>41.06666666666667</v>
          </cell>
        </row>
      </sheetData>
      <sheetData sheetId="29" refreshError="1"/>
      <sheetData sheetId="30">
        <row r="12">
          <cell r="F12">
            <v>79.738022374328636</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Елбань, Маслянинский муниципальный район</v>
          </cell>
        </row>
        <row r="15">
          <cell r="D15" t="str">
            <v/>
          </cell>
        </row>
        <row r="16">
          <cell r="D16" t="str">
            <v>Код ОКТМО</v>
          </cell>
          <cell r="E16" t="str">
            <v>50636422101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931.18468604281509</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2503.8000000000002</v>
          </cell>
        </row>
      </sheetData>
      <sheetData sheetId="9" refreshError="1"/>
      <sheetData sheetId="10" refreshError="1"/>
      <sheetData sheetId="11"/>
      <sheetData sheetId="12" refreshError="1"/>
      <sheetData sheetId="13">
        <row r="12">
          <cell r="F12">
            <v>2110.2454761302993</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1598.6279958476514</v>
          </cell>
        </row>
        <row r="27">
          <cell r="F27">
            <v>0.27536184199999997</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504.95006339690781</v>
          </cell>
        </row>
        <row r="14">
          <cell r="F14">
            <v>7020.1696866647444</v>
          </cell>
        </row>
        <row r="15">
          <cell r="F15">
            <v>0.2</v>
          </cell>
        </row>
        <row r="18">
          <cell r="F18">
            <v>15</v>
          </cell>
        </row>
        <row r="19">
          <cell r="F19">
            <v>3487.1555421534131</v>
          </cell>
        </row>
        <row r="20">
          <cell r="F20">
            <v>2.1999999999999999E-2</v>
          </cell>
        </row>
        <row r="21">
          <cell r="F21">
            <v>10</v>
          </cell>
        </row>
        <row r="22">
          <cell r="F22">
            <v>4.795883987542954</v>
          </cell>
        </row>
        <row r="23">
          <cell r="F23">
            <v>3.0000000000000001E-3</v>
          </cell>
        </row>
        <row r="24">
          <cell r="F24">
            <v>1598.6279958476514</v>
          </cell>
        </row>
      </sheetData>
      <sheetData sheetId="24"/>
      <sheetData sheetId="25">
        <row r="12">
          <cell r="F12">
            <v>439.55104617816875</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88.687900000000013</v>
          </cell>
        </row>
        <row r="27">
          <cell r="F27">
            <v>1413.5806587229636</v>
          </cell>
        </row>
        <row r="28">
          <cell r="F28">
            <v>1085.6994306627985</v>
          </cell>
        </row>
        <row r="29">
          <cell r="F29">
            <v>327.8812280601652</v>
          </cell>
        </row>
        <row r="30">
          <cell r="F30">
            <v>2117.6718992836049</v>
          </cell>
        </row>
        <row r="33">
          <cell r="F33">
            <v>1374.0280021926758</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22.900000000000002</v>
          </cell>
        </row>
        <row r="19">
          <cell r="E19">
            <v>41.06666666666667</v>
          </cell>
        </row>
      </sheetData>
      <sheetData sheetId="29" refreshError="1"/>
      <sheetData sheetId="30">
        <row r="12">
          <cell r="F12">
            <v>79.718625434963812</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Мамоново, Маслянинский муниципальный район</v>
          </cell>
        </row>
        <row r="15">
          <cell r="D15" t="str">
            <v/>
          </cell>
        </row>
        <row r="16">
          <cell r="D16" t="str">
            <v>Код ОКТМО</v>
          </cell>
          <cell r="E16" t="str">
            <v>50636425101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931.18468604281509</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2503.8000000000002</v>
          </cell>
        </row>
      </sheetData>
      <sheetData sheetId="9" refreshError="1"/>
      <sheetData sheetId="10" refreshError="1"/>
      <sheetData sheetId="11"/>
      <sheetData sheetId="12" refreshError="1"/>
      <sheetData sheetId="13">
        <row r="12">
          <cell r="F12">
            <v>2110.2454761302993</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1598.6279958476514</v>
          </cell>
        </row>
        <row r="27">
          <cell r="F27">
            <v>0.27536184199999997</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504.95006339690781</v>
          </cell>
        </row>
        <row r="14">
          <cell r="F14">
            <v>7020.1696866647444</v>
          </cell>
        </row>
        <row r="15">
          <cell r="F15">
            <v>0.2</v>
          </cell>
        </row>
        <row r="18">
          <cell r="F18">
            <v>15</v>
          </cell>
        </row>
        <row r="19">
          <cell r="F19">
            <v>3487.1555421534131</v>
          </cell>
        </row>
        <row r="20">
          <cell r="F20">
            <v>2.1999999999999999E-2</v>
          </cell>
        </row>
        <row r="21">
          <cell r="F21">
            <v>10</v>
          </cell>
        </row>
        <row r="22">
          <cell r="F22">
            <v>4.795883987542954</v>
          </cell>
        </row>
        <row r="23">
          <cell r="F23">
            <v>3.0000000000000001E-3</v>
          </cell>
        </row>
        <row r="24">
          <cell r="F24">
            <v>1598.6279958476514</v>
          </cell>
        </row>
      </sheetData>
      <sheetData sheetId="24"/>
      <sheetData sheetId="25">
        <row r="12">
          <cell r="F12">
            <v>442.42187470390604</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129.865925</v>
          </cell>
        </row>
        <row r="27">
          <cell r="F27">
            <v>1413.5806587229636</v>
          </cell>
        </row>
        <row r="28">
          <cell r="F28">
            <v>1085.6994306627985</v>
          </cell>
        </row>
        <row r="29">
          <cell r="F29">
            <v>327.8812280601652</v>
          </cell>
        </row>
        <row r="30">
          <cell r="F30">
            <v>2120.5178664343093</v>
          </cell>
        </row>
        <row r="33">
          <cell r="F33">
            <v>1374.0280021926758</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34.641666666666666</v>
          </cell>
        </row>
        <row r="19">
          <cell r="E19">
            <v>41.06666666666667</v>
          </cell>
        </row>
      </sheetData>
      <sheetData sheetId="29" refreshError="1"/>
      <sheetData sheetId="30">
        <row r="12">
          <cell r="F12">
            <v>79.776042005478558</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 val="Шаблон ЦАК_газ_ЦП (без НДС)_2пг"/>
    </sheetNames>
    <definedNames>
      <definedName name="Лист29.PrintBlock"/>
    </definedNames>
    <sheetDataSet>
      <sheetData sheetId="0"/>
      <sheetData sheetId="1"/>
      <sheetData sheetId="2"/>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рабочий поселок Маслянино, Маслянинский муниципальный район</v>
          </cell>
        </row>
        <row r="15">
          <cell r="D15" t="str">
            <v/>
          </cell>
        </row>
        <row r="16">
          <cell r="D16" t="str">
            <v>Код ОКТМО</v>
          </cell>
          <cell r="E16" t="str">
            <v>50636151051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sheetData sheetId="5"/>
      <sheetData sheetId="6"/>
      <sheetData sheetId="7">
        <row r="12">
          <cell r="F12">
            <v>912.75572352910331</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6">
          <cell r="E16">
            <v>7900</v>
          </cell>
        </row>
        <row r="20">
          <cell r="E20">
            <v>0.1392500000000001</v>
          </cell>
        </row>
        <row r="21">
          <cell r="E21">
            <v>0</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4475.5</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952.13</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132.9</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30.63</v>
          </cell>
        </row>
        <row r="32">
          <cell r="E32">
            <v>5591.16</v>
          </cell>
        </row>
      </sheetData>
      <sheetData sheetId="9"/>
      <sheetData sheetId="10"/>
      <sheetData sheetId="11"/>
      <sheetData sheetId="12"/>
      <sheetData sheetId="13">
        <row r="12">
          <cell r="F12">
            <v>1416.8256491147995</v>
          </cell>
        </row>
        <row r="13">
          <cell r="F13">
            <v>97038.307983185223</v>
          </cell>
        </row>
        <row r="14">
          <cell r="F14">
            <v>64899</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36585.255753162281</v>
          </cell>
        </row>
        <row r="23">
          <cell r="F23">
            <v>21</v>
          </cell>
        </row>
        <row r="26">
          <cell r="F26">
            <v>2892</v>
          </cell>
        </row>
        <row r="28">
          <cell r="F28">
            <v>190.31285664852996</v>
          </cell>
        </row>
        <row r="29">
          <cell r="F29">
            <v>0.27536184199999997</v>
          </cell>
        </row>
        <row r="30">
          <cell r="F30">
            <v>500</v>
          </cell>
        </row>
        <row r="31">
          <cell r="F31">
            <v>0.128978033685065</v>
          </cell>
        </row>
        <row r="32">
          <cell r="F32">
            <v>0.11668498168498169</v>
          </cell>
        </row>
        <row r="33">
          <cell r="F33">
            <v>0.13880000000000001</v>
          </cell>
        </row>
        <row r="34">
          <cell r="F34">
            <v>0.12640000000000001</v>
          </cell>
        </row>
        <row r="35">
          <cell r="F35">
            <v>10</v>
          </cell>
        </row>
        <row r="37">
          <cell r="F37">
            <v>1.3822747209000001</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-37</v>
          </cell>
        </row>
        <row r="23">
          <cell r="E23" t="str">
            <v>нет</v>
          </cell>
        </row>
        <row r="28">
          <cell r="E28">
            <v>14036.09995</v>
          </cell>
        </row>
        <row r="29">
          <cell r="E29">
            <v>9518.3274000000001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ow r="11">
          <cell r="E11">
            <v>-2.9000000000000026E-2</v>
          </cell>
          <cell r="F11">
            <v>0.245</v>
          </cell>
          <cell r="G11">
            <v>0.121</v>
          </cell>
          <cell r="H11">
            <v>0.02</v>
          </cell>
        </row>
      </sheetData>
      <sheetData sheetId="20">
        <row r="11">
          <cell r="G11" t="str">
            <v>Информация с официального сайта Банка России</v>
          </cell>
        </row>
      </sheetData>
      <sheetData sheetId="21"/>
      <sheetData sheetId="22">
        <row r="12">
          <cell r="F12">
            <v>338.81151588426587</v>
          </cell>
        </row>
        <row r="14">
          <cell r="F14">
            <v>4859.6355642281651</v>
          </cell>
        </row>
        <row r="15">
          <cell r="F15">
            <v>0.2</v>
          </cell>
        </row>
        <row r="18">
          <cell r="F18">
            <v>15</v>
          </cell>
        </row>
        <row r="19">
          <cell r="F19">
            <v>2435.0508023655884</v>
          </cell>
        </row>
        <row r="20">
          <cell r="F20">
            <v>2.1999999999999999E-2</v>
          </cell>
        </row>
        <row r="21">
          <cell r="F21">
            <v>10</v>
          </cell>
        </row>
        <row r="22">
          <cell r="F22">
            <v>0.57093856994558989</v>
          </cell>
        </row>
        <row r="23">
          <cell r="F23">
            <v>3.0000000000000001E-3</v>
          </cell>
        </row>
        <row r="24">
          <cell r="F24">
            <v>190.31285664852996</v>
          </cell>
        </row>
      </sheetData>
      <sheetData sheetId="23">
        <row r="12">
          <cell r="F12" t="str">
            <v xml:space="preserve">Налоговый кодекс Российской Федерации </v>
          </cell>
        </row>
      </sheetData>
      <sheetData sheetId="24">
        <row r="12">
          <cell r="F12">
            <v>222.77150917799838</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67.230771666666669</v>
          </cell>
        </row>
        <row r="27">
          <cell r="F27">
            <v>990.29898848864093</v>
          </cell>
        </row>
        <row r="28">
          <cell r="F28">
            <v>760.59830145056901</v>
          </cell>
        </row>
        <row r="29">
          <cell r="F29">
            <v>229.70068703807189</v>
          </cell>
        </row>
        <row r="30">
          <cell r="F30">
            <v>495.37847945230618</v>
          </cell>
        </row>
      </sheetData>
      <sheetData sheetId="25"/>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34.641666666666666</v>
          </cell>
        </row>
        <row r="19">
          <cell r="E19">
            <v>4.1516666666666664</v>
          </cell>
        </row>
      </sheetData>
      <sheetData sheetId="28"/>
      <sheetData sheetId="29">
        <row r="12">
          <cell r="F12">
            <v>57.823287954123337</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деревня Никоново, Маслянинский муниципальный район</v>
          </cell>
        </row>
        <row r="15">
          <cell r="D15" t="str">
            <v/>
          </cell>
        </row>
        <row r="16">
          <cell r="D16" t="str">
            <v>Код ОКТМО</v>
          </cell>
          <cell r="E16" t="str">
            <v>50636428101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948.6556800217611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2550.7765830346502</v>
          </cell>
        </row>
      </sheetData>
      <sheetData sheetId="9" refreshError="1"/>
      <sheetData sheetId="10" refreshError="1"/>
      <sheetData sheetId="11"/>
      <sheetData sheetId="12" refreshError="1"/>
      <sheetData sheetId="13">
        <row r="12">
          <cell r="F12">
            <v>2110.2454761302993</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1598.6279958476514</v>
          </cell>
        </row>
        <row r="27">
          <cell r="F27">
            <v>0.27536184199999997</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504.95006339690781</v>
          </cell>
        </row>
        <row r="14">
          <cell r="F14">
            <v>7020.1696866647444</v>
          </cell>
        </row>
        <row r="15">
          <cell r="F15">
            <v>0.2</v>
          </cell>
        </row>
        <row r="18">
          <cell r="F18">
            <v>15</v>
          </cell>
        </row>
        <row r="19">
          <cell r="F19">
            <v>3487.1555421534131</v>
          </cell>
        </row>
        <row r="20">
          <cell r="F20">
            <v>2.1999999999999999E-2</v>
          </cell>
        </row>
        <row r="21">
          <cell r="F21">
            <v>10</v>
          </cell>
        </row>
        <row r="22">
          <cell r="F22">
            <v>4.795883987542954</v>
          </cell>
        </row>
        <row r="23">
          <cell r="F23">
            <v>3.0000000000000001E-3</v>
          </cell>
        </row>
        <row r="24">
          <cell r="F24">
            <v>1598.6279958476514</v>
          </cell>
        </row>
      </sheetData>
      <sheetData sheetId="24"/>
      <sheetData sheetId="25">
        <row r="12">
          <cell r="F12">
            <v>441.25690174718437</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95.614225000000019</v>
          </cell>
        </row>
        <row r="27">
          <cell r="F27">
            <v>1413.5806587229636</v>
          </cell>
        </row>
        <row r="28">
          <cell r="F28">
            <v>1085.6994306627985</v>
          </cell>
        </row>
        <row r="29">
          <cell r="F29">
            <v>327.8812280601652</v>
          </cell>
        </row>
        <row r="30">
          <cell r="F30">
            <v>2143.6105553829166</v>
          </cell>
        </row>
        <row r="33">
          <cell r="F33">
            <v>1399.4879540941756</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24.875000000000004</v>
          </cell>
        </row>
        <row r="19">
          <cell r="E19">
            <v>41.06666666666667</v>
          </cell>
        </row>
      </sheetData>
      <sheetData sheetId="29" refreshError="1"/>
      <sheetData sheetId="30">
        <row r="12">
          <cell r="F12">
            <v>80.102162425923041</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Пеньково, Маслянинский муниципальный район</v>
          </cell>
        </row>
        <row r="15">
          <cell r="D15" t="str">
            <v/>
          </cell>
        </row>
        <row r="16">
          <cell r="D16" t="str">
            <v>Код ОКТМО</v>
          </cell>
          <cell r="E16" t="str">
            <v>50636431101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931.18468604281509</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2503.8000000000002</v>
          </cell>
        </row>
      </sheetData>
      <sheetData sheetId="9" refreshError="1"/>
      <sheetData sheetId="10" refreshError="1"/>
      <sheetData sheetId="11"/>
      <sheetData sheetId="12" refreshError="1"/>
      <sheetData sheetId="13">
        <row r="12">
          <cell r="F12">
            <v>2110.2454761302993</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1598.6279958476514</v>
          </cell>
        </row>
        <row r="27">
          <cell r="F27">
            <v>0.27536184199999997</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504.95006339690781</v>
          </cell>
        </row>
        <row r="14">
          <cell r="F14">
            <v>7020.1696866647444</v>
          </cell>
        </row>
        <row r="15">
          <cell r="F15">
            <v>0.2</v>
          </cell>
        </row>
        <row r="18">
          <cell r="F18">
            <v>15</v>
          </cell>
        </row>
        <row r="19">
          <cell r="F19">
            <v>3487.1555421534131</v>
          </cell>
        </row>
        <row r="20">
          <cell r="F20">
            <v>2.1999999999999999E-2</v>
          </cell>
        </row>
        <row r="21">
          <cell r="F21">
            <v>10</v>
          </cell>
        </row>
        <row r="22">
          <cell r="F22">
            <v>4.795883987542954</v>
          </cell>
        </row>
        <row r="23">
          <cell r="F23">
            <v>3.0000000000000001E-3</v>
          </cell>
        </row>
        <row r="24">
          <cell r="F24">
            <v>1598.6279958476514</v>
          </cell>
        </row>
      </sheetData>
      <sheetData sheetId="24"/>
      <sheetData sheetId="25">
        <row r="12">
          <cell r="F12">
            <v>439.6366209106605</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89.915350000000004</v>
          </cell>
        </row>
        <row r="27">
          <cell r="F27">
            <v>1413.5806587229636</v>
          </cell>
        </row>
        <row r="28">
          <cell r="F28">
            <v>1085.6994306627985</v>
          </cell>
        </row>
        <row r="29">
          <cell r="F29">
            <v>327.8812280601652</v>
          </cell>
        </row>
        <row r="30">
          <cell r="F30">
            <v>2117.756732938913</v>
          </cell>
        </row>
        <row r="33">
          <cell r="F33">
            <v>1374.0280021926758</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23.25</v>
          </cell>
        </row>
        <row r="19">
          <cell r="E19">
            <v>41.06666666666667</v>
          </cell>
        </row>
      </sheetData>
      <sheetData sheetId="29" refreshError="1"/>
      <sheetData sheetId="30">
        <row r="12">
          <cell r="F12">
            <v>79.720336929613651</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Бажинск, Маслянинский муниципальный район</v>
          </cell>
        </row>
        <row r="15">
          <cell r="D15" t="str">
            <v/>
          </cell>
        </row>
        <row r="16">
          <cell r="D16" t="str">
            <v>Код ОКТМО</v>
          </cell>
          <cell r="E16" t="str">
            <v>50636404101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931.18468604281509</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2503.8000000000002</v>
          </cell>
        </row>
      </sheetData>
      <sheetData sheetId="9" refreshError="1"/>
      <sheetData sheetId="10" refreshError="1"/>
      <sheetData sheetId="11"/>
      <sheetData sheetId="12" refreshError="1"/>
      <sheetData sheetId="13">
        <row r="12">
          <cell r="F12">
            <v>2110.2454761302993</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1598.6279958476514</v>
          </cell>
        </row>
        <row r="27">
          <cell r="F27">
            <v>0.27536184199999997</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504.95006339690781</v>
          </cell>
        </row>
        <row r="14">
          <cell r="F14">
            <v>7020.1696866647444</v>
          </cell>
        </row>
        <row r="15">
          <cell r="F15">
            <v>0.2</v>
          </cell>
        </row>
        <row r="18">
          <cell r="F18">
            <v>15</v>
          </cell>
        </row>
        <row r="19">
          <cell r="F19">
            <v>3487.1555421534131</v>
          </cell>
        </row>
        <row r="20">
          <cell r="F20">
            <v>2.1999999999999999E-2</v>
          </cell>
        </row>
        <row r="21">
          <cell r="F21">
            <v>10</v>
          </cell>
        </row>
        <row r="22">
          <cell r="F22">
            <v>4.795883987542954</v>
          </cell>
        </row>
        <row r="23">
          <cell r="F23">
            <v>3.0000000000000001E-3</v>
          </cell>
        </row>
        <row r="24">
          <cell r="F24">
            <v>1598.6279958476514</v>
          </cell>
        </row>
      </sheetData>
      <sheetData sheetId="24"/>
      <sheetData sheetId="25">
        <row r="12">
          <cell r="F12">
            <v>440.56775549991676</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103.271175</v>
          </cell>
        </row>
        <row r="27">
          <cell r="F27">
            <v>1413.5806587229636</v>
          </cell>
        </row>
        <row r="28">
          <cell r="F28">
            <v>1085.6994306627985</v>
          </cell>
        </row>
        <row r="29">
          <cell r="F29">
            <v>327.8812280601652</v>
          </cell>
        </row>
        <row r="30">
          <cell r="F30">
            <v>2118.6798039026262</v>
          </cell>
        </row>
        <row r="33">
          <cell r="F33">
            <v>1374.0280021926758</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27.058333333333334</v>
          </cell>
        </row>
        <row r="19">
          <cell r="E19">
            <v>41.06666666666667</v>
          </cell>
        </row>
      </sheetData>
      <sheetData sheetId="29" refreshError="1"/>
      <sheetData sheetId="30">
        <row r="12">
          <cell r="F12">
            <v>79.738959621398777</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Березово, Маслянинский муниципальный район</v>
          </cell>
        </row>
        <row r="15">
          <cell r="D15" t="str">
            <v/>
          </cell>
        </row>
        <row r="16">
          <cell r="D16" t="str">
            <v>Код ОКТМО</v>
          </cell>
          <cell r="E16" t="str">
            <v>50636407101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931.18468604281509</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2503.8000000000002</v>
          </cell>
        </row>
      </sheetData>
      <sheetData sheetId="9" refreshError="1"/>
      <sheetData sheetId="10" refreshError="1"/>
      <sheetData sheetId="11"/>
      <sheetData sheetId="12" refreshError="1"/>
      <sheetData sheetId="13">
        <row r="12">
          <cell r="F12">
            <v>2110.2454761302993</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1598.6279958476514</v>
          </cell>
        </row>
        <row r="27">
          <cell r="F27">
            <v>0.27536184199999997</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504.95006339690781</v>
          </cell>
        </row>
        <row r="14">
          <cell r="F14">
            <v>7020.1696866647444</v>
          </cell>
        </row>
        <row r="15">
          <cell r="F15">
            <v>0.2</v>
          </cell>
        </row>
        <row r="18">
          <cell r="F18">
            <v>15</v>
          </cell>
        </row>
        <row r="19">
          <cell r="F19">
            <v>3487.1555421534131</v>
          </cell>
        </row>
        <row r="20">
          <cell r="F20">
            <v>2.1999999999999999E-2</v>
          </cell>
        </row>
        <row r="21">
          <cell r="F21">
            <v>10</v>
          </cell>
        </row>
        <row r="22">
          <cell r="F22">
            <v>4.795883987542954</v>
          </cell>
        </row>
        <row r="23">
          <cell r="F23">
            <v>3.0000000000000001E-3</v>
          </cell>
        </row>
        <row r="24">
          <cell r="F24">
            <v>1598.6279958476514</v>
          </cell>
        </row>
      </sheetData>
      <sheetData sheetId="24"/>
      <sheetData sheetId="25">
        <row r="12">
          <cell r="F12">
            <v>438.72993624497343</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76.910225000000011</v>
          </cell>
        </row>
        <row r="27">
          <cell r="F27">
            <v>1413.5806587229636</v>
          </cell>
        </row>
        <row r="28">
          <cell r="F28">
            <v>1085.6994306627985</v>
          </cell>
        </row>
        <row r="29">
          <cell r="F29">
            <v>327.8812280601652</v>
          </cell>
        </row>
        <row r="30">
          <cell r="F30">
            <v>2116.8579001624312</v>
          </cell>
        </row>
        <row r="33">
          <cell r="F33">
            <v>1374.0280021926758</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19.541666666666668</v>
          </cell>
        </row>
        <row r="19">
          <cell r="E19">
            <v>41.06666666666667</v>
          </cell>
        </row>
      </sheetData>
      <sheetData sheetId="29" refreshError="1"/>
      <sheetData sheetId="30">
        <row r="12">
          <cell r="F12">
            <v>79.702203236299908</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деревня Малая Томка, Маслянинский муниципальный район</v>
          </cell>
        </row>
        <row r="15">
          <cell r="D15" t="str">
            <v/>
          </cell>
        </row>
        <row r="16">
          <cell r="D16" t="str">
            <v>Код ОКТМО</v>
          </cell>
          <cell r="E16" t="str">
            <v>50636402101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931.18468604281509</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2503.8000000000002</v>
          </cell>
        </row>
      </sheetData>
      <sheetData sheetId="9" refreshError="1"/>
      <sheetData sheetId="10" refreshError="1"/>
      <sheetData sheetId="11"/>
      <sheetData sheetId="12" refreshError="1"/>
      <sheetData sheetId="13">
        <row r="12">
          <cell r="F12">
            <v>2110.2454761302993</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1598.6279958476514</v>
          </cell>
        </row>
        <row r="27">
          <cell r="F27">
            <v>0.27536184199999997</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504.95006339690781</v>
          </cell>
        </row>
        <row r="14">
          <cell r="F14">
            <v>7020.1696866647444</v>
          </cell>
        </row>
        <row r="15">
          <cell r="F15">
            <v>0.2</v>
          </cell>
        </row>
        <row r="18">
          <cell r="F18">
            <v>15</v>
          </cell>
        </row>
        <row r="19">
          <cell r="F19">
            <v>3487.1555421534131</v>
          </cell>
        </row>
        <row r="20">
          <cell r="F20">
            <v>2.1999999999999999E-2</v>
          </cell>
        </row>
        <row r="21">
          <cell r="F21">
            <v>10</v>
          </cell>
        </row>
        <row r="22">
          <cell r="F22">
            <v>4.795883987542954</v>
          </cell>
        </row>
        <row r="23">
          <cell r="F23">
            <v>3.0000000000000001E-3</v>
          </cell>
        </row>
        <row r="24">
          <cell r="F24">
            <v>1598.6279958476514</v>
          </cell>
        </row>
      </sheetData>
      <sheetData sheetId="24"/>
      <sheetData sheetId="25">
        <row r="12">
          <cell r="F12">
            <v>439.58160858263017</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89.126274999999993</v>
          </cell>
        </row>
        <row r="27">
          <cell r="F27">
            <v>1413.5806587229636</v>
          </cell>
        </row>
        <row r="28">
          <cell r="F28">
            <v>1085.6994306627985</v>
          </cell>
        </row>
        <row r="29">
          <cell r="F29">
            <v>327.8812280601652</v>
          </cell>
        </row>
        <row r="30">
          <cell r="F30">
            <v>2117.7021970176438</v>
          </cell>
        </row>
        <row r="33">
          <cell r="F33">
            <v>1374.0280021926758</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23.024999999999999</v>
          </cell>
        </row>
        <row r="19">
          <cell r="E19">
            <v>41.06666666666667</v>
          </cell>
        </row>
      </sheetData>
      <sheetData sheetId="29" refreshError="1"/>
      <sheetData sheetId="30">
        <row r="12">
          <cell r="F12">
            <v>79.71923668305304</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Большой Изырак, Маслянинский муниципальный район</v>
          </cell>
        </row>
        <row r="15">
          <cell r="D15" t="str">
            <v/>
          </cell>
        </row>
        <row r="16">
          <cell r="D16" t="str">
            <v>Код ОКТМО</v>
          </cell>
          <cell r="E16" t="str">
            <v>50636410101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931.18468604281509</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2503.8000000000002</v>
          </cell>
        </row>
      </sheetData>
      <sheetData sheetId="9" refreshError="1"/>
      <sheetData sheetId="10" refreshError="1"/>
      <sheetData sheetId="11"/>
      <sheetData sheetId="12" refreshError="1"/>
      <sheetData sheetId="13">
        <row r="12">
          <cell r="F12">
            <v>2110.2454761302993</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1598.6279958476514</v>
          </cell>
        </row>
        <row r="27">
          <cell r="F27">
            <v>0.27536184199999997</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504.95006339690781</v>
          </cell>
        </row>
        <row r="14">
          <cell r="F14">
            <v>7020.1696866647444</v>
          </cell>
        </row>
        <row r="15">
          <cell r="F15">
            <v>0.2</v>
          </cell>
        </row>
        <row r="18">
          <cell r="F18">
            <v>15</v>
          </cell>
        </row>
        <row r="19">
          <cell r="F19">
            <v>3487.1555421534131</v>
          </cell>
        </row>
        <row r="20">
          <cell r="F20">
            <v>2.1999999999999999E-2</v>
          </cell>
        </row>
        <row r="21">
          <cell r="F21">
            <v>10</v>
          </cell>
        </row>
        <row r="22">
          <cell r="F22">
            <v>4.795883987542954</v>
          </cell>
        </row>
        <row r="23">
          <cell r="F23">
            <v>3.0000000000000001E-3</v>
          </cell>
        </row>
        <row r="24">
          <cell r="F24">
            <v>1598.6279958476514</v>
          </cell>
        </row>
      </sheetData>
      <sheetData sheetId="24"/>
      <sheetData sheetId="25">
        <row r="12">
          <cell r="F12">
            <v>440.56368051265514</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103.21272500000002</v>
          </cell>
        </row>
        <row r="27">
          <cell r="F27">
            <v>1413.5806587229636</v>
          </cell>
        </row>
        <row r="28">
          <cell r="F28">
            <v>1085.6994306627985</v>
          </cell>
        </row>
        <row r="29">
          <cell r="F29">
            <v>327.8812280601652</v>
          </cell>
        </row>
        <row r="30">
          <cell r="F30">
            <v>2118.6757642047546</v>
          </cell>
        </row>
        <row r="33">
          <cell r="F33">
            <v>1374.0280021926758</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27.041666666666671</v>
          </cell>
        </row>
        <row r="19">
          <cell r="E19">
            <v>41.06666666666667</v>
          </cell>
        </row>
      </sheetData>
      <sheetData sheetId="29" refreshError="1"/>
      <sheetData sheetId="30">
        <row r="12">
          <cell r="F12">
            <v>79.738878121653542</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Борково, Маслянинский муниципальный район</v>
          </cell>
        </row>
        <row r="15">
          <cell r="D15" t="str">
            <v/>
          </cell>
        </row>
        <row r="16">
          <cell r="D16" t="str">
            <v>Код ОКТМО</v>
          </cell>
          <cell r="E16" t="str">
            <v>50636413101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931.18468604281509</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2503.8000000000002</v>
          </cell>
        </row>
      </sheetData>
      <sheetData sheetId="9" refreshError="1"/>
      <sheetData sheetId="10" refreshError="1"/>
      <sheetData sheetId="11"/>
      <sheetData sheetId="12" refreshError="1"/>
      <sheetData sheetId="13">
        <row r="12">
          <cell r="F12">
            <v>2110.2454761302993</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1598.6279958476514</v>
          </cell>
        </row>
        <row r="27">
          <cell r="F27">
            <v>0.27536184199999997</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504.95006339690781</v>
          </cell>
        </row>
        <row r="14">
          <cell r="F14">
            <v>7020.1696866647444</v>
          </cell>
        </row>
        <row r="15">
          <cell r="F15">
            <v>0.2</v>
          </cell>
        </row>
        <row r="18">
          <cell r="F18">
            <v>15</v>
          </cell>
        </row>
        <row r="19">
          <cell r="F19">
            <v>3487.1555421534131</v>
          </cell>
        </row>
        <row r="20">
          <cell r="F20">
            <v>2.1999999999999999E-2</v>
          </cell>
        </row>
        <row r="21">
          <cell r="F21">
            <v>10</v>
          </cell>
        </row>
        <row r="22">
          <cell r="F22">
            <v>4.795883987542954</v>
          </cell>
        </row>
        <row r="23">
          <cell r="F23">
            <v>3.0000000000000001E-3</v>
          </cell>
        </row>
        <row r="24">
          <cell r="F24">
            <v>1598.6279958476514</v>
          </cell>
        </row>
      </sheetData>
      <sheetData sheetId="24"/>
      <sheetData sheetId="25">
        <row r="12">
          <cell r="F12">
            <v>439.40842162401572</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86.642150000000029</v>
          </cell>
        </row>
        <row r="27">
          <cell r="F27">
            <v>1413.5806587229636</v>
          </cell>
        </row>
        <row r="28">
          <cell r="F28">
            <v>1085.6994306627985</v>
          </cell>
        </row>
        <row r="29">
          <cell r="F29">
            <v>327.8812280601652</v>
          </cell>
        </row>
        <row r="30">
          <cell r="F30">
            <v>2117.5305098580911</v>
          </cell>
        </row>
        <row r="33">
          <cell r="F33">
            <v>1374.0280021926758</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22.31666666666667</v>
          </cell>
        </row>
        <row r="19">
          <cell r="E19">
            <v>41.06666666666667</v>
          </cell>
        </row>
      </sheetData>
      <sheetData sheetId="29" refreshError="1"/>
      <sheetData sheetId="30">
        <row r="12">
          <cell r="F12">
            <v>79.715772943880765</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Дубровка, Маслянинский муниципальный район</v>
          </cell>
        </row>
        <row r="15">
          <cell r="D15" t="str">
            <v/>
          </cell>
        </row>
        <row r="16">
          <cell r="D16" t="str">
            <v>Код ОКТМО</v>
          </cell>
          <cell r="E16" t="str">
            <v>50636416101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931.18468604281509</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2503.8000000000002</v>
          </cell>
        </row>
      </sheetData>
      <sheetData sheetId="9" refreshError="1"/>
      <sheetData sheetId="10" refreshError="1"/>
      <sheetData sheetId="11"/>
      <sheetData sheetId="12" refreshError="1"/>
      <sheetData sheetId="13">
        <row r="12">
          <cell r="F12">
            <v>2110.2454761302993</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1598.6279958476514</v>
          </cell>
        </row>
        <row r="27">
          <cell r="F27">
            <v>0.27536184199999997</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504.95006339690781</v>
          </cell>
        </row>
        <row r="14">
          <cell r="F14">
            <v>7020.1696866647444</v>
          </cell>
        </row>
        <row r="15">
          <cell r="F15">
            <v>0.2</v>
          </cell>
        </row>
        <row r="18">
          <cell r="F18">
            <v>15</v>
          </cell>
        </row>
        <row r="19">
          <cell r="F19">
            <v>3487.1555421534131</v>
          </cell>
        </row>
        <row r="20">
          <cell r="F20">
            <v>2.1999999999999999E-2</v>
          </cell>
        </row>
        <row r="21">
          <cell r="F21">
            <v>10</v>
          </cell>
        </row>
        <row r="22">
          <cell r="F22">
            <v>4.795883987542954</v>
          </cell>
        </row>
        <row r="23">
          <cell r="F23">
            <v>3.0000000000000001E-3</v>
          </cell>
        </row>
        <row r="24">
          <cell r="F24">
            <v>1598.6279958476514</v>
          </cell>
        </row>
      </sheetData>
      <sheetData sheetId="24"/>
      <sheetData sheetId="25">
        <row r="12">
          <cell r="F12">
            <v>439.79147042659815</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92.136449999999996</v>
          </cell>
        </row>
        <row r="27">
          <cell r="F27">
            <v>1413.5806587229636</v>
          </cell>
        </row>
        <row r="28">
          <cell r="F28">
            <v>1085.6994306627985</v>
          </cell>
        </row>
        <row r="29">
          <cell r="F29">
            <v>327.8812280601652</v>
          </cell>
        </row>
        <row r="30">
          <cell r="F30">
            <v>2117.9102414580429</v>
          </cell>
        </row>
        <row r="33">
          <cell r="F33">
            <v>1374.0280021926758</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23.883333333333333</v>
          </cell>
        </row>
        <row r="19">
          <cell r="E19">
            <v>41.06666666666667</v>
          </cell>
        </row>
      </sheetData>
      <sheetData sheetId="29" refreshError="1"/>
      <sheetData sheetId="30">
        <row r="12">
          <cell r="F12">
            <v>79.723433919932404</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trlProp" Target="../ctrlProps/ctrlProp1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226"/>
  <sheetViews>
    <sheetView zoomScale="85" zoomScaleNormal="85" workbookViewId="0">
      <pane ySplit="8" topLeftCell="A9" activePane="bottomLeft" state="frozen"/>
      <selection pane="bottomLeft" activeCell="C17" sqref="C17"/>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44" t="s">
        <v>1</v>
      </c>
      <c r="C1" s="144"/>
    </row>
    <row r="2" spans="1:3" x14ac:dyDescent="0.2">
      <c r="A2" s="3"/>
      <c r="B2" s="4" t="s">
        <v>2</v>
      </c>
      <c r="C2" s="5">
        <f ca="1">TODAY()</f>
        <v>44944</v>
      </c>
    </row>
    <row r="3" spans="1:3" x14ac:dyDescent="0.2">
      <c r="A3" s="3"/>
      <c r="B3" s="6" t="s">
        <v>3</v>
      </c>
    </row>
    <row r="4" spans="1:3" ht="25.5" x14ac:dyDescent="0.2">
      <c r="A4" s="8"/>
      <c r="B4" s="9" t="str">
        <f>[2]И1!D13</f>
        <v>Субъект Российской Федерации</v>
      </c>
      <c r="C4" s="10" t="str">
        <f>[2]И1!E13</f>
        <v>Новосибирская область</v>
      </c>
    </row>
    <row r="5" spans="1:3" ht="38.25" x14ac:dyDescent="0.2">
      <c r="A5" s="8"/>
      <c r="B5" s="9" t="str">
        <f>[2]И1!D14</f>
        <v>Тип муниципального образования (выберите из списка)</v>
      </c>
      <c r="C5" s="10" t="str">
        <f>[2]И1!E14</f>
        <v>деревня Никоново, Маслянинский муниципальный район</v>
      </c>
    </row>
    <row r="6" spans="1:3" x14ac:dyDescent="0.2">
      <c r="A6" s="8"/>
      <c r="B6" s="9" t="str">
        <f>IF([2]И1!E15="","",[2]И1!D15)</f>
        <v/>
      </c>
      <c r="C6" s="10" t="str">
        <f>IF([2]И1!E15="","",[2]И1!E15)</f>
        <v/>
      </c>
    </row>
    <row r="7" spans="1:3" x14ac:dyDescent="0.2">
      <c r="A7" s="8"/>
      <c r="B7" s="9" t="str">
        <f>[2]И1!D16</f>
        <v>Код ОКТМО</v>
      </c>
      <c r="C7" s="11" t="str">
        <f>[2]И1!E16</f>
        <v>50636428101</v>
      </c>
    </row>
    <row r="8" spans="1:3" x14ac:dyDescent="0.2">
      <c r="A8" s="8"/>
      <c r="B8" s="12" t="str">
        <f>[2]И1!D17</f>
        <v>Система теплоснабжения</v>
      </c>
      <c r="C8" s="13">
        <f>[2]И1!E17</f>
        <v>0</v>
      </c>
    </row>
    <row r="9" spans="1:3" x14ac:dyDescent="0.2">
      <c r="A9" s="8"/>
      <c r="B9" s="9" t="str">
        <f>[2]И1!D8</f>
        <v>Период регулирования (i)-й</v>
      </c>
      <c r="C9" s="14">
        <f>[2]И1!E8</f>
        <v>2023</v>
      </c>
    </row>
    <row r="10" spans="1:3" x14ac:dyDescent="0.2">
      <c r="A10" s="8"/>
      <c r="B10" s="9" t="str">
        <f>[2]И1!D9</f>
        <v>Период регулирования (i-1)-й</v>
      </c>
      <c r="C10" s="14">
        <f>[2]И1!E9</f>
        <v>2022</v>
      </c>
    </row>
    <row r="11" spans="1:3" x14ac:dyDescent="0.2">
      <c r="A11" s="8"/>
      <c r="B11" s="9" t="str">
        <f>[2]И1!D10</f>
        <v>Период регулирования (i-2)-й</v>
      </c>
      <c r="C11" s="14">
        <f>[2]И1!E10</f>
        <v>2021</v>
      </c>
    </row>
    <row r="12" spans="1:3" x14ac:dyDescent="0.2">
      <c r="A12" s="8"/>
      <c r="B12" s="9" t="str">
        <f>[2]И1!D11</f>
        <v>Базовый год (б)</v>
      </c>
      <c r="C12" s="14">
        <f>[2]И1!E11</f>
        <v>2019</v>
      </c>
    </row>
    <row r="13" spans="1:3" ht="38.25" x14ac:dyDescent="0.2">
      <c r="A13" s="8"/>
      <c r="B13" s="9" t="str">
        <f>[2]И1!D18</f>
        <v>Вид топлива, использование которого преобладает в системе теплоснабжения</v>
      </c>
      <c r="C13" s="15" t="str">
        <f>[2]С1.1!E13</f>
        <v>уголь (вид угля не указан в топливном балансе)</v>
      </c>
    </row>
    <row r="14" spans="1:3" ht="31.7" customHeight="1" thickBot="1" x14ac:dyDescent="0.25">
      <c r="A14" s="145" t="s">
        <v>4</v>
      </c>
      <c r="B14" s="145"/>
      <c r="C14" s="145"/>
    </row>
    <row r="15" spans="1:3" x14ac:dyDescent="0.2">
      <c r="A15" s="16" t="s">
        <v>5</v>
      </c>
      <c r="B15" s="17" t="s">
        <v>6</v>
      </c>
      <c r="C15" s="18" t="s">
        <v>7</v>
      </c>
    </row>
    <row r="16" spans="1:3" x14ac:dyDescent="0.2">
      <c r="A16" s="19">
        <v>1</v>
      </c>
      <c r="B16" s="20">
        <v>2</v>
      </c>
      <c r="C16" s="21">
        <v>3</v>
      </c>
    </row>
    <row r="17" spans="1:3" x14ac:dyDescent="0.2">
      <c r="A17" s="22">
        <v>1</v>
      </c>
      <c r="B17" s="23" t="s">
        <v>8</v>
      </c>
      <c r="C17" s="24">
        <f>SUM(C18:C22)</f>
        <v>4085.210283722075</v>
      </c>
    </row>
    <row r="18" spans="1:3" ht="42.75" x14ac:dyDescent="0.2">
      <c r="A18" s="22" t="s">
        <v>9</v>
      </c>
      <c r="B18" s="25" t="s">
        <v>10</v>
      </c>
      <c r="C18" s="26">
        <f>[2]С1!F12</f>
        <v>948.6556800217611</v>
      </c>
    </row>
    <row r="19" spans="1:3" ht="42.75" x14ac:dyDescent="0.2">
      <c r="A19" s="22" t="s">
        <v>11</v>
      </c>
      <c r="B19" s="25" t="s">
        <v>12</v>
      </c>
      <c r="C19" s="26">
        <f>[2]С2!F12</f>
        <v>2110.2454761302993</v>
      </c>
    </row>
    <row r="20" spans="1:3" ht="30" x14ac:dyDescent="0.2">
      <c r="A20" s="22" t="s">
        <v>13</v>
      </c>
      <c r="B20" s="25" t="s">
        <v>14</v>
      </c>
      <c r="C20" s="26">
        <f>[2]С3!F12</f>
        <v>504.95006339690781</v>
      </c>
    </row>
    <row r="21" spans="1:3" ht="42.75" x14ac:dyDescent="0.2">
      <c r="A21" s="22" t="s">
        <v>15</v>
      </c>
      <c r="B21" s="25" t="s">
        <v>16</v>
      </c>
      <c r="C21" s="26">
        <f>[2]С4!F12</f>
        <v>441.25690174718437</v>
      </c>
    </row>
    <row r="22" spans="1:3" ht="30" x14ac:dyDescent="0.2">
      <c r="A22" s="22" t="s">
        <v>17</v>
      </c>
      <c r="B22" s="25" t="s">
        <v>18</v>
      </c>
      <c r="C22" s="26">
        <f>[2]С5!F12</f>
        <v>80.102162425923041</v>
      </c>
    </row>
    <row r="23" spans="1:3" ht="43.5" thickBot="1" x14ac:dyDescent="0.25">
      <c r="A23" s="27" t="s">
        <v>19</v>
      </c>
      <c r="B23" s="28" t="s">
        <v>20</v>
      </c>
      <c r="C23" s="29" t="str">
        <f>[2]С6!F12</f>
        <v>-</v>
      </c>
    </row>
    <row r="24" spans="1:3" ht="13.5" thickBot="1" x14ac:dyDescent="0.25">
      <c r="A24" s="3"/>
    </row>
    <row r="25" spans="1:3" x14ac:dyDescent="0.2">
      <c r="A25" s="16" t="s">
        <v>5</v>
      </c>
      <c r="B25" s="30" t="s">
        <v>6</v>
      </c>
      <c r="C25" s="31" t="s">
        <v>7</v>
      </c>
    </row>
    <row r="26" spans="1:3" x14ac:dyDescent="0.2">
      <c r="A26" s="19">
        <v>1</v>
      </c>
      <c r="B26" s="32">
        <v>2</v>
      </c>
      <c r="C26" s="33">
        <v>3</v>
      </c>
    </row>
    <row r="27" spans="1:3" ht="30" customHeight="1" x14ac:dyDescent="0.2">
      <c r="A27" s="22">
        <v>1</v>
      </c>
      <c r="B27" s="146" t="s">
        <v>21</v>
      </c>
      <c r="C27" s="146"/>
    </row>
    <row r="28" spans="1:3" x14ac:dyDescent="0.2">
      <c r="A28" s="22" t="s">
        <v>9</v>
      </c>
      <c r="B28" s="34" t="s">
        <v>22</v>
      </c>
      <c r="C28" s="35">
        <f>[2]С1.1!E16</f>
        <v>5100</v>
      </c>
    </row>
    <row r="29" spans="1:3" ht="42.75" x14ac:dyDescent="0.2">
      <c r="A29" s="22" t="s">
        <v>11</v>
      </c>
      <c r="B29" s="34" t="s">
        <v>23</v>
      </c>
      <c r="C29" s="35">
        <f>[2]С1.1!E27</f>
        <v>2550.7765830346502</v>
      </c>
    </row>
    <row r="30" spans="1:3" ht="17.25" x14ac:dyDescent="0.2">
      <c r="A30" s="22" t="s">
        <v>13</v>
      </c>
      <c r="B30" s="34" t="s">
        <v>24</v>
      </c>
      <c r="C30" s="36">
        <f>[2]С1.1!E19</f>
        <v>0.59499999999999997</v>
      </c>
    </row>
    <row r="31" spans="1:3" ht="17.25" x14ac:dyDescent="0.2">
      <c r="A31" s="22" t="s">
        <v>15</v>
      </c>
      <c r="B31" s="34" t="s">
        <v>25</v>
      </c>
      <c r="C31" s="36">
        <f>[2]С1.1!E20</f>
        <v>-0.113</v>
      </c>
    </row>
    <row r="32" spans="1:3" ht="30" x14ac:dyDescent="0.2">
      <c r="A32" s="22" t="s">
        <v>17</v>
      </c>
      <c r="B32" s="37" t="s">
        <v>26</v>
      </c>
      <c r="C32" s="38">
        <f>[2]С1!F13</f>
        <v>176.4</v>
      </c>
    </row>
    <row r="33" spans="1:3" x14ac:dyDescent="0.2">
      <c r="A33" s="22" t="s">
        <v>19</v>
      </c>
      <c r="B33" s="37" t="s">
        <v>27</v>
      </c>
      <c r="C33" s="39">
        <f>[2]С1!F16</f>
        <v>7000</v>
      </c>
    </row>
    <row r="34" spans="1:3" ht="14.25" x14ac:dyDescent="0.2">
      <c r="A34" s="22" t="s">
        <v>28</v>
      </c>
      <c r="B34" s="40" t="s">
        <v>29</v>
      </c>
      <c r="C34" s="41">
        <f>[2]С1!F17</f>
        <v>0.72857142857142854</v>
      </c>
    </row>
    <row r="35" spans="1:3" ht="15.75" x14ac:dyDescent="0.2">
      <c r="A35" s="42" t="s">
        <v>30</v>
      </c>
      <c r="B35" s="43" t="s">
        <v>31</v>
      </c>
      <c r="C35" s="41">
        <f>[2]С1!F20</f>
        <v>21.588411179999994</v>
      </c>
    </row>
    <row r="36" spans="1:3" ht="15.75" x14ac:dyDescent="0.2">
      <c r="A36" s="42" t="s">
        <v>32</v>
      </c>
      <c r="B36" s="44" t="s">
        <v>33</v>
      </c>
      <c r="C36" s="41">
        <f>[2]С1!F21</f>
        <v>20.818139999999996</v>
      </c>
    </row>
    <row r="37" spans="1:3" ht="14.25" x14ac:dyDescent="0.2">
      <c r="A37" s="42" t="s">
        <v>34</v>
      </c>
      <c r="B37" s="45" t="s">
        <v>35</v>
      </c>
      <c r="C37" s="41">
        <f>[2]С1!F22</f>
        <v>1.0369999999999999</v>
      </c>
    </row>
    <row r="38" spans="1:3" ht="53.25" thickBot="1" x14ac:dyDescent="0.25">
      <c r="A38" s="27" t="s">
        <v>36</v>
      </c>
      <c r="B38" s="46" t="s">
        <v>37</v>
      </c>
      <c r="C38" s="47">
        <f>[2]С1!F23</f>
        <v>1.0469999999999999</v>
      </c>
    </row>
    <row r="39" spans="1:3" ht="13.5" thickBot="1" x14ac:dyDescent="0.25">
      <c r="A39" s="48"/>
      <c r="B39" s="49"/>
      <c r="C39" s="50"/>
    </row>
    <row r="40" spans="1:3" ht="30" customHeight="1" x14ac:dyDescent="0.2">
      <c r="A40" s="51" t="s">
        <v>38</v>
      </c>
      <c r="B40" s="142" t="s">
        <v>39</v>
      </c>
      <c r="C40" s="142"/>
    </row>
    <row r="41" spans="1:3" ht="25.5" x14ac:dyDescent="0.2">
      <c r="A41" s="22" t="s">
        <v>40</v>
      </c>
      <c r="B41" s="37" t="s">
        <v>41</v>
      </c>
      <c r="C41" s="52" t="str">
        <f>[2]С2.1!E12</f>
        <v>V</v>
      </c>
    </row>
    <row r="42" spans="1:3" ht="25.5" x14ac:dyDescent="0.2">
      <c r="A42" s="22" t="s">
        <v>42</v>
      </c>
      <c r="B42" s="34" t="s">
        <v>43</v>
      </c>
      <c r="C42" s="52" t="str">
        <f>[2]С2.1!E13</f>
        <v>6 и менее баллов</v>
      </c>
    </row>
    <row r="43" spans="1:3" ht="25.5" x14ac:dyDescent="0.2">
      <c r="A43" s="22" t="s">
        <v>44</v>
      </c>
      <c r="B43" s="34" t="s">
        <v>45</v>
      </c>
      <c r="C43" s="52" t="str">
        <f>[2]С2.1!E14</f>
        <v>от 200 до 500</v>
      </c>
    </row>
    <row r="44" spans="1:3" ht="25.5" x14ac:dyDescent="0.2">
      <c r="A44" s="22" t="s">
        <v>46</v>
      </c>
      <c r="B44" s="34" t="s">
        <v>47</v>
      </c>
      <c r="C44" s="53" t="str">
        <f>[2]С2.1!E15</f>
        <v>нет</v>
      </c>
    </row>
    <row r="45" spans="1:3" ht="30" x14ac:dyDescent="0.2">
      <c r="A45" s="22" t="s">
        <v>48</v>
      </c>
      <c r="B45" s="34" t="s">
        <v>49</v>
      </c>
      <c r="C45" s="35">
        <f>[2]С2!F18</f>
        <v>32402.627334033532</v>
      </c>
    </row>
    <row r="46" spans="1:3" ht="30" x14ac:dyDescent="0.2">
      <c r="A46" s="22" t="s">
        <v>50</v>
      </c>
      <c r="B46" s="54" t="s">
        <v>51</v>
      </c>
      <c r="C46" s="35">
        <f>IF([2]С2!F19&gt;0,[2]С2!F19,[2]С2!F20)</f>
        <v>23441.524932855718</v>
      </c>
    </row>
    <row r="47" spans="1:3" ht="25.5" x14ac:dyDescent="0.2">
      <c r="A47" s="22" t="s">
        <v>52</v>
      </c>
      <c r="B47" s="55" t="s">
        <v>53</v>
      </c>
      <c r="C47" s="35">
        <f>[2]С2.1!E19</f>
        <v>-37</v>
      </c>
    </row>
    <row r="48" spans="1:3" ht="25.5" x14ac:dyDescent="0.2">
      <c r="A48" s="22" t="s">
        <v>54</v>
      </c>
      <c r="B48" s="55" t="s">
        <v>55</v>
      </c>
      <c r="C48" s="35" t="str">
        <f>[2]С2.1!E22</f>
        <v>нет</v>
      </c>
    </row>
    <row r="49" spans="1:3" ht="38.25" x14ac:dyDescent="0.2">
      <c r="A49" s="22" t="s">
        <v>56</v>
      </c>
      <c r="B49" s="56" t="s">
        <v>57</v>
      </c>
      <c r="C49" s="35">
        <f>[2]С2.2!E10</f>
        <v>1287</v>
      </c>
    </row>
    <row r="50" spans="1:3" ht="25.5" x14ac:dyDescent="0.2">
      <c r="A50" s="22" t="s">
        <v>58</v>
      </c>
      <c r="B50" s="57" t="s">
        <v>59</v>
      </c>
      <c r="C50" s="35">
        <f>[2]С2.2!E12</f>
        <v>5.97</v>
      </c>
    </row>
    <row r="51" spans="1:3" ht="52.5" x14ac:dyDescent="0.2">
      <c r="A51" s="22" t="s">
        <v>60</v>
      </c>
      <c r="B51" s="58" t="s">
        <v>61</v>
      </c>
      <c r="C51" s="35">
        <f>[2]С2.2!E13</f>
        <v>1</v>
      </c>
    </row>
    <row r="52" spans="1:3" ht="27.75" x14ac:dyDescent="0.2">
      <c r="A52" s="22" t="s">
        <v>62</v>
      </c>
      <c r="B52" s="57" t="s">
        <v>63</v>
      </c>
      <c r="C52" s="35">
        <f>[2]С2.2!E14</f>
        <v>12104</v>
      </c>
    </row>
    <row r="53" spans="1:3" ht="25.5" x14ac:dyDescent="0.2">
      <c r="A53" s="22" t="s">
        <v>64</v>
      </c>
      <c r="B53" s="58" t="s">
        <v>65</v>
      </c>
      <c r="C53" s="36">
        <f>[2]С2.2!E15</f>
        <v>4.8000000000000001E-2</v>
      </c>
    </row>
    <row r="54" spans="1:3" x14ac:dyDescent="0.2">
      <c r="A54" s="22" t="s">
        <v>66</v>
      </c>
      <c r="B54" s="58" t="s">
        <v>67</v>
      </c>
      <c r="C54" s="35">
        <f>[2]С2.2!E16</f>
        <v>1</v>
      </c>
    </row>
    <row r="55" spans="1:3" ht="15.75" x14ac:dyDescent="0.2">
      <c r="A55" s="22" t="s">
        <v>68</v>
      </c>
      <c r="B55" s="59" t="s">
        <v>69</v>
      </c>
      <c r="C55" s="35">
        <f>[2]С2!F21</f>
        <v>1</v>
      </c>
    </row>
    <row r="56" spans="1:3" ht="30" x14ac:dyDescent="0.2">
      <c r="A56" s="60" t="s">
        <v>70</v>
      </c>
      <c r="B56" s="34" t="s">
        <v>71</v>
      </c>
      <c r="C56" s="35">
        <f>[2]С2!F13</f>
        <v>169640.22915965237</v>
      </c>
    </row>
    <row r="57" spans="1:3" ht="30" x14ac:dyDescent="0.2">
      <c r="A57" s="60" t="s">
        <v>72</v>
      </c>
      <c r="B57" s="59" t="s">
        <v>73</v>
      </c>
      <c r="C57" s="35">
        <f>[2]С2!F14</f>
        <v>113455</v>
      </c>
    </row>
    <row r="58" spans="1:3" ht="15.75" x14ac:dyDescent="0.2">
      <c r="A58" s="60" t="s">
        <v>74</v>
      </c>
      <c r="B58" s="61" t="s">
        <v>75</v>
      </c>
      <c r="C58" s="41">
        <f>[2]С2!F15</f>
        <v>1.071</v>
      </c>
    </row>
    <row r="59" spans="1:3" ht="15.75" x14ac:dyDescent="0.2">
      <c r="A59" s="60" t="s">
        <v>76</v>
      </c>
      <c r="B59" s="61" t="s">
        <v>77</v>
      </c>
      <c r="C59" s="41">
        <f>[2]С2!F16</f>
        <v>1</v>
      </c>
    </row>
    <row r="60" spans="1:3" ht="17.25" x14ac:dyDescent="0.2">
      <c r="A60" s="60" t="s">
        <v>78</v>
      </c>
      <c r="B60" s="59" t="s">
        <v>79</v>
      </c>
      <c r="C60" s="35">
        <f>[2]С2!F17</f>
        <v>1.01</v>
      </c>
    </row>
    <row r="61" spans="1:3" s="64" customFormat="1" ht="14.25" x14ac:dyDescent="0.2">
      <c r="A61" s="60" t="s">
        <v>80</v>
      </c>
      <c r="B61" s="62" t="s">
        <v>81</v>
      </c>
      <c r="C61" s="63">
        <f>[2]С2!F33</f>
        <v>10</v>
      </c>
    </row>
    <row r="62" spans="1:3" ht="30" x14ac:dyDescent="0.2">
      <c r="A62" s="60" t="s">
        <v>82</v>
      </c>
      <c r="B62" s="65" t="s">
        <v>83</v>
      </c>
      <c r="C62" s="35">
        <f>[2]С2!F26</f>
        <v>1598.6279958476514</v>
      </c>
    </row>
    <row r="63" spans="1:3" ht="17.25" x14ac:dyDescent="0.2">
      <c r="A63" s="60" t="s">
        <v>84</v>
      </c>
      <c r="B63" s="54" t="s">
        <v>85</v>
      </c>
      <c r="C63" s="35">
        <f>[2]С2!F27</f>
        <v>0.27536184199999997</v>
      </c>
    </row>
    <row r="64" spans="1:3" ht="17.25" x14ac:dyDescent="0.2">
      <c r="A64" s="60" t="s">
        <v>86</v>
      </c>
      <c r="B64" s="59" t="s">
        <v>87</v>
      </c>
      <c r="C64" s="63">
        <f>[2]С2!F28</f>
        <v>4200</v>
      </c>
    </row>
    <row r="65" spans="1:3" ht="42.75" x14ac:dyDescent="0.2">
      <c r="A65" s="60" t="s">
        <v>88</v>
      </c>
      <c r="B65" s="34" t="s">
        <v>89</v>
      </c>
      <c r="C65" s="35">
        <f>[2]С2!F22</f>
        <v>35717.748653137714</v>
      </c>
    </row>
    <row r="66" spans="1:3" ht="30" x14ac:dyDescent="0.2">
      <c r="A66" s="60" t="s">
        <v>90</v>
      </c>
      <c r="B66" s="61" t="s">
        <v>91</v>
      </c>
      <c r="C66" s="35">
        <f>[2]С2!F23</f>
        <v>1990</v>
      </c>
    </row>
    <row r="67" spans="1:3" ht="30" x14ac:dyDescent="0.2">
      <c r="A67" s="60" t="s">
        <v>92</v>
      </c>
      <c r="B67" s="54" t="s">
        <v>93</v>
      </c>
      <c r="C67" s="35">
        <f>[2]С2.1!E27</f>
        <v>14307.876789999998</v>
      </c>
    </row>
    <row r="68" spans="1:3" ht="38.25" x14ac:dyDescent="0.2">
      <c r="A68" s="60" t="s">
        <v>94</v>
      </c>
      <c r="B68" s="66" t="s">
        <v>95</v>
      </c>
      <c r="C68" s="53">
        <f>[2]С2.3!E21</f>
        <v>0</v>
      </c>
    </row>
    <row r="69" spans="1:3" ht="25.5" x14ac:dyDescent="0.2">
      <c r="A69" s="60" t="s">
        <v>96</v>
      </c>
      <c r="B69" s="67" t="s">
        <v>97</v>
      </c>
      <c r="C69" s="68">
        <f>[2]С2.3!E11</f>
        <v>9.89</v>
      </c>
    </row>
    <row r="70" spans="1:3" ht="25.5" x14ac:dyDescent="0.2">
      <c r="A70" s="60" t="s">
        <v>98</v>
      </c>
      <c r="B70" s="67" t="s">
        <v>99</v>
      </c>
      <c r="C70" s="63">
        <f>[2]С2.3!E13</f>
        <v>300</v>
      </c>
    </row>
    <row r="71" spans="1:3" ht="25.5" x14ac:dyDescent="0.2">
      <c r="A71" s="60" t="s">
        <v>100</v>
      </c>
      <c r="B71" s="66" t="s">
        <v>101</v>
      </c>
      <c r="C71" s="69">
        <f>IF([2]С2.3!E22&gt;0,[2]С2.3!E22,[2]С2.3!E14)</f>
        <v>61211</v>
      </c>
    </row>
    <row r="72" spans="1:3" ht="38.25" x14ac:dyDescent="0.2">
      <c r="A72" s="60" t="s">
        <v>102</v>
      </c>
      <c r="B72" s="66" t="s">
        <v>103</v>
      </c>
      <c r="C72" s="69">
        <f>IF([2]С2.3!E23&gt;0,[2]С2.3!E23,[2]С2.3!E15)</f>
        <v>45675</v>
      </c>
    </row>
    <row r="73" spans="1:3" ht="30" x14ac:dyDescent="0.2">
      <c r="A73" s="60" t="s">
        <v>104</v>
      </c>
      <c r="B73" s="54" t="s">
        <v>105</v>
      </c>
      <c r="C73" s="35">
        <f>[2]С2.1!E28</f>
        <v>9541.9567200000001</v>
      </c>
    </row>
    <row r="74" spans="1:3" ht="38.25" x14ac:dyDescent="0.2">
      <c r="A74" s="60" t="s">
        <v>106</v>
      </c>
      <c r="B74" s="66" t="s">
        <v>107</v>
      </c>
      <c r="C74" s="53">
        <f>[2]С2.3!E25</f>
        <v>0</v>
      </c>
    </row>
    <row r="75" spans="1:3" ht="25.5" x14ac:dyDescent="0.2">
      <c r="A75" s="60" t="s">
        <v>108</v>
      </c>
      <c r="B75" s="67" t="s">
        <v>109</v>
      </c>
      <c r="C75" s="68">
        <f>[2]С2.3!E12</f>
        <v>0.56000000000000005</v>
      </c>
    </row>
    <row r="76" spans="1:3" ht="25.5" x14ac:dyDescent="0.2">
      <c r="A76" s="60" t="s">
        <v>110</v>
      </c>
      <c r="B76" s="67" t="s">
        <v>99</v>
      </c>
      <c r="C76" s="63">
        <f>[2]С2.3!E13</f>
        <v>300</v>
      </c>
    </row>
    <row r="77" spans="1:3" ht="25.5" x14ac:dyDescent="0.2">
      <c r="A77" s="60" t="s">
        <v>111</v>
      </c>
      <c r="B77" s="70" t="s">
        <v>112</v>
      </c>
      <c r="C77" s="69">
        <f>IF([2]С2.3!E26&gt;0,[2]С2.3!E26,[2]С2.3!E16)</f>
        <v>65637</v>
      </c>
    </row>
    <row r="78" spans="1:3" ht="38.25" x14ac:dyDescent="0.2">
      <c r="A78" s="60" t="s">
        <v>113</v>
      </c>
      <c r="B78" s="70" t="s">
        <v>114</v>
      </c>
      <c r="C78" s="69">
        <f>IF([2]С2.3!E27&gt;0,[2]С2.3!E27,[2]С2.3!E17)</f>
        <v>31684</v>
      </c>
    </row>
    <row r="79" spans="1:3" ht="17.25" x14ac:dyDescent="0.2">
      <c r="A79" s="60" t="s">
        <v>115</v>
      </c>
      <c r="B79" s="34" t="s">
        <v>116</v>
      </c>
      <c r="C79" s="36">
        <f>[2]С2!F29</f>
        <v>0.128978033685065</v>
      </c>
    </row>
    <row r="80" spans="1:3" ht="30" x14ac:dyDescent="0.2">
      <c r="A80" s="60" t="s">
        <v>117</v>
      </c>
      <c r="B80" s="54" t="s">
        <v>118</v>
      </c>
      <c r="C80" s="71">
        <f>[2]С2!F30</f>
        <v>0.11668498168498169</v>
      </c>
    </row>
    <row r="81" spans="1:3" ht="17.25" x14ac:dyDescent="0.2">
      <c r="A81" s="60" t="s">
        <v>119</v>
      </c>
      <c r="B81" s="72" t="s">
        <v>120</v>
      </c>
      <c r="C81" s="36">
        <f>[2]С2!F31</f>
        <v>0.13880000000000001</v>
      </c>
    </row>
    <row r="82" spans="1:3" s="64" customFormat="1" ht="18" thickBot="1" x14ac:dyDescent="0.25">
      <c r="A82" s="73" t="s">
        <v>121</v>
      </c>
      <c r="B82" s="74" t="s">
        <v>122</v>
      </c>
      <c r="C82" s="75">
        <f>[2]С2!F32</f>
        <v>0.12640000000000001</v>
      </c>
    </row>
    <row r="83" spans="1:3" ht="13.5" thickBot="1" x14ac:dyDescent="0.25">
      <c r="A83" s="48"/>
      <c r="B83" s="76"/>
      <c r="C83" s="15"/>
    </row>
    <row r="84" spans="1:3" s="64" customFormat="1" ht="30" customHeight="1" x14ac:dyDescent="0.2">
      <c r="A84" s="77" t="s">
        <v>123</v>
      </c>
      <c r="B84" s="142" t="s">
        <v>124</v>
      </c>
      <c r="C84" s="142"/>
    </row>
    <row r="85" spans="1:3" s="64" customFormat="1" ht="30" x14ac:dyDescent="0.2">
      <c r="A85" s="78" t="s">
        <v>125</v>
      </c>
      <c r="B85" s="34" t="s">
        <v>126</v>
      </c>
      <c r="C85" s="35">
        <f>[2]С3!F14</f>
        <v>7020.1696866647444</v>
      </c>
    </row>
    <row r="86" spans="1:3" s="64" customFormat="1" ht="42.75" x14ac:dyDescent="0.2">
      <c r="A86" s="78" t="s">
        <v>127</v>
      </c>
      <c r="B86" s="54" t="s">
        <v>128</v>
      </c>
      <c r="C86" s="79">
        <f>[2]С3!F15</f>
        <v>0.2</v>
      </c>
    </row>
    <row r="87" spans="1:3" s="64" customFormat="1" ht="14.25" x14ac:dyDescent="0.2">
      <c r="A87" s="78" t="s">
        <v>129</v>
      </c>
      <c r="B87" s="80" t="s">
        <v>130</v>
      </c>
      <c r="C87" s="63">
        <f>[2]С3!F18</f>
        <v>15</v>
      </c>
    </row>
    <row r="88" spans="1:3" s="64" customFormat="1" ht="17.25" x14ac:dyDescent="0.2">
      <c r="A88" s="78" t="s">
        <v>131</v>
      </c>
      <c r="B88" s="34" t="s">
        <v>132</v>
      </c>
      <c r="C88" s="35">
        <f>[2]С3!F19</f>
        <v>3487.1555421534131</v>
      </c>
    </row>
    <row r="89" spans="1:3" s="64" customFormat="1" ht="55.5" x14ac:dyDescent="0.2">
      <c r="A89" s="78" t="s">
        <v>133</v>
      </c>
      <c r="B89" s="54" t="s">
        <v>134</v>
      </c>
      <c r="C89" s="81">
        <f>[2]С3!F20</f>
        <v>2.1999999999999999E-2</v>
      </c>
    </row>
    <row r="90" spans="1:3" s="64" customFormat="1" ht="14.25" x14ac:dyDescent="0.2">
      <c r="A90" s="78" t="s">
        <v>135</v>
      </c>
      <c r="B90" s="59" t="s">
        <v>81</v>
      </c>
      <c r="C90" s="63">
        <f>[2]С3!F21</f>
        <v>10</v>
      </c>
    </row>
    <row r="91" spans="1:3" s="64" customFormat="1" ht="17.25" x14ac:dyDescent="0.2">
      <c r="A91" s="78" t="s">
        <v>136</v>
      </c>
      <c r="B91" s="34" t="s">
        <v>137</v>
      </c>
      <c r="C91" s="35">
        <f>[2]С3!F22</f>
        <v>4.795883987542954</v>
      </c>
    </row>
    <row r="92" spans="1:3" s="64" customFormat="1" ht="55.5" x14ac:dyDescent="0.2">
      <c r="A92" s="78" t="s">
        <v>138</v>
      </c>
      <c r="B92" s="54" t="s">
        <v>139</v>
      </c>
      <c r="C92" s="81">
        <f>[2]С3!F23</f>
        <v>3.0000000000000001E-3</v>
      </c>
    </row>
    <row r="93" spans="1:3" s="64" customFormat="1" ht="27.75" thickBot="1" x14ac:dyDescent="0.25">
      <c r="A93" s="82" t="s">
        <v>140</v>
      </c>
      <c r="B93" s="83" t="s">
        <v>141</v>
      </c>
      <c r="C93" s="84">
        <f>[2]С3!F24</f>
        <v>1598.6279958476514</v>
      </c>
    </row>
    <row r="94" spans="1:3" ht="13.5" thickBot="1" x14ac:dyDescent="0.25">
      <c r="A94" s="48"/>
      <c r="B94" s="76"/>
      <c r="C94" s="15"/>
    </row>
    <row r="95" spans="1:3" ht="30" customHeight="1" x14ac:dyDescent="0.2">
      <c r="A95" s="85" t="s">
        <v>142</v>
      </c>
      <c r="B95" s="142" t="s">
        <v>143</v>
      </c>
      <c r="C95" s="142"/>
    </row>
    <row r="96" spans="1:3" ht="30" x14ac:dyDescent="0.2">
      <c r="A96" s="60" t="s">
        <v>144</v>
      </c>
      <c r="B96" s="34" t="s">
        <v>145</v>
      </c>
      <c r="C96" s="35">
        <f>[2]С4!F16</f>
        <v>1652.5</v>
      </c>
    </row>
    <row r="97" spans="1:3" ht="30" x14ac:dyDescent="0.2">
      <c r="A97" s="60" t="s">
        <v>146</v>
      </c>
      <c r="B97" s="59" t="s">
        <v>147</v>
      </c>
      <c r="C97" s="35">
        <f>[2]С4!F17</f>
        <v>73547</v>
      </c>
    </row>
    <row r="98" spans="1:3" ht="33" x14ac:dyDescent="0.2">
      <c r="A98" s="60" t="s">
        <v>148</v>
      </c>
      <c r="B98" s="59" t="s">
        <v>149</v>
      </c>
      <c r="C98" s="41">
        <f>[2]С4!F18</f>
        <v>0.02</v>
      </c>
    </row>
    <row r="99" spans="1:3" ht="30" x14ac:dyDescent="0.2">
      <c r="A99" s="60" t="s">
        <v>150</v>
      </c>
      <c r="B99" s="59" t="s">
        <v>151</v>
      </c>
      <c r="C99" s="35">
        <f>[2]С4!F19</f>
        <v>12104</v>
      </c>
    </row>
    <row r="100" spans="1:3" ht="28.5" x14ac:dyDescent="0.2">
      <c r="A100" s="60" t="s">
        <v>152</v>
      </c>
      <c r="B100" s="59" t="s">
        <v>153</v>
      </c>
      <c r="C100" s="41">
        <f>[2]С4!F20</f>
        <v>1.4999999999999999E-2</v>
      </c>
    </row>
    <row r="101" spans="1:3" ht="30" x14ac:dyDescent="0.2">
      <c r="A101" s="60" t="s">
        <v>154</v>
      </c>
      <c r="B101" s="34" t="s">
        <v>155</v>
      </c>
      <c r="C101" s="35">
        <f>[2]С4!F21</f>
        <v>1933.1949342509995</v>
      </c>
    </row>
    <row r="102" spans="1:3" ht="24" customHeight="1" x14ac:dyDescent="0.2">
      <c r="A102" s="60" t="s">
        <v>156</v>
      </c>
      <c r="B102" s="54" t="s">
        <v>157</v>
      </c>
      <c r="C102" s="86">
        <f>IF([2]С4.2!F8="да",[2]С4.2!D21,[2]С4.2!D15)</f>
        <v>0</v>
      </c>
    </row>
    <row r="103" spans="1:3" ht="68.25" x14ac:dyDescent="0.2">
      <c r="A103" s="60" t="s">
        <v>158</v>
      </c>
      <c r="B103" s="54" t="s">
        <v>159</v>
      </c>
      <c r="C103" s="35">
        <f>[2]С4!F22</f>
        <v>3.6112641666666665</v>
      </c>
    </row>
    <row r="104" spans="1:3" ht="30" x14ac:dyDescent="0.2">
      <c r="A104" s="60" t="s">
        <v>160</v>
      </c>
      <c r="B104" s="59" t="s">
        <v>161</v>
      </c>
      <c r="C104" s="35">
        <f>[2]С4!F23</f>
        <v>180</v>
      </c>
    </row>
    <row r="105" spans="1:3" ht="14.25" x14ac:dyDescent="0.2">
      <c r="A105" s="60" t="s">
        <v>162</v>
      </c>
      <c r="B105" s="54" t="s">
        <v>163</v>
      </c>
      <c r="C105" s="35">
        <f>[2]С4!F24</f>
        <v>8497.1999999999989</v>
      </c>
    </row>
    <row r="106" spans="1:3" ht="14.25" x14ac:dyDescent="0.2">
      <c r="A106" s="60" t="s">
        <v>164</v>
      </c>
      <c r="B106" s="59" t="s">
        <v>165</v>
      </c>
      <c r="C106" s="41">
        <f>[2]С4!F25</f>
        <v>0.35</v>
      </c>
    </row>
    <row r="107" spans="1:3" ht="17.25" x14ac:dyDescent="0.2">
      <c r="A107" s="60" t="s">
        <v>166</v>
      </c>
      <c r="B107" s="34" t="s">
        <v>167</v>
      </c>
      <c r="C107" s="35">
        <f>[2]С4!F26</f>
        <v>95.614225000000019</v>
      </c>
    </row>
    <row r="108" spans="1:3" ht="25.5" x14ac:dyDescent="0.2">
      <c r="A108" s="60" t="s">
        <v>168</v>
      </c>
      <c r="B108" s="54" t="s">
        <v>95</v>
      </c>
      <c r="C108" s="86">
        <f>[2]С4.3!E16</f>
        <v>0</v>
      </c>
    </row>
    <row r="109" spans="1:3" ht="25.5" x14ac:dyDescent="0.2">
      <c r="A109" s="60" t="s">
        <v>169</v>
      </c>
      <c r="B109" s="54" t="s">
        <v>170</v>
      </c>
      <c r="C109" s="35">
        <f>[2]С4.3!E17</f>
        <v>24.875000000000004</v>
      </c>
    </row>
    <row r="110" spans="1:3" ht="38.25" x14ac:dyDescent="0.2">
      <c r="A110" s="60" t="s">
        <v>171</v>
      </c>
      <c r="B110" s="54" t="s">
        <v>107</v>
      </c>
      <c r="C110" s="86">
        <f>[2]С4.3!E18</f>
        <v>0</v>
      </c>
    </row>
    <row r="111" spans="1:3" x14ac:dyDescent="0.2">
      <c r="A111" s="60" t="s">
        <v>172</v>
      </c>
      <c r="B111" s="54" t="s">
        <v>173</v>
      </c>
      <c r="C111" s="35">
        <f>[2]С4.3!E19</f>
        <v>41.06666666666667</v>
      </c>
    </row>
    <row r="112" spans="1:3" x14ac:dyDescent="0.2">
      <c r="A112" s="60" t="s">
        <v>174</v>
      </c>
      <c r="B112" s="59" t="s">
        <v>175</v>
      </c>
      <c r="C112" s="35">
        <f>[2]С4.3!E11</f>
        <v>1871</v>
      </c>
    </row>
    <row r="113" spans="1:3" x14ac:dyDescent="0.2">
      <c r="A113" s="60" t="s">
        <v>176</v>
      </c>
      <c r="B113" s="59" t="s">
        <v>177</v>
      </c>
      <c r="C113" s="53">
        <f>[2]С4.3!E12</f>
        <v>1636</v>
      </c>
    </row>
    <row r="114" spans="1:3" x14ac:dyDescent="0.2">
      <c r="A114" s="60" t="s">
        <v>178</v>
      </c>
      <c r="B114" s="59" t="s">
        <v>179</v>
      </c>
      <c r="C114" s="53">
        <f>[2]С4.3!E13</f>
        <v>204</v>
      </c>
    </row>
    <row r="115" spans="1:3" ht="30" x14ac:dyDescent="0.2">
      <c r="A115" s="60" t="s">
        <v>180</v>
      </c>
      <c r="B115" s="34" t="s">
        <v>181</v>
      </c>
      <c r="C115" s="35">
        <f>[2]С4!F27</f>
        <v>1413.5806587229636</v>
      </c>
    </row>
    <row r="116" spans="1:3" ht="25.5" x14ac:dyDescent="0.2">
      <c r="A116" s="60" t="s">
        <v>182</v>
      </c>
      <c r="B116" s="54" t="s">
        <v>183</v>
      </c>
      <c r="C116" s="35">
        <f>[2]С4!F28</f>
        <v>1085.6994306627985</v>
      </c>
    </row>
    <row r="117" spans="1:3" ht="42.75" x14ac:dyDescent="0.2">
      <c r="A117" s="60" t="s">
        <v>184</v>
      </c>
      <c r="B117" s="54" t="s">
        <v>185</v>
      </c>
      <c r="C117" s="35">
        <f>[2]С4!F29</f>
        <v>327.8812280601652</v>
      </c>
    </row>
    <row r="118" spans="1:3" ht="30" x14ac:dyDescent="0.2">
      <c r="A118" s="60" t="s">
        <v>186</v>
      </c>
      <c r="B118" s="40" t="s">
        <v>187</v>
      </c>
      <c r="C118" s="35">
        <f>[2]С4!F30</f>
        <v>2143.6105553829166</v>
      </c>
    </row>
    <row r="119" spans="1:3" ht="42.75" x14ac:dyDescent="0.2">
      <c r="A119" s="60" t="s">
        <v>188</v>
      </c>
      <c r="B119" s="87" t="s">
        <v>189</v>
      </c>
      <c r="C119" s="35">
        <f>[2]С4!F33</f>
        <v>1399.4879540941756</v>
      </c>
    </row>
    <row r="120" spans="1:3" ht="30" x14ac:dyDescent="0.2">
      <c r="A120" s="60" t="s">
        <v>190</v>
      </c>
      <c r="B120" s="88" t="s">
        <v>191</v>
      </c>
      <c r="C120" s="35">
        <f>[2]С4!F35</f>
        <v>17.040680999999999</v>
      </c>
    </row>
    <row r="121" spans="1:3" ht="14.25" x14ac:dyDescent="0.2">
      <c r="A121" s="60" t="s">
        <v>192</v>
      </c>
      <c r="B121" s="57" t="s">
        <v>193</v>
      </c>
      <c r="C121" s="35">
        <f>[2]С4!F36</f>
        <v>14319.9</v>
      </c>
    </row>
    <row r="122" spans="1:3" ht="28.5" thickBot="1" x14ac:dyDescent="0.25">
      <c r="A122" s="73" t="s">
        <v>194</v>
      </c>
      <c r="B122" s="89" t="s">
        <v>195</v>
      </c>
      <c r="C122" s="84">
        <f>[2]С4!F37</f>
        <v>1.19</v>
      </c>
    </row>
    <row r="123" spans="1:3" s="90" customFormat="1" ht="13.5" thickBot="1" x14ac:dyDescent="0.25">
      <c r="A123" s="48"/>
      <c r="B123" s="76"/>
      <c r="C123" s="15"/>
    </row>
    <row r="124" spans="1:3" s="64" customFormat="1" ht="30" customHeight="1" x14ac:dyDescent="0.2">
      <c r="A124" s="77" t="s">
        <v>196</v>
      </c>
      <c r="B124" s="142" t="s">
        <v>197</v>
      </c>
      <c r="C124" s="142"/>
    </row>
    <row r="125" spans="1:3" ht="16.5" thickBot="1" x14ac:dyDescent="0.25">
      <c r="A125" s="27" t="s">
        <v>198</v>
      </c>
      <c r="B125" s="91" t="s">
        <v>199</v>
      </c>
      <c r="C125" s="84">
        <f>[2]С5!F17</f>
        <v>0.02</v>
      </c>
    </row>
    <row r="126" spans="1:3" s="90" customFormat="1" ht="13.5" thickBot="1" x14ac:dyDescent="0.25">
      <c r="A126" s="48"/>
      <c r="B126" s="76"/>
      <c r="C126" s="15"/>
    </row>
    <row r="127" spans="1:3" ht="42.75" customHeight="1" x14ac:dyDescent="0.2">
      <c r="A127" s="85" t="s">
        <v>200</v>
      </c>
      <c r="B127" s="143" t="s">
        <v>201</v>
      </c>
      <c r="C127" s="143"/>
    </row>
    <row r="128" spans="1:3" ht="68.25" x14ac:dyDescent="0.2">
      <c r="A128" s="60" t="s">
        <v>202</v>
      </c>
      <c r="B128" s="92" t="s">
        <v>203</v>
      </c>
      <c r="C128" s="35" t="s">
        <v>204</v>
      </c>
    </row>
    <row r="129" spans="1:4" ht="42.75" hidden="1" x14ac:dyDescent="0.2">
      <c r="A129" s="60" t="s">
        <v>205</v>
      </c>
      <c r="B129" s="87" t="s">
        <v>206</v>
      </c>
      <c r="C129" s="93"/>
    </row>
    <row r="130" spans="1:4" ht="69" thickBot="1" x14ac:dyDescent="0.25">
      <c r="A130" s="73" t="s">
        <v>207</v>
      </c>
      <c r="B130" s="94" t="s">
        <v>208</v>
      </c>
      <c r="C130" s="95" t="s">
        <v>204</v>
      </c>
    </row>
    <row r="131" spans="1:4" ht="62.25" hidden="1" customHeight="1" x14ac:dyDescent="0.2">
      <c r="A131" s="96" t="s">
        <v>209</v>
      </c>
      <c r="B131" s="97" t="s">
        <v>210</v>
      </c>
      <c r="C131" s="98"/>
    </row>
    <row r="132" spans="1:4" ht="68.25" hidden="1" x14ac:dyDescent="0.2">
      <c r="A132" s="60" t="s">
        <v>211</v>
      </c>
      <c r="B132" s="87" t="s">
        <v>212</v>
      </c>
      <c r="C132" s="36"/>
    </row>
    <row r="133" spans="1:4" ht="69" hidden="1" thickBot="1" x14ac:dyDescent="0.25">
      <c r="A133" s="73" t="s">
        <v>213</v>
      </c>
      <c r="B133" s="99" t="s">
        <v>214</v>
      </c>
      <c r="C133" s="75"/>
    </row>
    <row r="134" spans="1:4" s="90" customFormat="1" ht="13.5" thickBot="1" x14ac:dyDescent="0.25">
      <c r="A134" s="48"/>
      <c r="B134" s="76"/>
      <c r="C134" s="15"/>
    </row>
    <row r="135" spans="1:4" ht="26.25" customHeight="1" x14ac:dyDescent="0.2">
      <c r="A135" s="85" t="s">
        <v>215</v>
      </c>
      <c r="B135" s="100" t="s">
        <v>216</v>
      </c>
      <c r="C135" s="101">
        <f>[2]С2!F37</f>
        <v>20.818139999999996</v>
      </c>
    </row>
    <row r="136" spans="1:4" ht="14.25" x14ac:dyDescent="0.2">
      <c r="A136" s="60" t="s">
        <v>217</v>
      </c>
      <c r="B136" s="102" t="s">
        <v>218</v>
      </c>
      <c r="C136" s="35">
        <f>[2]С2!F38</f>
        <v>7</v>
      </c>
    </row>
    <row r="137" spans="1:4" ht="17.25" x14ac:dyDescent="0.2">
      <c r="A137" s="60" t="s">
        <v>219</v>
      </c>
      <c r="B137" s="102" t="s">
        <v>220</v>
      </c>
      <c r="C137" s="35">
        <f>[2]С2!F40</f>
        <v>0.97</v>
      </c>
    </row>
    <row r="138" spans="1:4" ht="15" thickBot="1" x14ac:dyDescent="0.25">
      <c r="A138" s="73" t="s">
        <v>221</v>
      </c>
      <c r="B138" s="103" t="s">
        <v>222</v>
      </c>
      <c r="C138" s="47">
        <f>[2]С2!F42</f>
        <v>0.35</v>
      </c>
    </row>
    <row r="139" spans="1:4" s="90" customFormat="1" ht="13.5" thickBot="1" x14ac:dyDescent="0.25">
      <c r="A139" s="48"/>
      <c r="B139" s="76"/>
      <c r="C139" s="15"/>
    </row>
    <row r="140" spans="1:4" ht="30" x14ac:dyDescent="0.2">
      <c r="A140" s="85" t="s">
        <v>223</v>
      </c>
      <c r="B140" s="104" t="s">
        <v>224</v>
      </c>
      <c r="C140" s="105">
        <f>[2]С2!F35</f>
        <v>1.3822747209000001</v>
      </c>
      <c r="D140" s="90"/>
    </row>
    <row r="141" spans="1:4" ht="22.7" customHeight="1" thickBot="1" x14ac:dyDescent="0.25">
      <c r="A141" s="73" t="s">
        <v>225</v>
      </c>
      <c r="B141" s="141" t="s">
        <v>226</v>
      </c>
      <c r="C141" s="141"/>
      <c r="D141" s="90"/>
    </row>
    <row r="142" spans="1:4" ht="13.5" thickBot="1" x14ac:dyDescent="0.25">
      <c r="A142" s="106"/>
      <c r="B142" s="107" t="s">
        <v>0</v>
      </c>
      <c r="C142" s="108"/>
      <c r="D142" s="90"/>
    </row>
    <row r="143" spans="1:4" x14ac:dyDescent="0.2">
      <c r="A143" s="106"/>
      <c r="B143" s="109">
        <v>2020</v>
      </c>
      <c r="C143" s="110">
        <f>[2]С2.5!$E$11</f>
        <v>-2.9000000000000026E-2</v>
      </c>
      <c r="D143" s="90"/>
    </row>
    <row r="144" spans="1:4" x14ac:dyDescent="0.2">
      <c r="A144" s="106"/>
      <c r="B144" s="111">
        <f>B143+1</f>
        <v>2021</v>
      </c>
      <c r="C144" s="112">
        <f>[2]С2.5!$F$11</f>
        <v>0.245</v>
      </c>
      <c r="D144" s="90"/>
    </row>
    <row r="145" spans="1:4" x14ac:dyDescent="0.2">
      <c r="A145" s="106"/>
      <c r="B145" s="111">
        <f t="shared" ref="B145:B208" si="0">B144+1</f>
        <v>2022</v>
      </c>
      <c r="C145" s="112">
        <f>[2]С2.5!$G$11</f>
        <v>0.121</v>
      </c>
      <c r="D145" s="90"/>
    </row>
    <row r="146" spans="1:4" ht="13.5" thickBot="1" x14ac:dyDescent="0.25">
      <c r="A146" s="106"/>
      <c r="B146" s="113">
        <f t="shared" si="0"/>
        <v>2023</v>
      </c>
      <c r="C146" s="114">
        <f>[2]С2.5!$H$11</f>
        <v>0.02</v>
      </c>
      <c r="D146" s="90"/>
    </row>
    <row r="147" spans="1:4" hidden="1" x14ac:dyDescent="0.2">
      <c r="A147" s="106"/>
      <c r="B147" s="115">
        <f t="shared" si="0"/>
        <v>2024</v>
      </c>
      <c r="C147" s="116">
        <f>[2]С2.5!$I$11</f>
        <v>-2.93E-2</v>
      </c>
      <c r="D147" s="90"/>
    </row>
    <row r="148" spans="1:4" hidden="1" x14ac:dyDescent="0.2">
      <c r="A148" s="106"/>
      <c r="B148" s="111">
        <f t="shared" si="0"/>
        <v>2025</v>
      </c>
      <c r="C148" s="112">
        <f>[2]С2.5!$J$11</f>
        <v>0.21215960863291</v>
      </c>
      <c r="D148" s="90"/>
    </row>
    <row r="149" spans="1:4" hidden="1" x14ac:dyDescent="0.2">
      <c r="A149" s="106"/>
      <c r="B149" s="111">
        <f t="shared" si="0"/>
        <v>2026</v>
      </c>
      <c r="C149" s="112">
        <f>[2]С2.5!$K$11</f>
        <v>3.5813361771260002E-2</v>
      </c>
      <c r="D149" s="90"/>
    </row>
    <row r="150" spans="1:4" hidden="1" x14ac:dyDescent="0.2">
      <c r="A150" s="106"/>
      <c r="B150" s="111">
        <f t="shared" si="0"/>
        <v>2027</v>
      </c>
      <c r="C150" s="112">
        <f>[2]С2.5!$L$11</f>
        <v>3.2682303599220003E-2</v>
      </c>
      <c r="D150" s="90"/>
    </row>
    <row r="151" spans="1:4" hidden="1" x14ac:dyDescent="0.2">
      <c r="A151" s="106"/>
      <c r="B151" s="111">
        <f t="shared" si="0"/>
        <v>2028</v>
      </c>
      <c r="C151" s="112">
        <f>[2]С2.5!$M$11</f>
        <v>0</v>
      </c>
      <c r="D151" s="90"/>
    </row>
    <row r="152" spans="1:4" hidden="1" x14ac:dyDescent="0.2">
      <c r="A152" s="106"/>
      <c r="B152" s="111">
        <f t="shared" si="0"/>
        <v>2029</v>
      </c>
      <c r="C152" s="112">
        <f>[2]С2.5!$N$11</f>
        <v>0</v>
      </c>
      <c r="D152" s="90"/>
    </row>
    <row r="153" spans="1:4" hidden="1" x14ac:dyDescent="0.2">
      <c r="A153" s="106"/>
      <c r="B153" s="111">
        <f t="shared" si="0"/>
        <v>2030</v>
      </c>
      <c r="C153" s="112">
        <f>[2]С2.5!$O$11</f>
        <v>0</v>
      </c>
      <c r="D153" s="90"/>
    </row>
    <row r="154" spans="1:4" hidden="1" x14ac:dyDescent="0.2">
      <c r="A154" s="106"/>
      <c r="B154" s="111">
        <f t="shared" si="0"/>
        <v>2031</v>
      </c>
      <c r="C154" s="112">
        <f>[2]С2.5!$P$11</f>
        <v>0</v>
      </c>
      <c r="D154" s="90"/>
    </row>
    <row r="155" spans="1:4" hidden="1" x14ac:dyDescent="0.2">
      <c r="A155" s="90"/>
      <c r="B155" s="111">
        <f t="shared" si="0"/>
        <v>2032</v>
      </c>
      <c r="C155" s="112">
        <f>[2]С2.5!$Q$11</f>
        <v>0</v>
      </c>
      <c r="D155" s="90"/>
    </row>
    <row r="156" spans="1:4" hidden="1" x14ac:dyDescent="0.2">
      <c r="A156" s="90"/>
      <c r="B156" s="111">
        <f t="shared" si="0"/>
        <v>2033</v>
      </c>
      <c r="C156" s="112">
        <f>[2]С2.5!$R$11</f>
        <v>0</v>
      </c>
      <c r="D156" s="90"/>
    </row>
    <row r="157" spans="1:4" hidden="1" x14ac:dyDescent="0.2">
      <c r="B157" s="111">
        <f t="shared" si="0"/>
        <v>2034</v>
      </c>
      <c r="C157" s="112">
        <f>[2]С2.5!$S$11</f>
        <v>0</v>
      </c>
    </row>
    <row r="158" spans="1:4" hidden="1" x14ac:dyDescent="0.2">
      <c r="B158" s="111">
        <f t="shared" si="0"/>
        <v>2035</v>
      </c>
      <c r="C158" s="112">
        <f>[2]С2.5!$T$11</f>
        <v>0</v>
      </c>
    </row>
    <row r="159" spans="1:4" hidden="1" x14ac:dyDescent="0.2">
      <c r="B159" s="111">
        <f t="shared" si="0"/>
        <v>2036</v>
      </c>
      <c r="C159" s="112">
        <f>[2]С2.5!$U$11</f>
        <v>0</v>
      </c>
    </row>
    <row r="160" spans="1:4" hidden="1" x14ac:dyDescent="0.2">
      <c r="B160" s="111">
        <f t="shared" si="0"/>
        <v>2037</v>
      </c>
      <c r="C160" s="112">
        <f>[2]С2.5!$V$11</f>
        <v>0</v>
      </c>
    </row>
    <row r="161" spans="2:3" hidden="1" x14ac:dyDescent="0.2">
      <c r="B161" s="111">
        <f t="shared" si="0"/>
        <v>2038</v>
      </c>
      <c r="C161" s="112">
        <f>[2]С2.5!$W$11</f>
        <v>0</v>
      </c>
    </row>
    <row r="162" spans="2:3" hidden="1" x14ac:dyDescent="0.2">
      <c r="B162" s="111">
        <f t="shared" si="0"/>
        <v>2039</v>
      </c>
      <c r="C162" s="112">
        <f>[2]С2.5!$X$11</f>
        <v>0</v>
      </c>
    </row>
    <row r="163" spans="2:3" hidden="1" x14ac:dyDescent="0.2">
      <c r="B163" s="111">
        <f t="shared" si="0"/>
        <v>2040</v>
      </c>
      <c r="C163" s="112">
        <f>[2]С2.5!$Y$11</f>
        <v>0</v>
      </c>
    </row>
    <row r="164" spans="2:3" hidden="1" x14ac:dyDescent="0.2">
      <c r="B164" s="111">
        <f t="shared" si="0"/>
        <v>2041</v>
      </c>
      <c r="C164" s="112">
        <f>[2]С2.5!$Z$11</f>
        <v>0</v>
      </c>
    </row>
    <row r="165" spans="2:3" hidden="1" x14ac:dyDescent="0.2">
      <c r="B165" s="111">
        <f t="shared" si="0"/>
        <v>2042</v>
      </c>
      <c r="C165" s="112">
        <f>[2]С2.5!$AA$11</f>
        <v>0</v>
      </c>
    </row>
    <row r="166" spans="2:3" hidden="1" x14ac:dyDescent="0.2">
      <c r="B166" s="111">
        <f t="shared" si="0"/>
        <v>2043</v>
      </c>
      <c r="C166" s="112">
        <f>[2]С2.5!$AB$11</f>
        <v>0</v>
      </c>
    </row>
    <row r="167" spans="2:3" hidden="1" x14ac:dyDescent="0.2">
      <c r="B167" s="111">
        <f t="shared" si="0"/>
        <v>2044</v>
      </c>
      <c r="C167" s="112">
        <f>[2]С2.5!$AC$11</f>
        <v>0</v>
      </c>
    </row>
    <row r="168" spans="2:3" hidden="1" x14ac:dyDescent="0.2">
      <c r="B168" s="111">
        <f t="shared" si="0"/>
        <v>2045</v>
      </c>
      <c r="C168" s="112">
        <f>[2]С2.5!$AD$11</f>
        <v>0</v>
      </c>
    </row>
    <row r="169" spans="2:3" hidden="1" x14ac:dyDescent="0.2">
      <c r="B169" s="111">
        <f t="shared" si="0"/>
        <v>2046</v>
      </c>
      <c r="C169" s="112">
        <f>[2]С2.5!$AE$11</f>
        <v>0</v>
      </c>
    </row>
    <row r="170" spans="2:3" hidden="1" x14ac:dyDescent="0.2">
      <c r="B170" s="111">
        <f t="shared" si="0"/>
        <v>2047</v>
      </c>
      <c r="C170" s="112">
        <f>[2]С2.5!$AF$11</f>
        <v>0</v>
      </c>
    </row>
    <row r="171" spans="2:3" hidden="1" x14ac:dyDescent="0.2">
      <c r="B171" s="111">
        <f t="shared" si="0"/>
        <v>2048</v>
      </c>
      <c r="C171" s="112">
        <f>[2]С2.5!$AG$11</f>
        <v>0</v>
      </c>
    </row>
    <row r="172" spans="2:3" hidden="1" x14ac:dyDescent="0.2">
      <c r="B172" s="111">
        <f t="shared" si="0"/>
        <v>2049</v>
      </c>
      <c r="C172" s="112">
        <f>[2]С2.5!$AH$11</f>
        <v>0</v>
      </c>
    </row>
    <row r="173" spans="2:3" hidden="1" x14ac:dyDescent="0.2">
      <c r="B173" s="111">
        <f t="shared" si="0"/>
        <v>2050</v>
      </c>
      <c r="C173" s="112">
        <f>[2]С2.5!$AI$11</f>
        <v>0</v>
      </c>
    </row>
    <row r="174" spans="2:3" hidden="1" x14ac:dyDescent="0.2">
      <c r="B174" s="111">
        <f t="shared" si="0"/>
        <v>2051</v>
      </c>
      <c r="C174" s="112">
        <f>[2]С2.5!$AJ$11</f>
        <v>0</v>
      </c>
    </row>
    <row r="175" spans="2:3" hidden="1" x14ac:dyDescent="0.2">
      <c r="B175" s="111">
        <f t="shared" si="0"/>
        <v>2052</v>
      </c>
      <c r="C175" s="112">
        <f>[2]С2.5!$AK$11</f>
        <v>0</v>
      </c>
    </row>
    <row r="176" spans="2:3" hidden="1" x14ac:dyDescent="0.2">
      <c r="B176" s="111">
        <f t="shared" si="0"/>
        <v>2053</v>
      </c>
      <c r="C176" s="112">
        <f>[2]С2.5!$AL$11</f>
        <v>0</v>
      </c>
    </row>
    <row r="177" spans="2:3" hidden="1" x14ac:dyDescent="0.2">
      <c r="B177" s="111">
        <f t="shared" si="0"/>
        <v>2054</v>
      </c>
      <c r="C177" s="112">
        <f>[2]С2.5!$AM$11</f>
        <v>0</v>
      </c>
    </row>
    <row r="178" spans="2:3" hidden="1" x14ac:dyDescent="0.2">
      <c r="B178" s="111">
        <f t="shared" si="0"/>
        <v>2055</v>
      </c>
      <c r="C178" s="112">
        <f>[2]С2.5!$AN$11</f>
        <v>0</v>
      </c>
    </row>
    <row r="179" spans="2:3" hidden="1" x14ac:dyDescent="0.2">
      <c r="B179" s="111">
        <f t="shared" si="0"/>
        <v>2056</v>
      </c>
      <c r="C179" s="112">
        <f>[2]С2.5!$AO$11</f>
        <v>0</v>
      </c>
    </row>
    <row r="180" spans="2:3" hidden="1" x14ac:dyDescent="0.2">
      <c r="B180" s="111">
        <f t="shared" si="0"/>
        <v>2057</v>
      </c>
      <c r="C180" s="112">
        <f>[2]С2.5!$AP$11</f>
        <v>0</v>
      </c>
    </row>
    <row r="181" spans="2:3" hidden="1" x14ac:dyDescent="0.2">
      <c r="B181" s="111">
        <f t="shared" si="0"/>
        <v>2058</v>
      </c>
      <c r="C181" s="112">
        <f>[2]С2.5!$AQ$11</f>
        <v>0</v>
      </c>
    </row>
    <row r="182" spans="2:3" hidden="1" x14ac:dyDescent="0.2">
      <c r="B182" s="111">
        <f t="shared" si="0"/>
        <v>2059</v>
      </c>
      <c r="C182" s="112">
        <f>[2]С2.5!$AR$11</f>
        <v>0</v>
      </c>
    </row>
    <row r="183" spans="2:3" hidden="1" x14ac:dyDescent="0.2">
      <c r="B183" s="111">
        <f t="shared" si="0"/>
        <v>2060</v>
      </c>
      <c r="C183" s="112">
        <f>[2]С2.5!$AS$11</f>
        <v>0</v>
      </c>
    </row>
    <row r="184" spans="2:3" hidden="1" x14ac:dyDescent="0.2">
      <c r="B184" s="111">
        <f t="shared" si="0"/>
        <v>2061</v>
      </c>
      <c r="C184" s="112">
        <f>[2]С2.5!$AT$11</f>
        <v>0</v>
      </c>
    </row>
    <row r="185" spans="2:3" hidden="1" x14ac:dyDescent="0.2">
      <c r="B185" s="111">
        <f t="shared" si="0"/>
        <v>2062</v>
      </c>
      <c r="C185" s="112">
        <f>[2]С2.5!$AU$11</f>
        <v>0</v>
      </c>
    </row>
    <row r="186" spans="2:3" hidden="1" x14ac:dyDescent="0.2">
      <c r="B186" s="111">
        <f t="shared" si="0"/>
        <v>2063</v>
      </c>
      <c r="C186" s="112">
        <f>[2]С2.5!$AV$11</f>
        <v>0</v>
      </c>
    </row>
    <row r="187" spans="2:3" hidden="1" x14ac:dyDescent="0.2">
      <c r="B187" s="111">
        <f t="shared" si="0"/>
        <v>2064</v>
      </c>
      <c r="C187" s="112">
        <f>[2]С2.5!$AW$11</f>
        <v>0</v>
      </c>
    </row>
    <row r="188" spans="2:3" hidden="1" x14ac:dyDescent="0.2">
      <c r="B188" s="111">
        <f t="shared" si="0"/>
        <v>2065</v>
      </c>
      <c r="C188" s="112">
        <f>[2]С2.5!$AX$11</f>
        <v>0</v>
      </c>
    </row>
    <row r="189" spans="2:3" hidden="1" x14ac:dyDescent="0.2">
      <c r="B189" s="111">
        <f t="shared" si="0"/>
        <v>2066</v>
      </c>
      <c r="C189" s="112">
        <f>[2]С2.5!$AY$11</f>
        <v>0</v>
      </c>
    </row>
    <row r="190" spans="2:3" hidden="1" x14ac:dyDescent="0.2">
      <c r="B190" s="111">
        <f t="shared" si="0"/>
        <v>2067</v>
      </c>
      <c r="C190" s="112">
        <f>[2]С2.5!$AZ$11</f>
        <v>0</v>
      </c>
    </row>
    <row r="191" spans="2:3" hidden="1" x14ac:dyDescent="0.2">
      <c r="B191" s="111">
        <f t="shared" si="0"/>
        <v>2068</v>
      </c>
      <c r="C191" s="112">
        <f>[2]С2.5!$BA$11</f>
        <v>0</v>
      </c>
    </row>
    <row r="192" spans="2:3" hidden="1" x14ac:dyDescent="0.2">
      <c r="B192" s="111">
        <f t="shared" si="0"/>
        <v>2069</v>
      </c>
      <c r="C192" s="112">
        <f>[2]С2.5!$BB$11</f>
        <v>0</v>
      </c>
    </row>
    <row r="193" spans="2:3" hidden="1" x14ac:dyDescent="0.2">
      <c r="B193" s="111">
        <f t="shared" si="0"/>
        <v>2070</v>
      </c>
      <c r="C193" s="112">
        <f>[2]С2.5!$BC$11</f>
        <v>0</v>
      </c>
    </row>
    <row r="194" spans="2:3" hidden="1" x14ac:dyDescent="0.2">
      <c r="B194" s="111">
        <f t="shared" si="0"/>
        <v>2071</v>
      </c>
      <c r="C194" s="112">
        <f>[2]С2.5!$BD$11</f>
        <v>0</v>
      </c>
    </row>
    <row r="195" spans="2:3" hidden="1" x14ac:dyDescent="0.2">
      <c r="B195" s="111">
        <f t="shared" si="0"/>
        <v>2072</v>
      </c>
      <c r="C195" s="112">
        <f>[2]С2.5!$BE$11</f>
        <v>0</v>
      </c>
    </row>
    <row r="196" spans="2:3" hidden="1" x14ac:dyDescent="0.2">
      <c r="B196" s="111">
        <f t="shared" si="0"/>
        <v>2073</v>
      </c>
      <c r="C196" s="112">
        <f>[2]С2.5!$BF$11</f>
        <v>0</v>
      </c>
    </row>
    <row r="197" spans="2:3" hidden="1" x14ac:dyDescent="0.2">
      <c r="B197" s="111">
        <f t="shared" si="0"/>
        <v>2074</v>
      </c>
      <c r="C197" s="112">
        <f>[2]С2.5!$BG$11</f>
        <v>0</v>
      </c>
    </row>
    <row r="198" spans="2:3" hidden="1" x14ac:dyDescent="0.2">
      <c r="B198" s="111">
        <f t="shared" si="0"/>
        <v>2075</v>
      </c>
      <c r="C198" s="112">
        <f>[2]С2.5!$BH$11</f>
        <v>0</v>
      </c>
    </row>
    <row r="199" spans="2:3" hidden="1" x14ac:dyDescent="0.2">
      <c r="B199" s="111">
        <f t="shared" si="0"/>
        <v>2076</v>
      </c>
      <c r="C199" s="112">
        <f>[2]С2.5!$BI$11</f>
        <v>0</v>
      </c>
    </row>
    <row r="200" spans="2:3" hidden="1" x14ac:dyDescent="0.2">
      <c r="B200" s="111">
        <f t="shared" si="0"/>
        <v>2077</v>
      </c>
      <c r="C200" s="112">
        <f>[2]С2.5!$BJ$11</f>
        <v>0</v>
      </c>
    </row>
    <row r="201" spans="2:3" hidden="1" x14ac:dyDescent="0.2">
      <c r="B201" s="111">
        <f t="shared" si="0"/>
        <v>2078</v>
      </c>
      <c r="C201" s="112">
        <f>[2]С2.5!$BK$11</f>
        <v>0</v>
      </c>
    </row>
    <row r="202" spans="2:3" hidden="1" x14ac:dyDescent="0.2">
      <c r="B202" s="111">
        <f t="shared" si="0"/>
        <v>2079</v>
      </c>
      <c r="C202" s="112">
        <f>[2]С2.5!$BL$11</f>
        <v>0</v>
      </c>
    </row>
    <row r="203" spans="2:3" hidden="1" x14ac:dyDescent="0.2">
      <c r="B203" s="111">
        <f t="shared" si="0"/>
        <v>2080</v>
      </c>
      <c r="C203" s="112">
        <f>[2]С2.5!$BM$11</f>
        <v>0</v>
      </c>
    </row>
    <row r="204" spans="2:3" hidden="1" x14ac:dyDescent="0.2">
      <c r="B204" s="111">
        <f t="shared" si="0"/>
        <v>2081</v>
      </c>
      <c r="C204" s="112">
        <f>[2]С2.5!$BN$11</f>
        <v>0</v>
      </c>
    </row>
    <row r="205" spans="2:3" hidden="1" x14ac:dyDescent="0.2">
      <c r="B205" s="111">
        <f t="shared" si="0"/>
        <v>2082</v>
      </c>
      <c r="C205" s="112">
        <f>[2]С2.5!$BO$11</f>
        <v>0</v>
      </c>
    </row>
    <row r="206" spans="2:3" hidden="1" x14ac:dyDescent="0.2">
      <c r="B206" s="111">
        <f t="shared" si="0"/>
        <v>2083</v>
      </c>
      <c r="C206" s="112">
        <f>[2]С2.5!$BP$11</f>
        <v>0</v>
      </c>
    </row>
    <row r="207" spans="2:3" hidden="1" x14ac:dyDescent="0.2">
      <c r="B207" s="111">
        <f t="shared" si="0"/>
        <v>2084</v>
      </c>
      <c r="C207" s="112">
        <f>[2]С2.5!$BQ$11</f>
        <v>0</v>
      </c>
    </row>
    <row r="208" spans="2:3" hidden="1" x14ac:dyDescent="0.2">
      <c r="B208" s="111">
        <f t="shared" si="0"/>
        <v>2085</v>
      </c>
      <c r="C208" s="112">
        <f>[2]С2.5!$BR$11</f>
        <v>0</v>
      </c>
    </row>
    <row r="209" spans="2:3" hidden="1" x14ac:dyDescent="0.2">
      <c r="B209" s="111">
        <f t="shared" ref="B209:B223" si="1">B208+1</f>
        <v>2086</v>
      </c>
      <c r="C209" s="112">
        <f>[2]С2.5!$BS$11</f>
        <v>0</v>
      </c>
    </row>
    <row r="210" spans="2:3" hidden="1" x14ac:dyDescent="0.2">
      <c r="B210" s="111">
        <f t="shared" si="1"/>
        <v>2087</v>
      </c>
      <c r="C210" s="112">
        <f>[2]С2.5!$BT$11</f>
        <v>0</v>
      </c>
    </row>
    <row r="211" spans="2:3" hidden="1" x14ac:dyDescent="0.2">
      <c r="B211" s="111">
        <f t="shared" si="1"/>
        <v>2088</v>
      </c>
      <c r="C211" s="112">
        <f>[2]С2.5!$BU$11</f>
        <v>0</v>
      </c>
    </row>
    <row r="212" spans="2:3" hidden="1" x14ac:dyDescent="0.2">
      <c r="B212" s="111">
        <f t="shared" si="1"/>
        <v>2089</v>
      </c>
      <c r="C212" s="112">
        <f>[2]С2.5!$BV$11</f>
        <v>0</v>
      </c>
    </row>
    <row r="213" spans="2:3" hidden="1" x14ac:dyDescent="0.2">
      <c r="B213" s="111">
        <f t="shared" si="1"/>
        <v>2090</v>
      </c>
      <c r="C213" s="112">
        <f>[2]С2.5!$BW$11</f>
        <v>0</v>
      </c>
    </row>
    <row r="214" spans="2:3" hidden="1" x14ac:dyDescent="0.2">
      <c r="B214" s="111">
        <f t="shared" si="1"/>
        <v>2091</v>
      </c>
      <c r="C214" s="112">
        <f>[2]С2.5!$BX$11</f>
        <v>0</v>
      </c>
    </row>
    <row r="215" spans="2:3" hidden="1" x14ac:dyDescent="0.2">
      <c r="B215" s="111">
        <f t="shared" si="1"/>
        <v>2092</v>
      </c>
      <c r="C215" s="112">
        <f>[2]С2.5!$BY$11</f>
        <v>0</v>
      </c>
    </row>
    <row r="216" spans="2:3" hidden="1" x14ac:dyDescent="0.2">
      <c r="B216" s="111">
        <f t="shared" si="1"/>
        <v>2093</v>
      </c>
      <c r="C216" s="112">
        <f>[2]С2.5!$BZ$11</f>
        <v>0</v>
      </c>
    </row>
    <row r="217" spans="2:3" hidden="1" x14ac:dyDescent="0.2">
      <c r="B217" s="111">
        <f t="shared" si="1"/>
        <v>2094</v>
      </c>
      <c r="C217" s="112">
        <f>[2]С2.5!$CA$11</f>
        <v>0</v>
      </c>
    </row>
    <row r="218" spans="2:3" hidden="1" x14ac:dyDescent="0.2">
      <c r="B218" s="111">
        <f t="shared" si="1"/>
        <v>2095</v>
      </c>
      <c r="C218" s="112">
        <f>[2]С2.5!$CB$11</f>
        <v>0</v>
      </c>
    </row>
    <row r="219" spans="2:3" hidden="1" x14ac:dyDescent="0.2">
      <c r="B219" s="111">
        <f t="shared" si="1"/>
        <v>2096</v>
      </c>
      <c r="C219" s="112">
        <f>[2]С2.5!$CC$11</f>
        <v>0</v>
      </c>
    </row>
    <row r="220" spans="2:3" hidden="1" x14ac:dyDescent="0.2">
      <c r="B220" s="111">
        <f t="shared" si="1"/>
        <v>2097</v>
      </c>
      <c r="C220" s="112">
        <f>[2]С2.5!$CD$11</f>
        <v>0</v>
      </c>
    </row>
    <row r="221" spans="2:3" hidden="1" x14ac:dyDescent="0.2">
      <c r="B221" s="111">
        <f t="shared" si="1"/>
        <v>2098</v>
      </c>
      <c r="C221" s="112">
        <f>[2]С2.5!$CE$11</f>
        <v>0</v>
      </c>
    </row>
    <row r="222" spans="2:3" hidden="1" x14ac:dyDescent="0.2">
      <c r="B222" s="111">
        <f t="shared" si="1"/>
        <v>2099</v>
      </c>
      <c r="C222" s="112">
        <f>[2]С2.5!$CF$11</f>
        <v>0</v>
      </c>
    </row>
    <row r="223" spans="2:3" ht="13.5" hidden="1" thickBot="1" x14ac:dyDescent="0.25">
      <c r="B223" s="113">
        <f t="shared" si="1"/>
        <v>2100</v>
      </c>
      <c r="C223" s="114">
        <f>[2]С2.5!$CG$11</f>
        <v>0</v>
      </c>
    </row>
    <row r="224" spans="2:3" hidden="1" x14ac:dyDescent="0.2">
      <c r="C224" s="117"/>
    </row>
    <row r="225" spans="3:3" hidden="1" x14ac:dyDescent="0.2">
      <c r="C225" s="117"/>
    </row>
    <row r="226" spans="3:3" x14ac:dyDescent="0.2">
      <c r="C226" s="117"/>
    </row>
  </sheetData>
  <mergeCells count="9">
    <mergeCell ref="B1:C1"/>
    <mergeCell ref="A14:C14"/>
    <mergeCell ref="B27:C27"/>
    <mergeCell ref="B141:C141"/>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2]!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226"/>
  <sheetViews>
    <sheetView zoomScale="85" zoomScaleNormal="85" workbookViewId="0">
      <pane ySplit="8" topLeftCell="A9" activePane="bottomLeft" state="frozen"/>
      <selection pane="bottomLeft" activeCell="C17" sqref="C17"/>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44" t="s">
        <v>1</v>
      </c>
      <c r="C1" s="144"/>
    </row>
    <row r="2" spans="1:3" x14ac:dyDescent="0.2">
      <c r="A2" s="3"/>
      <c r="B2" s="4" t="s">
        <v>2</v>
      </c>
      <c r="C2" s="5">
        <f ca="1">TODAY()</f>
        <v>44944</v>
      </c>
    </row>
    <row r="3" spans="1:3" x14ac:dyDescent="0.2">
      <c r="A3" s="3"/>
      <c r="B3" s="6" t="s">
        <v>3</v>
      </c>
    </row>
    <row r="4" spans="1:3" ht="25.5" x14ac:dyDescent="0.2">
      <c r="A4" s="8"/>
      <c r="B4" s="9" t="str">
        <f>[6]И1!D13</f>
        <v>Субъект Российской Федерации</v>
      </c>
      <c r="C4" s="10" t="str">
        <f>[6]И1!E13</f>
        <v>Новосибирская область</v>
      </c>
    </row>
    <row r="5" spans="1:3" ht="38.25" x14ac:dyDescent="0.2">
      <c r="A5" s="8"/>
      <c r="B5" s="9" t="str">
        <f>[6]И1!D14</f>
        <v>Тип муниципального образования (выберите из списка)</v>
      </c>
      <c r="C5" s="10" t="str">
        <f>[6]И1!E14</f>
        <v>деревня Малая Томка, Маслянинский муниципальный район</v>
      </c>
    </row>
    <row r="6" spans="1:3" x14ac:dyDescent="0.2">
      <c r="A6" s="8"/>
      <c r="B6" s="9" t="str">
        <f>IF([6]И1!E15="","",[6]И1!D15)</f>
        <v/>
      </c>
      <c r="C6" s="10" t="str">
        <f>IF([6]И1!E15="","",[6]И1!E15)</f>
        <v/>
      </c>
    </row>
    <row r="7" spans="1:3" x14ac:dyDescent="0.2">
      <c r="A7" s="8"/>
      <c r="B7" s="9" t="str">
        <f>[6]И1!D16</f>
        <v>Код ОКТМО</v>
      </c>
      <c r="C7" s="11" t="str">
        <f>[6]И1!E16</f>
        <v>50636402101</v>
      </c>
    </row>
    <row r="8" spans="1:3" x14ac:dyDescent="0.2">
      <c r="A8" s="8"/>
      <c r="B8" s="12" t="str">
        <f>[6]И1!D17</f>
        <v>Система теплоснабжения</v>
      </c>
      <c r="C8" s="13">
        <f>[6]И1!E17</f>
        <v>0</v>
      </c>
    </row>
    <row r="9" spans="1:3" x14ac:dyDescent="0.2">
      <c r="A9" s="8"/>
      <c r="B9" s="9" t="str">
        <f>[6]И1!D8</f>
        <v>Период регулирования (i)-й</v>
      </c>
      <c r="C9" s="14">
        <f>[6]И1!E8</f>
        <v>2023</v>
      </c>
    </row>
    <row r="10" spans="1:3" x14ac:dyDescent="0.2">
      <c r="A10" s="8"/>
      <c r="B10" s="9" t="str">
        <f>[6]И1!D9</f>
        <v>Период регулирования (i-1)-й</v>
      </c>
      <c r="C10" s="14">
        <f>[6]И1!E9</f>
        <v>2022</v>
      </c>
    </row>
    <row r="11" spans="1:3" x14ac:dyDescent="0.2">
      <c r="A11" s="8"/>
      <c r="B11" s="9" t="str">
        <f>[6]И1!D10</f>
        <v>Период регулирования (i-2)-й</v>
      </c>
      <c r="C11" s="14">
        <f>[6]И1!E10</f>
        <v>2021</v>
      </c>
    </row>
    <row r="12" spans="1:3" x14ac:dyDescent="0.2">
      <c r="A12" s="8"/>
      <c r="B12" s="9" t="str">
        <f>[6]И1!D11</f>
        <v>Базовый год (б)</v>
      </c>
      <c r="C12" s="14">
        <f>[6]И1!E11</f>
        <v>2019</v>
      </c>
    </row>
    <row r="13" spans="1:3" ht="38.25" x14ac:dyDescent="0.2">
      <c r="A13" s="8"/>
      <c r="B13" s="9" t="str">
        <f>[6]И1!D18</f>
        <v>Вид топлива, использование которого преобладает в системе теплоснабжения</v>
      </c>
      <c r="C13" s="15" t="str">
        <f>[6]С1.1!E13</f>
        <v>уголь (вид угля не указан в топливном балансе)</v>
      </c>
    </row>
    <row r="14" spans="1:3" ht="31.7" customHeight="1" thickBot="1" x14ac:dyDescent="0.25">
      <c r="A14" s="145" t="s">
        <v>4</v>
      </c>
      <c r="B14" s="145"/>
      <c r="C14" s="145"/>
    </row>
    <row r="15" spans="1:3" x14ac:dyDescent="0.2">
      <c r="A15" s="16" t="s">
        <v>5</v>
      </c>
      <c r="B15" s="17" t="s">
        <v>6</v>
      </c>
      <c r="C15" s="18" t="s">
        <v>7</v>
      </c>
    </row>
    <row r="16" spans="1:3" x14ac:dyDescent="0.2">
      <c r="A16" s="19">
        <v>1</v>
      </c>
      <c r="B16" s="20">
        <v>2</v>
      </c>
      <c r="C16" s="21">
        <v>3</v>
      </c>
    </row>
    <row r="17" spans="1:3" x14ac:dyDescent="0.2">
      <c r="A17" s="22">
        <v>1</v>
      </c>
      <c r="B17" s="23" t="s">
        <v>8</v>
      </c>
      <c r="C17" s="24">
        <f>SUM(C18:C22)</f>
        <v>4065.6810708357052</v>
      </c>
    </row>
    <row r="18" spans="1:3" ht="42.75" x14ac:dyDescent="0.2">
      <c r="A18" s="22" t="s">
        <v>9</v>
      </c>
      <c r="B18" s="25" t="s">
        <v>10</v>
      </c>
      <c r="C18" s="26">
        <f>[6]С1!F12</f>
        <v>931.18468604281509</v>
      </c>
    </row>
    <row r="19" spans="1:3" ht="42.75" x14ac:dyDescent="0.2">
      <c r="A19" s="22" t="s">
        <v>11</v>
      </c>
      <c r="B19" s="25" t="s">
        <v>12</v>
      </c>
      <c r="C19" s="26">
        <f>[6]С2!F12</f>
        <v>2110.2454761302993</v>
      </c>
    </row>
    <row r="20" spans="1:3" ht="30" x14ac:dyDescent="0.2">
      <c r="A20" s="22" t="s">
        <v>13</v>
      </c>
      <c r="B20" s="25" t="s">
        <v>14</v>
      </c>
      <c r="C20" s="26">
        <f>[6]С3!F12</f>
        <v>504.95006339690781</v>
      </c>
    </row>
    <row r="21" spans="1:3" ht="42.75" x14ac:dyDescent="0.2">
      <c r="A21" s="22" t="s">
        <v>15</v>
      </c>
      <c r="B21" s="25" t="s">
        <v>16</v>
      </c>
      <c r="C21" s="26">
        <f>[6]С4!F12</f>
        <v>439.58160858263017</v>
      </c>
    </row>
    <row r="22" spans="1:3" ht="30" x14ac:dyDescent="0.2">
      <c r="A22" s="22" t="s">
        <v>17</v>
      </c>
      <c r="B22" s="25" t="s">
        <v>18</v>
      </c>
      <c r="C22" s="26">
        <f>[6]С5!F12</f>
        <v>79.71923668305304</v>
      </c>
    </row>
    <row r="23" spans="1:3" ht="43.5" thickBot="1" x14ac:dyDescent="0.25">
      <c r="A23" s="27" t="s">
        <v>19</v>
      </c>
      <c r="B23" s="28" t="s">
        <v>20</v>
      </c>
      <c r="C23" s="29" t="str">
        <f>[6]С6!F12</f>
        <v>-</v>
      </c>
    </row>
    <row r="24" spans="1:3" ht="13.5" thickBot="1" x14ac:dyDescent="0.25">
      <c r="A24" s="3"/>
    </row>
    <row r="25" spans="1:3" x14ac:dyDescent="0.2">
      <c r="A25" s="16" t="s">
        <v>5</v>
      </c>
      <c r="B25" s="30" t="s">
        <v>6</v>
      </c>
      <c r="C25" s="31" t="s">
        <v>7</v>
      </c>
    </row>
    <row r="26" spans="1:3" x14ac:dyDescent="0.2">
      <c r="A26" s="19">
        <v>1</v>
      </c>
      <c r="B26" s="32">
        <v>2</v>
      </c>
      <c r="C26" s="33">
        <v>3</v>
      </c>
    </row>
    <row r="27" spans="1:3" ht="30" customHeight="1" x14ac:dyDescent="0.2">
      <c r="A27" s="22">
        <v>1</v>
      </c>
      <c r="B27" s="146" t="s">
        <v>21</v>
      </c>
      <c r="C27" s="146"/>
    </row>
    <row r="28" spans="1:3" x14ac:dyDescent="0.2">
      <c r="A28" s="22" t="s">
        <v>9</v>
      </c>
      <c r="B28" s="34" t="s">
        <v>22</v>
      </c>
      <c r="C28" s="35">
        <f>[6]С1.1!E16</f>
        <v>5100</v>
      </c>
    </row>
    <row r="29" spans="1:3" ht="42.75" x14ac:dyDescent="0.2">
      <c r="A29" s="22" t="s">
        <v>11</v>
      </c>
      <c r="B29" s="34" t="s">
        <v>23</v>
      </c>
      <c r="C29" s="35">
        <f>[6]С1.1!E27</f>
        <v>2503.8000000000002</v>
      </c>
    </row>
    <row r="30" spans="1:3" ht="17.25" x14ac:dyDescent="0.2">
      <c r="A30" s="22" t="s">
        <v>13</v>
      </c>
      <c r="B30" s="34" t="s">
        <v>24</v>
      </c>
      <c r="C30" s="36">
        <f>[6]С1.1!E19</f>
        <v>0.59499999999999997</v>
      </c>
    </row>
    <row r="31" spans="1:3" ht="17.25" x14ac:dyDescent="0.2">
      <c r="A31" s="22" t="s">
        <v>15</v>
      </c>
      <c r="B31" s="34" t="s">
        <v>25</v>
      </c>
      <c r="C31" s="36">
        <f>[6]С1.1!E20</f>
        <v>-0.113</v>
      </c>
    </row>
    <row r="32" spans="1:3" ht="30" x14ac:dyDescent="0.2">
      <c r="A32" s="22" t="s">
        <v>17</v>
      </c>
      <c r="B32" s="37" t="s">
        <v>26</v>
      </c>
      <c r="C32" s="38">
        <f>[6]С1!F13</f>
        <v>176.4</v>
      </c>
    </row>
    <row r="33" spans="1:3" x14ac:dyDescent="0.2">
      <c r="A33" s="22" t="s">
        <v>19</v>
      </c>
      <c r="B33" s="37" t="s">
        <v>27</v>
      </c>
      <c r="C33" s="39">
        <f>[6]С1!F16</f>
        <v>7000</v>
      </c>
    </row>
    <row r="34" spans="1:3" ht="14.25" x14ac:dyDescent="0.2">
      <c r="A34" s="22" t="s">
        <v>28</v>
      </c>
      <c r="B34" s="40" t="s">
        <v>29</v>
      </c>
      <c r="C34" s="41">
        <f>[6]С1!F17</f>
        <v>0.72857142857142854</v>
      </c>
    </row>
    <row r="35" spans="1:3" ht="15.75" x14ac:dyDescent="0.2">
      <c r="A35" s="42" t="s">
        <v>30</v>
      </c>
      <c r="B35" s="43" t="s">
        <v>31</v>
      </c>
      <c r="C35" s="41">
        <f>[6]С1!F20</f>
        <v>21.588411179999994</v>
      </c>
    </row>
    <row r="36" spans="1:3" ht="15.75" x14ac:dyDescent="0.2">
      <c r="A36" s="42" t="s">
        <v>32</v>
      </c>
      <c r="B36" s="44" t="s">
        <v>33</v>
      </c>
      <c r="C36" s="41">
        <f>[6]С1!F21</f>
        <v>20.818139999999996</v>
      </c>
    </row>
    <row r="37" spans="1:3" ht="14.25" x14ac:dyDescent="0.2">
      <c r="A37" s="42" t="s">
        <v>34</v>
      </c>
      <c r="B37" s="45" t="s">
        <v>35</v>
      </c>
      <c r="C37" s="41">
        <f>[6]С1!F22</f>
        <v>1.0369999999999999</v>
      </c>
    </row>
    <row r="38" spans="1:3" ht="53.25" thickBot="1" x14ac:dyDescent="0.25">
      <c r="A38" s="27" t="s">
        <v>36</v>
      </c>
      <c r="B38" s="46" t="s">
        <v>37</v>
      </c>
      <c r="C38" s="47">
        <f>[6]С1!F23</f>
        <v>1.0469999999999999</v>
      </c>
    </row>
    <row r="39" spans="1:3" ht="13.5" thickBot="1" x14ac:dyDescent="0.25">
      <c r="A39" s="48"/>
      <c r="B39" s="49"/>
      <c r="C39" s="50"/>
    </row>
    <row r="40" spans="1:3" ht="30" customHeight="1" x14ac:dyDescent="0.2">
      <c r="A40" s="51" t="s">
        <v>38</v>
      </c>
      <c r="B40" s="142" t="s">
        <v>39</v>
      </c>
      <c r="C40" s="142"/>
    </row>
    <row r="41" spans="1:3" ht="25.5" x14ac:dyDescent="0.2">
      <c r="A41" s="22" t="s">
        <v>40</v>
      </c>
      <c r="B41" s="37" t="s">
        <v>41</v>
      </c>
      <c r="C41" s="52" t="str">
        <f>[6]С2.1!E12</f>
        <v>V</v>
      </c>
    </row>
    <row r="42" spans="1:3" ht="25.5" x14ac:dyDescent="0.2">
      <c r="A42" s="22" t="s">
        <v>42</v>
      </c>
      <c r="B42" s="34" t="s">
        <v>43</v>
      </c>
      <c r="C42" s="52" t="str">
        <f>[6]С2.1!E13</f>
        <v>6 и менее баллов</v>
      </c>
    </row>
    <row r="43" spans="1:3" ht="25.5" x14ac:dyDescent="0.2">
      <c r="A43" s="22" t="s">
        <v>44</v>
      </c>
      <c r="B43" s="34" t="s">
        <v>45</v>
      </c>
      <c r="C43" s="52" t="str">
        <f>[6]С2.1!E14</f>
        <v>от 200 до 500</v>
      </c>
    </row>
    <row r="44" spans="1:3" ht="25.5" x14ac:dyDescent="0.2">
      <c r="A44" s="22" t="s">
        <v>46</v>
      </c>
      <c r="B44" s="34" t="s">
        <v>47</v>
      </c>
      <c r="C44" s="53" t="str">
        <f>[6]С2.1!E15</f>
        <v>нет</v>
      </c>
    </row>
    <row r="45" spans="1:3" ht="30" x14ac:dyDescent="0.2">
      <c r="A45" s="22" t="s">
        <v>48</v>
      </c>
      <c r="B45" s="34" t="s">
        <v>49</v>
      </c>
      <c r="C45" s="35">
        <f>[6]С2!F18</f>
        <v>32402.627334033532</v>
      </c>
    </row>
    <row r="46" spans="1:3" ht="30" x14ac:dyDescent="0.2">
      <c r="A46" s="22" t="s">
        <v>50</v>
      </c>
      <c r="B46" s="54" t="s">
        <v>51</v>
      </c>
      <c r="C46" s="35">
        <f>IF([6]С2!F19&gt;0,[6]С2!F19,[6]С2!F20)</f>
        <v>23441.524932855718</v>
      </c>
    </row>
    <row r="47" spans="1:3" ht="25.5" x14ac:dyDescent="0.2">
      <c r="A47" s="22" t="s">
        <v>52</v>
      </c>
      <c r="B47" s="55" t="s">
        <v>53</v>
      </c>
      <c r="C47" s="35">
        <f>[6]С2.1!E19</f>
        <v>-37</v>
      </c>
    </row>
    <row r="48" spans="1:3" ht="25.5" x14ac:dyDescent="0.2">
      <c r="A48" s="22" t="s">
        <v>54</v>
      </c>
      <c r="B48" s="55" t="s">
        <v>55</v>
      </c>
      <c r="C48" s="35" t="str">
        <f>[6]С2.1!E22</f>
        <v>нет</v>
      </c>
    </row>
    <row r="49" spans="1:3" ht="38.25" x14ac:dyDescent="0.2">
      <c r="A49" s="22" t="s">
        <v>56</v>
      </c>
      <c r="B49" s="56" t="s">
        <v>57</v>
      </c>
      <c r="C49" s="35">
        <f>[6]С2.2!E10</f>
        <v>1287</v>
      </c>
    </row>
    <row r="50" spans="1:3" ht="25.5" x14ac:dyDescent="0.2">
      <c r="A50" s="22" t="s">
        <v>58</v>
      </c>
      <c r="B50" s="57" t="s">
        <v>59</v>
      </c>
      <c r="C50" s="35">
        <f>[6]С2.2!E12</f>
        <v>5.97</v>
      </c>
    </row>
    <row r="51" spans="1:3" ht="52.5" x14ac:dyDescent="0.2">
      <c r="A51" s="22" t="s">
        <v>60</v>
      </c>
      <c r="B51" s="58" t="s">
        <v>61</v>
      </c>
      <c r="C51" s="35">
        <f>[6]С2.2!E13</f>
        <v>1</v>
      </c>
    </row>
    <row r="52" spans="1:3" ht="27.75" x14ac:dyDescent="0.2">
      <c r="A52" s="22" t="s">
        <v>62</v>
      </c>
      <c r="B52" s="57" t="s">
        <v>63</v>
      </c>
      <c r="C52" s="35">
        <f>[6]С2.2!E14</f>
        <v>12104</v>
      </c>
    </row>
    <row r="53" spans="1:3" ht="25.5" x14ac:dyDescent="0.2">
      <c r="A53" s="22" t="s">
        <v>64</v>
      </c>
      <c r="B53" s="58" t="s">
        <v>65</v>
      </c>
      <c r="C53" s="36">
        <f>[6]С2.2!E15</f>
        <v>4.8000000000000001E-2</v>
      </c>
    </row>
    <row r="54" spans="1:3" x14ac:dyDescent="0.2">
      <c r="A54" s="22" t="s">
        <v>66</v>
      </c>
      <c r="B54" s="58" t="s">
        <v>67</v>
      </c>
      <c r="C54" s="35">
        <f>[6]С2.2!E16</f>
        <v>1</v>
      </c>
    </row>
    <row r="55" spans="1:3" ht="15.75" x14ac:dyDescent="0.2">
      <c r="A55" s="22" t="s">
        <v>68</v>
      </c>
      <c r="B55" s="59" t="s">
        <v>69</v>
      </c>
      <c r="C55" s="35">
        <f>[6]С2!F21</f>
        <v>1</v>
      </c>
    </row>
    <row r="56" spans="1:3" ht="30" x14ac:dyDescent="0.2">
      <c r="A56" s="60" t="s">
        <v>70</v>
      </c>
      <c r="B56" s="34" t="s">
        <v>71</v>
      </c>
      <c r="C56" s="35">
        <f>[6]С2!F13</f>
        <v>169640.22915965237</v>
      </c>
    </row>
    <row r="57" spans="1:3" ht="30" x14ac:dyDescent="0.2">
      <c r="A57" s="60" t="s">
        <v>72</v>
      </c>
      <c r="B57" s="59" t="s">
        <v>73</v>
      </c>
      <c r="C57" s="35">
        <f>[6]С2!F14</f>
        <v>113455</v>
      </c>
    </row>
    <row r="58" spans="1:3" ht="15.75" x14ac:dyDescent="0.2">
      <c r="A58" s="60" t="s">
        <v>74</v>
      </c>
      <c r="B58" s="61" t="s">
        <v>75</v>
      </c>
      <c r="C58" s="41">
        <f>[6]С2!F15</f>
        <v>1.071</v>
      </c>
    </row>
    <row r="59" spans="1:3" ht="15.75" x14ac:dyDescent="0.2">
      <c r="A59" s="60" t="s">
        <v>76</v>
      </c>
      <c r="B59" s="61" t="s">
        <v>77</v>
      </c>
      <c r="C59" s="41">
        <f>[6]С2!F16</f>
        <v>1</v>
      </c>
    </row>
    <row r="60" spans="1:3" ht="17.25" x14ac:dyDescent="0.2">
      <c r="A60" s="60" t="s">
        <v>78</v>
      </c>
      <c r="B60" s="59" t="s">
        <v>79</v>
      </c>
      <c r="C60" s="35">
        <f>[6]С2!F17</f>
        <v>1.01</v>
      </c>
    </row>
    <row r="61" spans="1:3" s="64" customFormat="1" ht="14.25" x14ac:dyDescent="0.2">
      <c r="A61" s="60" t="s">
        <v>80</v>
      </c>
      <c r="B61" s="62" t="s">
        <v>81</v>
      </c>
      <c r="C61" s="63">
        <f>[6]С2!F33</f>
        <v>10</v>
      </c>
    </row>
    <row r="62" spans="1:3" ht="30" x14ac:dyDescent="0.2">
      <c r="A62" s="60" t="s">
        <v>82</v>
      </c>
      <c r="B62" s="65" t="s">
        <v>83</v>
      </c>
      <c r="C62" s="35">
        <f>[6]С2!F26</f>
        <v>1598.6279958476514</v>
      </c>
    </row>
    <row r="63" spans="1:3" ht="17.25" x14ac:dyDescent="0.2">
      <c r="A63" s="60" t="s">
        <v>84</v>
      </c>
      <c r="B63" s="54" t="s">
        <v>85</v>
      </c>
      <c r="C63" s="35">
        <f>[6]С2!F27</f>
        <v>0.27536184199999997</v>
      </c>
    </row>
    <row r="64" spans="1:3" ht="17.25" x14ac:dyDescent="0.2">
      <c r="A64" s="60" t="s">
        <v>86</v>
      </c>
      <c r="B64" s="59" t="s">
        <v>87</v>
      </c>
      <c r="C64" s="63">
        <f>[6]С2!F28</f>
        <v>4200</v>
      </c>
    </row>
    <row r="65" spans="1:3" ht="42.75" x14ac:dyDescent="0.2">
      <c r="A65" s="60" t="s">
        <v>88</v>
      </c>
      <c r="B65" s="34" t="s">
        <v>89</v>
      </c>
      <c r="C65" s="35">
        <f>[6]С2!F22</f>
        <v>35717.748653137714</v>
      </c>
    </row>
    <row r="66" spans="1:3" ht="30" x14ac:dyDescent="0.2">
      <c r="A66" s="60" t="s">
        <v>90</v>
      </c>
      <c r="B66" s="61" t="s">
        <v>91</v>
      </c>
      <c r="C66" s="35">
        <f>[6]С2!F23</f>
        <v>1990</v>
      </c>
    </row>
    <row r="67" spans="1:3" ht="30" x14ac:dyDescent="0.2">
      <c r="A67" s="60" t="s">
        <v>92</v>
      </c>
      <c r="B67" s="54" t="s">
        <v>93</v>
      </c>
      <c r="C67" s="35">
        <f>[6]С2.1!E27</f>
        <v>14307.876789999998</v>
      </c>
    </row>
    <row r="68" spans="1:3" ht="38.25" x14ac:dyDescent="0.2">
      <c r="A68" s="60" t="s">
        <v>94</v>
      </c>
      <c r="B68" s="66" t="s">
        <v>95</v>
      </c>
      <c r="C68" s="53">
        <f>[6]С2.3!E21</f>
        <v>0</v>
      </c>
    </row>
    <row r="69" spans="1:3" ht="25.5" x14ac:dyDescent="0.2">
      <c r="A69" s="60" t="s">
        <v>96</v>
      </c>
      <c r="B69" s="67" t="s">
        <v>97</v>
      </c>
      <c r="C69" s="68">
        <f>[6]С2.3!E11</f>
        <v>9.89</v>
      </c>
    </row>
    <row r="70" spans="1:3" ht="25.5" x14ac:dyDescent="0.2">
      <c r="A70" s="60" t="s">
        <v>98</v>
      </c>
      <c r="B70" s="67" t="s">
        <v>99</v>
      </c>
      <c r="C70" s="63">
        <f>[6]С2.3!E13</f>
        <v>300</v>
      </c>
    </row>
    <row r="71" spans="1:3" ht="25.5" x14ac:dyDescent="0.2">
      <c r="A71" s="60" t="s">
        <v>100</v>
      </c>
      <c r="B71" s="66" t="s">
        <v>101</v>
      </c>
      <c r="C71" s="69">
        <f>IF([6]С2.3!E22&gt;0,[6]С2.3!E22,[6]С2.3!E14)</f>
        <v>61211</v>
      </c>
    </row>
    <row r="72" spans="1:3" ht="38.25" x14ac:dyDescent="0.2">
      <c r="A72" s="60" t="s">
        <v>102</v>
      </c>
      <c r="B72" s="66" t="s">
        <v>103</v>
      </c>
      <c r="C72" s="69">
        <f>IF([6]С2.3!E23&gt;0,[6]С2.3!E23,[6]С2.3!E15)</f>
        <v>45675</v>
      </c>
    </row>
    <row r="73" spans="1:3" ht="30" x14ac:dyDescent="0.2">
      <c r="A73" s="60" t="s">
        <v>104</v>
      </c>
      <c r="B73" s="54" t="s">
        <v>105</v>
      </c>
      <c r="C73" s="35">
        <f>[6]С2.1!E28</f>
        <v>9541.9567200000001</v>
      </c>
    </row>
    <row r="74" spans="1:3" ht="38.25" x14ac:dyDescent="0.2">
      <c r="A74" s="60" t="s">
        <v>106</v>
      </c>
      <c r="B74" s="66" t="s">
        <v>107</v>
      </c>
      <c r="C74" s="53">
        <f>[6]С2.3!E25</f>
        <v>0</v>
      </c>
    </row>
    <row r="75" spans="1:3" ht="25.5" x14ac:dyDescent="0.2">
      <c r="A75" s="60" t="s">
        <v>108</v>
      </c>
      <c r="B75" s="67" t="s">
        <v>109</v>
      </c>
      <c r="C75" s="68">
        <f>[6]С2.3!E12</f>
        <v>0.56000000000000005</v>
      </c>
    </row>
    <row r="76" spans="1:3" ht="25.5" x14ac:dyDescent="0.2">
      <c r="A76" s="60" t="s">
        <v>110</v>
      </c>
      <c r="B76" s="67" t="s">
        <v>99</v>
      </c>
      <c r="C76" s="63">
        <f>[6]С2.3!E13</f>
        <v>300</v>
      </c>
    </row>
    <row r="77" spans="1:3" ht="25.5" x14ac:dyDescent="0.2">
      <c r="A77" s="60" t="s">
        <v>111</v>
      </c>
      <c r="B77" s="70" t="s">
        <v>112</v>
      </c>
      <c r="C77" s="69">
        <f>IF([6]С2.3!E26&gt;0,[6]С2.3!E26,[6]С2.3!E16)</f>
        <v>65637</v>
      </c>
    </row>
    <row r="78" spans="1:3" ht="38.25" x14ac:dyDescent="0.2">
      <c r="A78" s="60" t="s">
        <v>113</v>
      </c>
      <c r="B78" s="70" t="s">
        <v>114</v>
      </c>
      <c r="C78" s="69">
        <f>IF([6]С2.3!E27&gt;0,[6]С2.3!E27,[6]С2.3!E17)</f>
        <v>31684</v>
      </c>
    </row>
    <row r="79" spans="1:3" ht="17.25" x14ac:dyDescent="0.2">
      <c r="A79" s="60" t="s">
        <v>115</v>
      </c>
      <c r="B79" s="34" t="s">
        <v>116</v>
      </c>
      <c r="C79" s="36">
        <f>[6]С2!F29</f>
        <v>0.128978033685065</v>
      </c>
    </row>
    <row r="80" spans="1:3" ht="30" x14ac:dyDescent="0.2">
      <c r="A80" s="60" t="s">
        <v>117</v>
      </c>
      <c r="B80" s="54" t="s">
        <v>118</v>
      </c>
      <c r="C80" s="71">
        <f>[6]С2!F30</f>
        <v>0.11668498168498169</v>
      </c>
    </row>
    <row r="81" spans="1:3" ht="17.25" x14ac:dyDescent="0.2">
      <c r="A81" s="60" t="s">
        <v>119</v>
      </c>
      <c r="B81" s="72" t="s">
        <v>120</v>
      </c>
      <c r="C81" s="36">
        <f>[6]С2!F31</f>
        <v>0.13880000000000001</v>
      </c>
    </row>
    <row r="82" spans="1:3" s="64" customFormat="1" ht="18" thickBot="1" x14ac:dyDescent="0.25">
      <c r="A82" s="73" t="s">
        <v>121</v>
      </c>
      <c r="B82" s="74" t="s">
        <v>122</v>
      </c>
      <c r="C82" s="75">
        <f>[6]С2!F32</f>
        <v>0.12640000000000001</v>
      </c>
    </row>
    <row r="83" spans="1:3" ht="13.5" thickBot="1" x14ac:dyDescent="0.25">
      <c r="A83" s="48"/>
      <c r="B83" s="76"/>
      <c r="C83" s="15"/>
    </row>
    <row r="84" spans="1:3" s="64" customFormat="1" ht="30" customHeight="1" x14ac:dyDescent="0.2">
      <c r="A84" s="77" t="s">
        <v>123</v>
      </c>
      <c r="B84" s="142" t="s">
        <v>124</v>
      </c>
      <c r="C84" s="142"/>
    </row>
    <row r="85" spans="1:3" s="64" customFormat="1" ht="30" x14ac:dyDescent="0.2">
      <c r="A85" s="78" t="s">
        <v>125</v>
      </c>
      <c r="B85" s="34" t="s">
        <v>126</v>
      </c>
      <c r="C85" s="35">
        <f>[6]С3!F14</f>
        <v>7020.1696866647444</v>
      </c>
    </row>
    <row r="86" spans="1:3" s="64" customFormat="1" ht="42.75" x14ac:dyDescent="0.2">
      <c r="A86" s="78" t="s">
        <v>127</v>
      </c>
      <c r="B86" s="54" t="s">
        <v>128</v>
      </c>
      <c r="C86" s="79">
        <f>[6]С3!F15</f>
        <v>0.2</v>
      </c>
    </row>
    <row r="87" spans="1:3" s="64" customFormat="1" ht="14.25" x14ac:dyDescent="0.2">
      <c r="A87" s="78" t="s">
        <v>129</v>
      </c>
      <c r="B87" s="80" t="s">
        <v>130</v>
      </c>
      <c r="C87" s="63">
        <f>[6]С3!F18</f>
        <v>15</v>
      </c>
    </row>
    <row r="88" spans="1:3" s="64" customFormat="1" ht="17.25" x14ac:dyDescent="0.2">
      <c r="A88" s="78" t="s">
        <v>131</v>
      </c>
      <c r="B88" s="34" t="s">
        <v>132</v>
      </c>
      <c r="C88" s="35">
        <f>[6]С3!F19</f>
        <v>3487.1555421534131</v>
      </c>
    </row>
    <row r="89" spans="1:3" s="64" customFormat="1" ht="55.5" x14ac:dyDescent="0.2">
      <c r="A89" s="78" t="s">
        <v>133</v>
      </c>
      <c r="B89" s="54" t="s">
        <v>134</v>
      </c>
      <c r="C89" s="81">
        <f>[6]С3!F20</f>
        <v>2.1999999999999999E-2</v>
      </c>
    </row>
    <row r="90" spans="1:3" s="64" customFormat="1" ht="14.25" x14ac:dyDescent="0.2">
      <c r="A90" s="78" t="s">
        <v>135</v>
      </c>
      <c r="B90" s="59" t="s">
        <v>81</v>
      </c>
      <c r="C90" s="63">
        <f>[6]С3!F21</f>
        <v>10</v>
      </c>
    </row>
    <row r="91" spans="1:3" s="64" customFormat="1" ht="17.25" x14ac:dyDescent="0.2">
      <c r="A91" s="78" t="s">
        <v>136</v>
      </c>
      <c r="B91" s="34" t="s">
        <v>137</v>
      </c>
      <c r="C91" s="35">
        <f>[6]С3!F22</f>
        <v>4.795883987542954</v>
      </c>
    </row>
    <row r="92" spans="1:3" s="64" customFormat="1" ht="55.5" x14ac:dyDescent="0.2">
      <c r="A92" s="78" t="s">
        <v>138</v>
      </c>
      <c r="B92" s="54" t="s">
        <v>139</v>
      </c>
      <c r="C92" s="81">
        <f>[6]С3!F23</f>
        <v>3.0000000000000001E-3</v>
      </c>
    </row>
    <row r="93" spans="1:3" s="64" customFormat="1" ht="27.75" thickBot="1" x14ac:dyDescent="0.25">
      <c r="A93" s="82" t="s">
        <v>140</v>
      </c>
      <c r="B93" s="83" t="s">
        <v>141</v>
      </c>
      <c r="C93" s="84">
        <f>[6]С3!F24</f>
        <v>1598.6279958476514</v>
      </c>
    </row>
    <row r="94" spans="1:3" ht="13.5" thickBot="1" x14ac:dyDescent="0.25">
      <c r="A94" s="48"/>
      <c r="B94" s="76"/>
      <c r="C94" s="15"/>
    </row>
    <row r="95" spans="1:3" ht="30" customHeight="1" x14ac:dyDescent="0.2">
      <c r="A95" s="85" t="s">
        <v>142</v>
      </c>
      <c r="B95" s="142" t="s">
        <v>143</v>
      </c>
      <c r="C95" s="142"/>
    </row>
    <row r="96" spans="1:3" ht="30" x14ac:dyDescent="0.2">
      <c r="A96" s="60" t="s">
        <v>144</v>
      </c>
      <c r="B96" s="34" t="s">
        <v>145</v>
      </c>
      <c r="C96" s="35">
        <f>[6]С4!F16</f>
        <v>1652.5</v>
      </c>
    </row>
    <row r="97" spans="1:3" ht="30" x14ac:dyDescent="0.2">
      <c r="A97" s="60" t="s">
        <v>146</v>
      </c>
      <c r="B97" s="59" t="s">
        <v>147</v>
      </c>
      <c r="C97" s="35">
        <f>[6]С4!F17</f>
        <v>73547</v>
      </c>
    </row>
    <row r="98" spans="1:3" ht="33" x14ac:dyDescent="0.2">
      <c r="A98" s="60" t="s">
        <v>148</v>
      </c>
      <c r="B98" s="59" t="s">
        <v>149</v>
      </c>
      <c r="C98" s="41">
        <f>[6]С4!F18</f>
        <v>0.02</v>
      </c>
    </row>
    <row r="99" spans="1:3" ht="30" x14ac:dyDescent="0.2">
      <c r="A99" s="60" t="s">
        <v>150</v>
      </c>
      <c r="B99" s="59" t="s">
        <v>151</v>
      </c>
      <c r="C99" s="35">
        <f>[6]С4!F19</f>
        <v>12104</v>
      </c>
    </row>
    <row r="100" spans="1:3" ht="28.5" x14ac:dyDescent="0.2">
      <c r="A100" s="60" t="s">
        <v>152</v>
      </c>
      <c r="B100" s="59" t="s">
        <v>153</v>
      </c>
      <c r="C100" s="41">
        <f>[6]С4!F20</f>
        <v>1.4999999999999999E-2</v>
      </c>
    </row>
    <row r="101" spans="1:3" ht="30" x14ac:dyDescent="0.2">
      <c r="A101" s="60" t="s">
        <v>154</v>
      </c>
      <c r="B101" s="34" t="s">
        <v>155</v>
      </c>
      <c r="C101" s="35">
        <f>[6]С4!F21</f>
        <v>1933.1949342509995</v>
      </c>
    </row>
    <row r="102" spans="1:3" ht="24" customHeight="1" x14ac:dyDescent="0.2">
      <c r="A102" s="60" t="s">
        <v>156</v>
      </c>
      <c r="B102" s="54" t="s">
        <v>157</v>
      </c>
      <c r="C102" s="86">
        <f>IF([6]С4.2!F8="да",[6]С4.2!D21,[6]С4.2!D15)</f>
        <v>0</v>
      </c>
    </row>
    <row r="103" spans="1:3" ht="68.25" x14ac:dyDescent="0.2">
      <c r="A103" s="60" t="s">
        <v>158</v>
      </c>
      <c r="B103" s="54" t="s">
        <v>159</v>
      </c>
      <c r="C103" s="35">
        <f>[6]С4!F22</f>
        <v>3.6112641666666665</v>
      </c>
    </row>
    <row r="104" spans="1:3" ht="30" x14ac:dyDescent="0.2">
      <c r="A104" s="60" t="s">
        <v>160</v>
      </c>
      <c r="B104" s="59" t="s">
        <v>161</v>
      </c>
      <c r="C104" s="35">
        <f>[6]С4!F23</f>
        <v>180</v>
      </c>
    </row>
    <row r="105" spans="1:3" ht="14.25" x14ac:dyDescent="0.2">
      <c r="A105" s="60" t="s">
        <v>162</v>
      </c>
      <c r="B105" s="54" t="s">
        <v>163</v>
      </c>
      <c r="C105" s="35">
        <f>[6]С4!F24</f>
        <v>8497.1999999999989</v>
      </c>
    </row>
    <row r="106" spans="1:3" ht="14.25" x14ac:dyDescent="0.2">
      <c r="A106" s="60" t="s">
        <v>164</v>
      </c>
      <c r="B106" s="59" t="s">
        <v>165</v>
      </c>
      <c r="C106" s="41">
        <f>[6]С4!F25</f>
        <v>0.35</v>
      </c>
    </row>
    <row r="107" spans="1:3" ht="17.25" x14ac:dyDescent="0.2">
      <c r="A107" s="60" t="s">
        <v>166</v>
      </c>
      <c r="B107" s="34" t="s">
        <v>167</v>
      </c>
      <c r="C107" s="35">
        <f>[6]С4!F26</f>
        <v>89.126274999999993</v>
      </c>
    </row>
    <row r="108" spans="1:3" ht="25.5" x14ac:dyDescent="0.2">
      <c r="A108" s="60" t="s">
        <v>168</v>
      </c>
      <c r="B108" s="54" t="s">
        <v>95</v>
      </c>
      <c r="C108" s="86">
        <f>[6]С4.3!E16</f>
        <v>0</v>
      </c>
    </row>
    <row r="109" spans="1:3" ht="25.5" x14ac:dyDescent="0.2">
      <c r="A109" s="60" t="s">
        <v>169</v>
      </c>
      <c r="B109" s="54" t="s">
        <v>170</v>
      </c>
      <c r="C109" s="35">
        <f>[6]С4.3!E17</f>
        <v>23.024999999999999</v>
      </c>
    </row>
    <row r="110" spans="1:3" ht="38.25" x14ac:dyDescent="0.2">
      <c r="A110" s="60" t="s">
        <v>171</v>
      </c>
      <c r="B110" s="54" t="s">
        <v>107</v>
      </c>
      <c r="C110" s="86">
        <f>[6]С4.3!E18</f>
        <v>0</v>
      </c>
    </row>
    <row r="111" spans="1:3" x14ac:dyDescent="0.2">
      <c r="A111" s="60" t="s">
        <v>172</v>
      </c>
      <c r="B111" s="54" t="s">
        <v>173</v>
      </c>
      <c r="C111" s="35">
        <f>[6]С4.3!E19</f>
        <v>41.06666666666667</v>
      </c>
    </row>
    <row r="112" spans="1:3" x14ac:dyDescent="0.2">
      <c r="A112" s="60" t="s">
        <v>174</v>
      </c>
      <c r="B112" s="59" t="s">
        <v>175</v>
      </c>
      <c r="C112" s="35">
        <f>[6]С4.3!E11</f>
        <v>1871</v>
      </c>
    </row>
    <row r="113" spans="1:3" x14ac:dyDescent="0.2">
      <c r="A113" s="60" t="s">
        <v>176</v>
      </c>
      <c r="B113" s="59" t="s">
        <v>177</v>
      </c>
      <c r="C113" s="53">
        <f>[6]С4.3!E12</f>
        <v>1636</v>
      </c>
    </row>
    <row r="114" spans="1:3" x14ac:dyDescent="0.2">
      <c r="A114" s="60" t="s">
        <v>178</v>
      </c>
      <c r="B114" s="59" t="s">
        <v>179</v>
      </c>
      <c r="C114" s="53">
        <f>[6]С4.3!E13</f>
        <v>204</v>
      </c>
    </row>
    <row r="115" spans="1:3" ht="30" x14ac:dyDescent="0.2">
      <c r="A115" s="60" t="s">
        <v>180</v>
      </c>
      <c r="B115" s="34" t="s">
        <v>181</v>
      </c>
      <c r="C115" s="35">
        <f>[6]С4!F27</f>
        <v>1413.5806587229636</v>
      </c>
    </row>
    <row r="116" spans="1:3" ht="25.5" x14ac:dyDescent="0.2">
      <c r="A116" s="60" t="s">
        <v>182</v>
      </c>
      <c r="B116" s="54" t="s">
        <v>183</v>
      </c>
      <c r="C116" s="35">
        <f>[6]С4!F28</f>
        <v>1085.6994306627985</v>
      </c>
    </row>
    <row r="117" spans="1:3" ht="42.75" x14ac:dyDescent="0.2">
      <c r="A117" s="60" t="s">
        <v>184</v>
      </c>
      <c r="B117" s="54" t="s">
        <v>185</v>
      </c>
      <c r="C117" s="35">
        <f>[6]С4!F29</f>
        <v>327.8812280601652</v>
      </c>
    </row>
    <row r="118" spans="1:3" ht="30" x14ac:dyDescent="0.2">
      <c r="A118" s="60" t="s">
        <v>186</v>
      </c>
      <c r="B118" s="40" t="s">
        <v>187</v>
      </c>
      <c r="C118" s="35">
        <f>[6]С4!F30</f>
        <v>2117.7021970176438</v>
      </c>
    </row>
    <row r="119" spans="1:3" ht="42.75" x14ac:dyDescent="0.2">
      <c r="A119" s="60" t="s">
        <v>188</v>
      </c>
      <c r="B119" s="87" t="s">
        <v>189</v>
      </c>
      <c r="C119" s="35">
        <f>[6]С4!F33</f>
        <v>1374.0280021926758</v>
      </c>
    </row>
    <row r="120" spans="1:3" ht="30" x14ac:dyDescent="0.2">
      <c r="A120" s="60" t="s">
        <v>190</v>
      </c>
      <c r="B120" s="88" t="s">
        <v>191</v>
      </c>
      <c r="C120" s="35">
        <f>[6]С4!F35</f>
        <v>17.040680999999999</v>
      </c>
    </row>
    <row r="121" spans="1:3" ht="14.25" x14ac:dyDescent="0.2">
      <c r="A121" s="60" t="s">
        <v>192</v>
      </c>
      <c r="B121" s="57" t="s">
        <v>193</v>
      </c>
      <c r="C121" s="35">
        <f>[6]С4!F36</f>
        <v>14319.9</v>
      </c>
    </row>
    <row r="122" spans="1:3" ht="28.5" thickBot="1" x14ac:dyDescent="0.25">
      <c r="A122" s="73" t="s">
        <v>194</v>
      </c>
      <c r="B122" s="89" t="s">
        <v>195</v>
      </c>
      <c r="C122" s="84">
        <f>[6]С4!F37</f>
        <v>1.19</v>
      </c>
    </row>
    <row r="123" spans="1:3" s="90" customFormat="1" ht="13.5" thickBot="1" x14ac:dyDescent="0.25">
      <c r="A123" s="48"/>
      <c r="B123" s="76"/>
      <c r="C123" s="15"/>
    </row>
    <row r="124" spans="1:3" s="64" customFormat="1" ht="30" customHeight="1" x14ac:dyDescent="0.2">
      <c r="A124" s="77" t="s">
        <v>196</v>
      </c>
      <c r="B124" s="142" t="s">
        <v>197</v>
      </c>
      <c r="C124" s="142"/>
    </row>
    <row r="125" spans="1:3" ht="16.5" thickBot="1" x14ac:dyDescent="0.25">
      <c r="A125" s="27" t="s">
        <v>198</v>
      </c>
      <c r="B125" s="91" t="s">
        <v>199</v>
      </c>
      <c r="C125" s="84">
        <f>[6]С5!F17</f>
        <v>0.02</v>
      </c>
    </row>
    <row r="126" spans="1:3" s="90" customFormat="1" ht="13.5" thickBot="1" x14ac:dyDescent="0.25">
      <c r="A126" s="48"/>
      <c r="B126" s="76"/>
      <c r="C126" s="15"/>
    </row>
    <row r="127" spans="1:3" ht="42.75" customHeight="1" x14ac:dyDescent="0.2">
      <c r="A127" s="85" t="s">
        <v>200</v>
      </c>
      <c r="B127" s="143" t="s">
        <v>201</v>
      </c>
      <c r="C127" s="143"/>
    </row>
    <row r="128" spans="1:3" ht="68.25" x14ac:dyDescent="0.2">
      <c r="A128" s="60" t="s">
        <v>202</v>
      </c>
      <c r="B128" s="92" t="s">
        <v>203</v>
      </c>
      <c r="C128" s="35" t="s">
        <v>204</v>
      </c>
    </row>
    <row r="129" spans="1:4" ht="42.75" hidden="1" x14ac:dyDescent="0.2">
      <c r="A129" s="60" t="s">
        <v>205</v>
      </c>
      <c r="B129" s="87" t="s">
        <v>206</v>
      </c>
      <c r="C129" s="93"/>
    </row>
    <row r="130" spans="1:4" ht="69" thickBot="1" x14ac:dyDescent="0.25">
      <c r="A130" s="73" t="s">
        <v>207</v>
      </c>
      <c r="B130" s="94" t="s">
        <v>208</v>
      </c>
      <c r="C130" s="95" t="s">
        <v>204</v>
      </c>
    </row>
    <row r="131" spans="1:4" ht="62.25" hidden="1" customHeight="1" x14ac:dyDescent="0.2">
      <c r="A131" s="96" t="s">
        <v>209</v>
      </c>
      <c r="B131" s="97" t="s">
        <v>210</v>
      </c>
      <c r="C131" s="98"/>
    </row>
    <row r="132" spans="1:4" ht="68.25" hidden="1" x14ac:dyDescent="0.2">
      <c r="A132" s="60" t="s">
        <v>211</v>
      </c>
      <c r="B132" s="87" t="s">
        <v>212</v>
      </c>
      <c r="C132" s="36"/>
    </row>
    <row r="133" spans="1:4" ht="69" hidden="1" thickBot="1" x14ac:dyDescent="0.25">
      <c r="A133" s="73" t="s">
        <v>213</v>
      </c>
      <c r="B133" s="99" t="s">
        <v>214</v>
      </c>
      <c r="C133" s="75"/>
    </row>
    <row r="134" spans="1:4" s="90" customFormat="1" ht="13.5" thickBot="1" x14ac:dyDescent="0.25">
      <c r="A134" s="48"/>
      <c r="B134" s="76"/>
      <c r="C134" s="15"/>
    </row>
    <row r="135" spans="1:4" ht="26.25" customHeight="1" x14ac:dyDescent="0.2">
      <c r="A135" s="85" t="s">
        <v>215</v>
      </c>
      <c r="B135" s="100" t="s">
        <v>216</v>
      </c>
      <c r="C135" s="101">
        <f>[6]С2!F37</f>
        <v>20.818139999999996</v>
      </c>
    </row>
    <row r="136" spans="1:4" ht="14.25" x14ac:dyDescent="0.2">
      <c r="A136" s="60" t="s">
        <v>217</v>
      </c>
      <c r="B136" s="102" t="s">
        <v>218</v>
      </c>
      <c r="C136" s="35">
        <f>[6]С2!F38</f>
        <v>7</v>
      </c>
    </row>
    <row r="137" spans="1:4" ht="17.25" x14ac:dyDescent="0.2">
      <c r="A137" s="60" t="s">
        <v>219</v>
      </c>
      <c r="B137" s="102" t="s">
        <v>220</v>
      </c>
      <c r="C137" s="35">
        <f>[6]С2!F40</f>
        <v>0.97</v>
      </c>
    </row>
    <row r="138" spans="1:4" ht="15" thickBot="1" x14ac:dyDescent="0.25">
      <c r="A138" s="73" t="s">
        <v>221</v>
      </c>
      <c r="B138" s="103" t="s">
        <v>222</v>
      </c>
      <c r="C138" s="47">
        <f>[6]С2!F42</f>
        <v>0.35</v>
      </c>
    </row>
    <row r="139" spans="1:4" s="90" customFormat="1" ht="13.5" thickBot="1" x14ac:dyDescent="0.25">
      <c r="A139" s="48"/>
      <c r="B139" s="76"/>
      <c r="C139" s="15"/>
    </row>
    <row r="140" spans="1:4" ht="30" x14ac:dyDescent="0.2">
      <c r="A140" s="85" t="s">
        <v>223</v>
      </c>
      <c r="B140" s="104" t="s">
        <v>224</v>
      </c>
      <c r="C140" s="105">
        <f>[6]С2!F35</f>
        <v>1.3822747209000001</v>
      </c>
      <c r="D140" s="90"/>
    </row>
    <row r="141" spans="1:4" ht="22.7" customHeight="1" thickBot="1" x14ac:dyDescent="0.25">
      <c r="A141" s="73" t="s">
        <v>225</v>
      </c>
      <c r="B141" s="141" t="s">
        <v>226</v>
      </c>
      <c r="C141" s="141"/>
      <c r="D141" s="90"/>
    </row>
    <row r="142" spans="1:4" ht="13.5" thickBot="1" x14ac:dyDescent="0.25">
      <c r="A142" s="106"/>
      <c r="B142" s="107" t="s">
        <v>0</v>
      </c>
      <c r="C142" s="108"/>
      <c r="D142" s="90"/>
    </row>
    <row r="143" spans="1:4" x14ac:dyDescent="0.2">
      <c r="A143" s="106"/>
      <c r="B143" s="109">
        <v>2020</v>
      </c>
      <c r="C143" s="110">
        <f>[6]С2.5!$E$11</f>
        <v>-2.9000000000000026E-2</v>
      </c>
      <c r="D143" s="90"/>
    </row>
    <row r="144" spans="1:4" x14ac:dyDescent="0.2">
      <c r="A144" s="106"/>
      <c r="B144" s="111">
        <f>B143+1</f>
        <v>2021</v>
      </c>
      <c r="C144" s="112">
        <f>[6]С2.5!$F$11</f>
        <v>0.245</v>
      </c>
      <c r="D144" s="90"/>
    </row>
    <row r="145" spans="1:4" x14ac:dyDescent="0.2">
      <c r="A145" s="106"/>
      <c r="B145" s="111">
        <f t="shared" ref="B145:B208" si="0">B144+1</f>
        <v>2022</v>
      </c>
      <c r="C145" s="112">
        <f>[6]С2.5!$G$11</f>
        <v>0.121</v>
      </c>
      <c r="D145" s="90"/>
    </row>
    <row r="146" spans="1:4" ht="13.5" thickBot="1" x14ac:dyDescent="0.25">
      <c r="A146" s="106"/>
      <c r="B146" s="113">
        <f t="shared" si="0"/>
        <v>2023</v>
      </c>
      <c r="C146" s="114">
        <f>[6]С2.5!$H$11</f>
        <v>0.02</v>
      </c>
      <c r="D146" s="90"/>
    </row>
    <row r="147" spans="1:4" hidden="1" x14ac:dyDescent="0.2">
      <c r="A147" s="106"/>
      <c r="B147" s="115">
        <f t="shared" si="0"/>
        <v>2024</v>
      </c>
      <c r="C147" s="116">
        <f>[6]С2.5!$I$11</f>
        <v>-2.93E-2</v>
      </c>
      <c r="D147" s="90"/>
    </row>
    <row r="148" spans="1:4" hidden="1" x14ac:dyDescent="0.2">
      <c r="A148" s="106"/>
      <c r="B148" s="111">
        <f t="shared" si="0"/>
        <v>2025</v>
      </c>
      <c r="C148" s="112">
        <f>[6]С2.5!$J$11</f>
        <v>0.21215960863291</v>
      </c>
      <c r="D148" s="90"/>
    </row>
    <row r="149" spans="1:4" hidden="1" x14ac:dyDescent="0.2">
      <c r="A149" s="106"/>
      <c r="B149" s="111">
        <f t="shared" si="0"/>
        <v>2026</v>
      </c>
      <c r="C149" s="112">
        <f>[6]С2.5!$K$11</f>
        <v>3.5813361771260002E-2</v>
      </c>
      <c r="D149" s="90"/>
    </row>
    <row r="150" spans="1:4" hidden="1" x14ac:dyDescent="0.2">
      <c r="A150" s="106"/>
      <c r="B150" s="111">
        <f t="shared" si="0"/>
        <v>2027</v>
      </c>
      <c r="C150" s="112">
        <f>[6]С2.5!$L$11</f>
        <v>3.2682303599220003E-2</v>
      </c>
      <c r="D150" s="90"/>
    </row>
    <row r="151" spans="1:4" hidden="1" x14ac:dyDescent="0.2">
      <c r="A151" s="106"/>
      <c r="B151" s="111">
        <f t="shared" si="0"/>
        <v>2028</v>
      </c>
      <c r="C151" s="112">
        <f>[6]С2.5!$M$11</f>
        <v>0</v>
      </c>
      <c r="D151" s="90"/>
    </row>
    <row r="152" spans="1:4" hidden="1" x14ac:dyDescent="0.2">
      <c r="A152" s="106"/>
      <c r="B152" s="111">
        <f t="shared" si="0"/>
        <v>2029</v>
      </c>
      <c r="C152" s="112">
        <f>[6]С2.5!$N$11</f>
        <v>0</v>
      </c>
      <c r="D152" s="90"/>
    </row>
    <row r="153" spans="1:4" hidden="1" x14ac:dyDescent="0.2">
      <c r="A153" s="106"/>
      <c r="B153" s="111">
        <f t="shared" si="0"/>
        <v>2030</v>
      </c>
      <c r="C153" s="112">
        <f>[6]С2.5!$O$11</f>
        <v>0</v>
      </c>
      <c r="D153" s="90"/>
    </row>
    <row r="154" spans="1:4" hidden="1" x14ac:dyDescent="0.2">
      <c r="A154" s="106"/>
      <c r="B154" s="111">
        <f t="shared" si="0"/>
        <v>2031</v>
      </c>
      <c r="C154" s="112">
        <f>[6]С2.5!$P$11</f>
        <v>0</v>
      </c>
      <c r="D154" s="90"/>
    </row>
    <row r="155" spans="1:4" hidden="1" x14ac:dyDescent="0.2">
      <c r="A155" s="90"/>
      <c r="B155" s="111">
        <f t="shared" si="0"/>
        <v>2032</v>
      </c>
      <c r="C155" s="112">
        <f>[6]С2.5!$Q$11</f>
        <v>0</v>
      </c>
      <c r="D155" s="90"/>
    </row>
    <row r="156" spans="1:4" hidden="1" x14ac:dyDescent="0.2">
      <c r="A156" s="90"/>
      <c r="B156" s="111">
        <f t="shared" si="0"/>
        <v>2033</v>
      </c>
      <c r="C156" s="112">
        <f>[6]С2.5!$R$11</f>
        <v>0</v>
      </c>
      <c r="D156" s="90"/>
    </row>
    <row r="157" spans="1:4" hidden="1" x14ac:dyDescent="0.2">
      <c r="B157" s="111">
        <f t="shared" si="0"/>
        <v>2034</v>
      </c>
      <c r="C157" s="112">
        <f>[6]С2.5!$S$11</f>
        <v>0</v>
      </c>
    </row>
    <row r="158" spans="1:4" hidden="1" x14ac:dyDescent="0.2">
      <c r="B158" s="111">
        <f t="shared" si="0"/>
        <v>2035</v>
      </c>
      <c r="C158" s="112">
        <f>[6]С2.5!$T$11</f>
        <v>0</v>
      </c>
    </row>
    <row r="159" spans="1:4" hidden="1" x14ac:dyDescent="0.2">
      <c r="B159" s="111">
        <f t="shared" si="0"/>
        <v>2036</v>
      </c>
      <c r="C159" s="112">
        <f>[6]С2.5!$U$11</f>
        <v>0</v>
      </c>
    </row>
    <row r="160" spans="1:4" hidden="1" x14ac:dyDescent="0.2">
      <c r="B160" s="111">
        <f t="shared" si="0"/>
        <v>2037</v>
      </c>
      <c r="C160" s="112">
        <f>[6]С2.5!$V$11</f>
        <v>0</v>
      </c>
    </row>
    <row r="161" spans="2:3" hidden="1" x14ac:dyDescent="0.2">
      <c r="B161" s="111">
        <f t="shared" si="0"/>
        <v>2038</v>
      </c>
      <c r="C161" s="112">
        <f>[6]С2.5!$W$11</f>
        <v>0</v>
      </c>
    </row>
    <row r="162" spans="2:3" hidden="1" x14ac:dyDescent="0.2">
      <c r="B162" s="111">
        <f t="shared" si="0"/>
        <v>2039</v>
      </c>
      <c r="C162" s="112">
        <f>[6]С2.5!$X$11</f>
        <v>0</v>
      </c>
    </row>
    <row r="163" spans="2:3" hidden="1" x14ac:dyDescent="0.2">
      <c r="B163" s="111">
        <f t="shared" si="0"/>
        <v>2040</v>
      </c>
      <c r="C163" s="112">
        <f>[6]С2.5!$Y$11</f>
        <v>0</v>
      </c>
    </row>
    <row r="164" spans="2:3" hidden="1" x14ac:dyDescent="0.2">
      <c r="B164" s="111">
        <f t="shared" si="0"/>
        <v>2041</v>
      </c>
      <c r="C164" s="112">
        <f>[6]С2.5!$Z$11</f>
        <v>0</v>
      </c>
    </row>
    <row r="165" spans="2:3" hidden="1" x14ac:dyDescent="0.2">
      <c r="B165" s="111">
        <f t="shared" si="0"/>
        <v>2042</v>
      </c>
      <c r="C165" s="112">
        <f>[6]С2.5!$AA$11</f>
        <v>0</v>
      </c>
    </row>
    <row r="166" spans="2:3" hidden="1" x14ac:dyDescent="0.2">
      <c r="B166" s="111">
        <f t="shared" si="0"/>
        <v>2043</v>
      </c>
      <c r="C166" s="112">
        <f>[6]С2.5!$AB$11</f>
        <v>0</v>
      </c>
    </row>
    <row r="167" spans="2:3" hidden="1" x14ac:dyDescent="0.2">
      <c r="B167" s="111">
        <f t="shared" si="0"/>
        <v>2044</v>
      </c>
      <c r="C167" s="112">
        <f>[6]С2.5!$AC$11</f>
        <v>0</v>
      </c>
    </row>
    <row r="168" spans="2:3" hidden="1" x14ac:dyDescent="0.2">
      <c r="B168" s="111">
        <f t="shared" si="0"/>
        <v>2045</v>
      </c>
      <c r="C168" s="112">
        <f>[6]С2.5!$AD$11</f>
        <v>0</v>
      </c>
    </row>
    <row r="169" spans="2:3" hidden="1" x14ac:dyDescent="0.2">
      <c r="B169" s="111">
        <f t="shared" si="0"/>
        <v>2046</v>
      </c>
      <c r="C169" s="112">
        <f>[6]С2.5!$AE$11</f>
        <v>0</v>
      </c>
    </row>
    <row r="170" spans="2:3" hidden="1" x14ac:dyDescent="0.2">
      <c r="B170" s="111">
        <f t="shared" si="0"/>
        <v>2047</v>
      </c>
      <c r="C170" s="112">
        <f>[6]С2.5!$AF$11</f>
        <v>0</v>
      </c>
    </row>
    <row r="171" spans="2:3" hidden="1" x14ac:dyDescent="0.2">
      <c r="B171" s="111">
        <f t="shared" si="0"/>
        <v>2048</v>
      </c>
      <c r="C171" s="112">
        <f>[6]С2.5!$AG$11</f>
        <v>0</v>
      </c>
    </row>
    <row r="172" spans="2:3" hidden="1" x14ac:dyDescent="0.2">
      <c r="B172" s="111">
        <f t="shared" si="0"/>
        <v>2049</v>
      </c>
      <c r="C172" s="112">
        <f>[6]С2.5!$AH$11</f>
        <v>0</v>
      </c>
    </row>
    <row r="173" spans="2:3" hidden="1" x14ac:dyDescent="0.2">
      <c r="B173" s="111">
        <f t="shared" si="0"/>
        <v>2050</v>
      </c>
      <c r="C173" s="112">
        <f>[6]С2.5!$AI$11</f>
        <v>0</v>
      </c>
    </row>
    <row r="174" spans="2:3" hidden="1" x14ac:dyDescent="0.2">
      <c r="B174" s="111">
        <f t="shared" si="0"/>
        <v>2051</v>
      </c>
      <c r="C174" s="112">
        <f>[6]С2.5!$AJ$11</f>
        <v>0</v>
      </c>
    </row>
    <row r="175" spans="2:3" hidden="1" x14ac:dyDescent="0.2">
      <c r="B175" s="111">
        <f t="shared" si="0"/>
        <v>2052</v>
      </c>
      <c r="C175" s="112">
        <f>[6]С2.5!$AK$11</f>
        <v>0</v>
      </c>
    </row>
    <row r="176" spans="2:3" hidden="1" x14ac:dyDescent="0.2">
      <c r="B176" s="111">
        <f t="shared" si="0"/>
        <v>2053</v>
      </c>
      <c r="C176" s="112">
        <f>[6]С2.5!$AL$11</f>
        <v>0</v>
      </c>
    </row>
    <row r="177" spans="2:3" hidden="1" x14ac:dyDescent="0.2">
      <c r="B177" s="111">
        <f t="shared" si="0"/>
        <v>2054</v>
      </c>
      <c r="C177" s="112">
        <f>[6]С2.5!$AM$11</f>
        <v>0</v>
      </c>
    </row>
    <row r="178" spans="2:3" hidden="1" x14ac:dyDescent="0.2">
      <c r="B178" s="111">
        <f t="shared" si="0"/>
        <v>2055</v>
      </c>
      <c r="C178" s="112">
        <f>[6]С2.5!$AN$11</f>
        <v>0</v>
      </c>
    </row>
    <row r="179" spans="2:3" hidden="1" x14ac:dyDescent="0.2">
      <c r="B179" s="111">
        <f t="shared" si="0"/>
        <v>2056</v>
      </c>
      <c r="C179" s="112">
        <f>[6]С2.5!$AO$11</f>
        <v>0</v>
      </c>
    </row>
    <row r="180" spans="2:3" hidden="1" x14ac:dyDescent="0.2">
      <c r="B180" s="111">
        <f t="shared" si="0"/>
        <v>2057</v>
      </c>
      <c r="C180" s="112">
        <f>[6]С2.5!$AP$11</f>
        <v>0</v>
      </c>
    </row>
    <row r="181" spans="2:3" hidden="1" x14ac:dyDescent="0.2">
      <c r="B181" s="111">
        <f t="shared" si="0"/>
        <v>2058</v>
      </c>
      <c r="C181" s="112">
        <f>[6]С2.5!$AQ$11</f>
        <v>0</v>
      </c>
    </row>
    <row r="182" spans="2:3" hidden="1" x14ac:dyDescent="0.2">
      <c r="B182" s="111">
        <f t="shared" si="0"/>
        <v>2059</v>
      </c>
      <c r="C182" s="112">
        <f>[6]С2.5!$AR$11</f>
        <v>0</v>
      </c>
    </row>
    <row r="183" spans="2:3" hidden="1" x14ac:dyDescent="0.2">
      <c r="B183" s="111">
        <f t="shared" si="0"/>
        <v>2060</v>
      </c>
      <c r="C183" s="112">
        <f>[6]С2.5!$AS$11</f>
        <v>0</v>
      </c>
    </row>
    <row r="184" spans="2:3" hidden="1" x14ac:dyDescent="0.2">
      <c r="B184" s="111">
        <f t="shared" si="0"/>
        <v>2061</v>
      </c>
      <c r="C184" s="112">
        <f>[6]С2.5!$AT$11</f>
        <v>0</v>
      </c>
    </row>
    <row r="185" spans="2:3" hidden="1" x14ac:dyDescent="0.2">
      <c r="B185" s="111">
        <f t="shared" si="0"/>
        <v>2062</v>
      </c>
      <c r="C185" s="112">
        <f>[6]С2.5!$AU$11</f>
        <v>0</v>
      </c>
    </row>
    <row r="186" spans="2:3" hidden="1" x14ac:dyDescent="0.2">
      <c r="B186" s="111">
        <f t="shared" si="0"/>
        <v>2063</v>
      </c>
      <c r="C186" s="112">
        <f>[6]С2.5!$AV$11</f>
        <v>0</v>
      </c>
    </row>
    <row r="187" spans="2:3" hidden="1" x14ac:dyDescent="0.2">
      <c r="B187" s="111">
        <f t="shared" si="0"/>
        <v>2064</v>
      </c>
      <c r="C187" s="112">
        <f>[6]С2.5!$AW$11</f>
        <v>0</v>
      </c>
    </row>
    <row r="188" spans="2:3" hidden="1" x14ac:dyDescent="0.2">
      <c r="B188" s="111">
        <f t="shared" si="0"/>
        <v>2065</v>
      </c>
      <c r="C188" s="112">
        <f>[6]С2.5!$AX$11</f>
        <v>0</v>
      </c>
    </row>
    <row r="189" spans="2:3" hidden="1" x14ac:dyDescent="0.2">
      <c r="B189" s="111">
        <f t="shared" si="0"/>
        <v>2066</v>
      </c>
      <c r="C189" s="112">
        <f>[6]С2.5!$AY$11</f>
        <v>0</v>
      </c>
    </row>
    <row r="190" spans="2:3" hidden="1" x14ac:dyDescent="0.2">
      <c r="B190" s="111">
        <f t="shared" si="0"/>
        <v>2067</v>
      </c>
      <c r="C190" s="112">
        <f>[6]С2.5!$AZ$11</f>
        <v>0</v>
      </c>
    </row>
    <row r="191" spans="2:3" hidden="1" x14ac:dyDescent="0.2">
      <c r="B191" s="111">
        <f t="shared" si="0"/>
        <v>2068</v>
      </c>
      <c r="C191" s="112">
        <f>[6]С2.5!$BA$11</f>
        <v>0</v>
      </c>
    </row>
    <row r="192" spans="2:3" hidden="1" x14ac:dyDescent="0.2">
      <c r="B192" s="111">
        <f t="shared" si="0"/>
        <v>2069</v>
      </c>
      <c r="C192" s="112">
        <f>[6]С2.5!$BB$11</f>
        <v>0</v>
      </c>
    </row>
    <row r="193" spans="2:3" hidden="1" x14ac:dyDescent="0.2">
      <c r="B193" s="111">
        <f t="shared" si="0"/>
        <v>2070</v>
      </c>
      <c r="C193" s="112">
        <f>[6]С2.5!$BC$11</f>
        <v>0</v>
      </c>
    </row>
    <row r="194" spans="2:3" hidden="1" x14ac:dyDescent="0.2">
      <c r="B194" s="111">
        <f t="shared" si="0"/>
        <v>2071</v>
      </c>
      <c r="C194" s="112">
        <f>[6]С2.5!$BD$11</f>
        <v>0</v>
      </c>
    </row>
    <row r="195" spans="2:3" hidden="1" x14ac:dyDescent="0.2">
      <c r="B195" s="111">
        <f t="shared" si="0"/>
        <v>2072</v>
      </c>
      <c r="C195" s="112">
        <f>[6]С2.5!$BE$11</f>
        <v>0</v>
      </c>
    </row>
    <row r="196" spans="2:3" hidden="1" x14ac:dyDescent="0.2">
      <c r="B196" s="111">
        <f t="shared" si="0"/>
        <v>2073</v>
      </c>
      <c r="C196" s="112">
        <f>[6]С2.5!$BF$11</f>
        <v>0</v>
      </c>
    </row>
    <row r="197" spans="2:3" hidden="1" x14ac:dyDescent="0.2">
      <c r="B197" s="111">
        <f t="shared" si="0"/>
        <v>2074</v>
      </c>
      <c r="C197" s="112">
        <f>[6]С2.5!$BG$11</f>
        <v>0</v>
      </c>
    </row>
    <row r="198" spans="2:3" hidden="1" x14ac:dyDescent="0.2">
      <c r="B198" s="111">
        <f t="shared" si="0"/>
        <v>2075</v>
      </c>
      <c r="C198" s="112">
        <f>[6]С2.5!$BH$11</f>
        <v>0</v>
      </c>
    </row>
    <row r="199" spans="2:3" hidden="1" x14ac:dyDescent="0.2">
      <c r="B199" s="111">
        <f t="shared" si="0"/>
        <v>2076</v>
      </c>
      <c r="C199" s="112">
        <f>[6]С2.5!$BI$11</f>
        <v>0</v>
      </c>
    </row>
    <row r="200" spans="2:3" hidden="1" x14ac:dyDescent="0.2">
      <c r="B200" s="111">
        <f t="shared" si="0"/>
        <v>2077</v>
      </c>
      <c r="C200" s="112">
        <f>[6]С2.5!$BJ$11</f>
        <v>0</v>
      </c>
    </row>
    <row r="201" spans="2:3" hidden="1" x14ac:dyDescent="0.2">
      <c r="B201" s="111">
        <f t="shared" si="0"/>
        <v>2078</v>
      </c>
      <c r="C201" s="112">
        <f>[6]С2.5!$BK$11</f>
        <v>0</v>
      </c>
    </row>
    <row r="202" spans="2:3" hidden="1" x14ac:dyDescent="0.2">
      <c r="B202" s="111">
        <f t="shared" si="0"/>
        <v>2079</v>
      </c>
      <c r="C202" s="112">
        <f>[6]С2.5!$BL$11</f>
        <v>0</v>
      </c>
    </row>
    <row r="203" spans="2:3" hidden="1" x14ac:dyDescent="0.2">
      <c r="B203" s="111">
        <f t="shared" si="0"/>
        <v>2080</v>
      </c>
      <c r="C203" s="112">
        <f>[6]С2.5!$BM$11</f>
        <v>0</v>
      </c>
    </row>
    <row r="204" spans="2:3" hidden="1" x14ac:dyDescent="0.2">
      <c r="B204" s="111">
        <f t="shared" si="0"/>
        <v>2081</v>
      </c>
      <c r="C204" s="112">
        <f>[6]С2.5!$BN$11</f>
        <v>0</v>
      </c>
    </row>
    <row r="205" spans="2:3" hidden="1" x14ac:dyDescent="0.2">
      <c r="B205" s="111">
        <f t="shared" si="0"/>
        <v>2082</v>
      </c>
      <c r="C205" s="112">
        <f>[6]С2.5!$BO$11</f>
        <v>0</v>
      </c>
    </row>
    <row r="206" spans="2:3" hidden="1" x14ac:dyDescent="0.2">
      <c r="B206" s="111">
        <f t="shared" si="0"/>
        <v>2083</v>
      </c>
      <c r="C206" s="112">
        <f>[6]С2.5!$BP$11</f>
        <v>0</v>
      </c>
    </row>
    <row r="207" spans="2:3" hidden="1" x14ac:dyDescent="0.2">
      <c r="B207" s="111">
        <f t="shared" si="0"/>
        <v>2084</v>
      </c>
      <c r="C207" s="112">
        <f>[6]С2.5!$BQ$11</f>
        <v>0</v>
      </c>
    </row>
    <row r="208" spans="2:3" hidden="1" x14ac:dyDescent="0.2">
      <c r="B208" s="111">
        <f t="shared" si="0"/>
        <v>2085</v>
      </c>
      <c r="C208" s="112">
        <f>[6]С2.5!$BR$11</f>
        <v>0</v>
      </c>
    </row>
    <row r="209" spans="2:3" hidden="1" x14ac:dyDescent="0.2">
      <c r="B209" s="111">
        <f t="shared" ref="B209:B223" si="1">B208+1</f>
        <v>2086</v>
      </c>
      <c r="C209" s="112">
        <f>[6]С2.5!$BS$11</f>
        <v>0</v>
      </c>
    </row>
    <row r="210" spans="2:3" hidden="1" x14ac:dyDescent="0.2">
      <c r="B210" s="111">
        <f t="shared" si="1"/>
        <v>2087</v>
      </c>
      <c r="C210" s="112">
        <f>[6]С2.5!$BT$11</f>
        <v>0</v>
      </c>
    </row>
    <row r="211" spans="2:3" hidden="1" x14ac:dyDescent="0.2">
      <c r="B211" s="111">
        <f t="shared" si="1"/>
        <v>2088</v>
      </c>
      <c r="C211" s="112">
        <f>[6]С2.5!$BU$11</f>
        <v>0</v>
      </c>
    </row>
    <row r="212" spans="2:3" hidden="1" x14ac:dyDescent="0.2">
      <c r="B212" s="111">
        <f t="shared" si="1"/>
        <v>2089</v>
      </c>
      <c r="C212" s="112">
        <f>[6]С2.5!$BV$11</f>
        <v>0</v>
      </c>
    </row>
    <row r="213" spans="2:3" hidden="1" x14ac:dyDescent="0.2">
      <c r="B213" s="111">
        <f t="shared" si="1"/>
        <v>2090</v>
      </c>
      <c r="C213" s="112">
        <f>[6]С2.5!$BW$11</f>
        <v>0</v>
      </c>
    </row>
    <row r="214" spans="2:3" hidden="1" x14ac:dyDescent="0.2">
      <c r="B214" s="111">
        <f t="shared" si="1"/>
        <v>2091</v>
      </c>
      <c r="C214" s="112">
        <f>[6]С2.5!$BX$11</f>
        <v>0</v>
      </c>
    </row>
    <row r="215" spans="2:3" hidden="1" x14ac:dyDescent="0.2">
      <c r="B215" s="111">
        <f t="shared" si="1"/>
        <v>2092</v>
      </c>
      <c r="C215" s="112">
        <f>[6]С2.5!$BY$11</f>
        <v>0</v>
      </c>
    </row>
    <row r="216" spans="2:3" hidden="1" x14ac:dyDescent="0.2">
      <c r="B216" s="111">
        <f t="shared" si="1"/>
        <v>2093</v>
      </c>
      <c r="C216" s="112">
        <f>[6]С2.5!$BZ$11</f>
        <v>0</v>
      </c>
    </row>
    <row r="217" spans="2:3" hidden="1" x14ac:dyDescent="0.2">
      <c r="B217" s="111">
        <f t="shared" si="1"/>
        <v>2094</v>
      </c>
      <c r="C217" s="112">
        <f>[6]С2.5!$CA$11</f>
        <v>0</v>
      </c>
    </row>
    <row r="218" spans="2:3" hidden="1" x14ac:dyDescent="0.2">
      <c r="B218" s="111">
        <f t="shared" si="1"/>
        <v>2095</v>
      </c>
      <c r="C218" s="112">
        <f>[6]С2.5!$CB$11</f>
        <v>0</v>
      </c>
    </row>
    <row r="219" spans="2:3" hidden="1" x14ac:dyDescent="0.2">
      <c r="B219" s="111">
        <f t="shared" si="1"/>
        <v>2096</v>
      </c>
      <c r="C219" s="112">
        <f>[6]С2.5!$CC$11</f>
        <v>0</v>
      </c>
    </row>
    <row r="220" spans="2:3" hidden="1" x14ac:dyDescent="0.2">
      <c r="B220" s="111">
        <f t="shared" si="1"/>
        <v>2097</v>
      </c>
      <c r="C220" s="112">
        <f>[6]С2.5!$CD$11</f>
        <v>0</v>
      </c>
    </row>
    <row r="221" spans="2:3" hidden="1" x14ac:dyDescent="0.2">
      <c r="B221" s="111">
        <f t="shared" si="1"/>
        <v>2098</v>
      </c>
      <c r="C221" s="112">
        <f>[6]С2.5!$CE$11</f>
        <v>0</v>
      </c>
    </row>
    <row r="222" spans="2:3" hidden="1" x14ac:dyDescent="0.2">
      <c r="B222" s="111">
        <f t="shared" si="1"/>
        <v>2099</v>
      </c>
      <c r="C222" s="112">
        <f>[6]С2.5!$CF$11</f>
        <v>0</v>
      </c>
    </row>
    <row r="223" spans="2:3" ht="13.5" hidden="1" thickBot="1" x14ac:dyDescent="0.25">
      <c r="B223" s="113">
        <f t="shared" si="1"/>
        <v>2100</v>
      </c>
      <c r="C223" s="114">
        <f>[6]С2.5!$CG$11</f>
        <v>0</v>
      </c>
    </row>
    <row r="224" spans="2:3" hidden="1" x14ac:dyDescent="0.2">
      <c r="C224" s="117"/>
    </row>
    <row r="225" spans="3:3" hidden="1" x14ac:dyDescent="0.2">
      <c r="C225" s="117"/>
    </row>
    <row r="226" spans="3:3" x14ac:dyDescent="0.2">
      <c r="C226" s="117"/>
    </row>
  </sheetData>
  <mergeCells count="9">
    <mergeCell ref="B1:C1"/>
    <mergeCell ref="A14:C14"/>
    <mergeCell ref="B27:C27"/>
    <mergeCell ref="B141:C141"/>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6]!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mc:AlternateContent xmlns:mc="http://schemas.openxmlformats.org/markup-compatibility/2006">
          <mc:Choice Requires="x14">
            <control shapeId="10242" r:id="rId5" name="Button 2">
              <controlPr defaultSize="0" print="0" autoFill="0" autoPict="0" macro="[6]!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226"/>
  <sheetViews>
    <sheetView zoomScale="85" zoomScaleNormal="85" workbookViewId="0">
      <pane ySplit="8" topLeftCell="A9" activePane="bottomLeft" state="frozen"/>
      <selection pane="bottomLeft" activeCell="C17" sqref="C17"/>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44" t="s">
        <v>1</v>
      </c>
      <c r="C1" s="144"/>
    </row>
    <row r="2" spans="1:3" x14ac:dyDescent="0.2">
      <c r="A2" s="3"/>
      <c r="B2" s="4" t="s">
        <v>2</v>
      </c>
      <c r="C2" s="5">
        <f ca="1">TODAY()</f>
        <v>44944</v>
      </c>
    </row>
    <row r="3" spans="1:3" x14ac:dyDescent="0.2">
      <c r="A3" s="3"/>
      <c r="B3" s="6" t="s">
        <v>3</v>
      </c>
    </row>
    <row r="4" spans="1:3" ht="25.5" x14ac:dyDescent="0.2">
      <c r="A4" s="8"/>
      <c r="B4" s="9" t="str">
        <f>[12]И1!D13</f>
        <v>Субъект Российской Федерации</v>
      </c>
      <c r="C4" s="10" t="str">
        <f>[12]И1!E13</f>
        <v>Новосибирская область</v>
      </c>
    </row>
    <row r="5" spans="1:3" ht="38.25" x14ac:dyDescent="0.2">
      <c r="A5" s="8"/>
      <c r="B5" s="9" t="str">
        <f>[12]И1!D14</f>
        <v>Тип муниципального образования (выберите из списка)</v>
      </c>
      <c r="C5" s="10" t="str">
        <f>[12]И1!E14</f>
        <v>село Мамоново, Маслянинский муниципальный район</v>
      </c>
    </row>
    <row r="6" spans="1:3" x14ac:dyDescent="0.2">
      <c r="A6" s="8"/>
      <c r="B6" s="9" t="str">
        <f>IF([12]И1!E15="","",[12]И1!D15)</f>
        <v/>
      </c>
      <c r="C6" s="10" t="str">
        <f>IF([12]И1!E15="","",[12]И1!E15)</f>
        <v/>
      </c>
    </row>
    <row r="7" spans="1:3" x14ac:dyDescent="0.2">
      <c r="A7" s="8"/>
      <c r="B7" s="9" t="str">
        <f>[12]И1!D16</f>
        <v>Код ОКТМО</v>
      </c>
      <c r="C7" s="11" t="str">
        <f>[12]И1!E16</f>
        <v>50636425101</v>
      </c>
    </row>
    <row r="8" spans="1:3" x14ac:dyDescent="0.2">
      <c r="A8" s="8"/>
      <c r="B8" s="12" t="str">
        <f>[12]И1!D17</f>
        <v>Система теплоснабжения</v>
      </c>
      <c r="C8" s="13">
        <f>[12]И1!E17</f>
        <v>0</v>
      </c>
    </row>
    <row r="9" spans="1:3" x14ac:dyDescent="0.2">
      <c r="A9" s="8"/>
      <c r="B9" s="9" t="str">
        <f>[12]И1!D8</f>
        <v>Период регулирования (i)-й</v>
      </c>
      <c r="C9" s="14">
        <f>[12]И1!E8</f>
        <v>2023</v>
      </c>
    </row>
    <row r="10" spans="1:3" x14ac:dyDescent="0.2">
      <c r="A10" s="8"/>
      <c r="B10" s="9" t="str">
        <f>[12]И1!D9</f>
        <v>Период регулирования (i-1)-й</v>
      </c>
      <c r="C10" s="14">
        <f>[12]И1!E9</f>
        <v>2022</v>
      </c>
    </row>
    <row r="11" spans="1:3" x14ac:dyDescent="0.2">
      <c r="A11" s="8"/>
      <c r="B11" s="9" t="str">
        <f>[12]И1!D10</f>
        <v>Период регулирования (i-2)-й</v>
      </c>
      <c r="C11" s="14">
        <f>[12]И1!E10</f>
        <v>2021</v>
      </c>
    </row>
    <row r="12" spans="1:3" x14ac:dyDescent="0.2">
      <c r="A12" s="8"/>
      <c r="B12" s="9" t="str">
        <f>[12]И1!D11</f>
        <v>Базовый год (б)</v>
      </c>
      <c r="C12" s="14">
        <f>[12]И1!E11</f>
        <v>2019</v>
      </c>
    </row>
    <row r="13" spans="1:3" ht="38.25" x14ac:dyDescent="0.2">
      <c r="A13" s="8"/>
      <c r="B13" s="9" t="str">
        <f>[12]И1!D18</f>
        <v>Вид топлива, использование которого преобладает в системе теплоснабжения</v>
      </c>
      <c r="C13" s="15" t="str">
        <f>[12]С1.1!E13</f>
        <v>уголь (вид угля не указан в топливном балансе)</v>
      </c>
    </row>
    <row r="14" spans="1:3" ht="31.7" customHeight="1" thickBot="1" x14ac:dyDescent="0.25">
      <c r="A14" s="145" t="s">
        <v>4</v>
      </c>
      <c r="B14" s="145"/>
      <c r="C14" s="145"/>
    </row>
    <row r="15" spans="1:3" x14ac:dyDescent="0.2">
      <c r="A15" s="16" t="s">
        <v>5</v>
      </c>
      <c r="B15" s="17" t="s">
        <v>6</v>
      </c>
      <c r="C15" s="18" t="s">
        <v>7</v>
      </c>
    </row>
    <row r="16" spans="1:3" x14ac:dyDescent="0.2">
      <c r="A16" s="19">
        <v>1</v>
      </c>
      <c r="B16" s="20">
        <v>2</v>
      </c>
      <c r="C16" s="21">
        <v>3</v>
      </c>
    </row>
    <row r="17" spans="1:3" x14ac:dyDescent="0.2">
      <c r="A17" s="22">
        <v>1</v>
      </c>
      <c r="B17" s="23" t="s">
        <v>8</v>
      </c>
      <c r="C17" s="24">
        <f>SUM(C18:C22)</f>
        <v>4068.5781422794066</v>
      </c>
    </row>
    <row r="18" spans="1:3" ht="42.75" x14ac:dyDescent="0.2">
      <c r="A18" s="22" t="s">
        <v>9</v>
      </c>
      <c r="B18" s="25" t="s">
        <v>10</v>
      </c>
      <c r="C18" s="26">
        <f>[12]С1!F12</f>
        <v>931.18468604281509</v>
      </c>
    </row>
    <row r="19" spans="1:3" ht="42.75" x14ac:dyDescent="0.2">
      <c r="A19" s="22" t="s">
        <v>11</v>
      </c>
      <c r="B19" s="25" t="s">
        <v>12</v>
      </c>
      <c r="C19" s="26">
        <f>[12]С2!F12</f>
        <v>2110.2454761302993</v>
      </c>
    </row>
    <row r="20" spans="1:3" ht="30" x14ac:dyDescent="0.2">
      <c r="A20" s="22" t="s">
        <v>13</v>
      </c>
      <c r="B20" s="25" t="s">
        <v>14</v>
      </c>
      <c r="C20" s="26">
        <f>[12]С3!F12</f>
        <v>504.95006339690781</v>
      </c>
    </row>
    <row r="21" spans="1:3" ht="42.75" x14ac:dyDescent="0.2">
      <c r="A21" s="22" t="s">
        <v>15</v>
      </c>
      <c r="B21" s="25" t="s">
        <v>16</v>
      </c>
      <c r="C21" s="26">
        <f>[12]С4!F12</f>
        <v>442.42187470390604</v>
      </c>
    </row>
    <row r="22" spans="1:3" ht="30" x14ac:dyDescent="0.2">
      <c r="A22" s="22" t="s">
        <v>17</v>
      </c>
      <c r="B22" s="25" t="s">
        <v>18</v>
      </c>
      <c r="C22" s="26">
        <f>[12]С5!F12</f>
        <v>79.776042005478558</v>
      </c>
    </row>
    <row r="23" spans="1:3" ht="43.5" thickBot="1" x14ac:dyDescent="0.25">
      <c r="A23" s="27" t="s">
        <v>19</v>
      </c>
      <c r="B23" s="28" t="s">
        <v>20</v>
      </c>
      <c r="C23" s="29" t="str">
        <f>[12]С6!F12</f>
        <v>-</v>
      </c>
    </row>
    <row r="24" spans="1:3" ht="13.5" thickBot="1" x14ac:dyDescent="0.25">
      <c r="A24" s="3"/>
    </row>
    <row r="25" spans="1:3" x14ac:dyDescent="0.2">
      <c r="A25" s="16" t="s">
        <v>5</v>
      </c>
      <c r="B25" s="30" t="s">
        <v>6</v>
      </c>
      <c r="C25" s="31" t="s">
        <v>7</v>
      </c>
    </row>
    <row r="26" spans="1:3" x14ac:dyDescent="0.2">
      <c r="A26" s="19">
        <v>1</v>
      </c>
      <c r="B26" s="32">
        <v>2</v>
      </c>
      <c r="C26" s="33">
        <v>3</v>
      </c>
    </row>
    <row r="27" spans="1:3" ht="30" customHeight="1" x14ac:dyDescent="0.2">
      <c r="A27" s="22">
        <v>1</v>
      </c>
      <c r="B27" s="146" t="s">
        <v>21</v>
      </c>
      <c r="C27" s="146"/>
    </row>
    <row r="28" spans="1:3" x14ac:dyDescent="0.2">
      <c r="A28" s="22" t="s">
        <v>9</v>
      </c>
      <c r="B28" s="34" t="s">
        <v>22</v>
      </c>
      <c r="C28" s="35">
        <f>[12]С1.1!E16</f>
        <v>5100</v>
      </c>
    </row>
    <row r="29" spans="1:3" ht="42.75" x14ac:dyDescent="0.2">
      <c r="A29" s="22" t="s">
        <v>11</v>
      </c>
      <c r="B29" s="34" t="s">
        <v>23</v>
      </c>
      <c r="C29" s="35">
        <f>[12]С1.1!E27</f>
        <v>2503.8000000000002</v>
      </c>
    </row>
    <row r="30" spans="1:3" ht="17.25" x14ac:dyDescent="0.2">
      <c r="A30" s="22" t="s">
        <v>13</v>
      </c>
      <c r="B30" s="34" t="s">
        <v>24</v>
      </c>
      <c r="C30" s="36">
        <f>[12]С1.1!E19</f>
        <v>0.59499999999999997</v>
      </c>
    </row>
    <row r="31" spans="1:3" ht="17.25" x14ac:dyDescent="0.2">
      <c r="A31" s="22" t="s">
        <v>15</v>
      </c>
      <c r="B31" s="34" t="s">
        <v>25</v>
      </c>
      <c r="C31" s="36">
        <f>[12]С1.1!E20</f>
        <v>-0.113</v>
      </c>
    </row>
    <row r="32" spans="1:3" ht="30" x14ac:dyDescent="0.2">
      <c r="A32" s="22" t="s">
        <v>17</v>
      </c>
      <c r="B32" s="37" t="s">
        <v>26</v>
      </c>
      <c r="C32" s="38">
        <f>[12]С1!F13</f>
        <v>176.4</v>
      </c>
    </row>
    <row r="33" spans="1:3" x14ac:dyDescent="0.2">
      <c r="A33" s="22" t="s">
        <v>19</v>
      </c>
      <c r="B33" s="37" t="s">
        <v>27</v>
      </c>
      <c r="C33" s="39">
        <f>[12]С1!F16</f>
        <v>7000</v>
      </c>
    </row>
    <row r="34" spans="1:3" ht="14.25" x14ac:dyDescent="0.2">
      <c r="A34" s="22" t="s">
        <v>28</v>
      </c>
      <c r="B34" s="40" t="s">
        <v>29</v>
      </c>
      <c r="C34" s="41">
        <f>[12]С1!F17</f>
        <v>0.72857142857142854</v>
      </c>
    </row>
    <row r="35" spans="1:3" ht="15.75" x14ac:dyDescent="0.2">
      <c r="A35" s="42" t="s">
        <v>30</v>
      </c>
      <c r="B35" s="43" t="s">
        <v>31</v>
      </c>
      <c r="C35" s="41">
        <f>[12]С1!F20</f>
        <v>21.588411179999994</v>
      </c>
    </row>
    <row r="36" spans="1:3" ht="15.75" x14ac:dyDescent="0.2">
      <c r="A36" s="42" t="s">
        <v>32</v>
      </c>
      <c r="B36" s="44" t="s">
        <v>33</v>
      </c>
      <c r="C36" s="41">
        <f>[12]С1!F21</f>
        <v>20.818139999999996</v>
      </c>
    </row>
    <row r="37" spans="1:3" ht="14.25" x14ac:dyDescent="0.2">
      <c r="A37" s="42" t="s">
        <v>34</v>
      </c>
      <c r="B37" s="45" t="s">
        <v>35</v>
      </c>
      <c r="C37" s="41">
        <f>[12]С1!F22</f>
        <v>1.0369999999999999</v>
      </c>
    </row>
    <row r="38" spans="1:3" ht="53.25" thickBot="1" x14ac:dyDescent="0.25">
      <c r="A38" s="27" t="s">
        <v>36</v>
      </c>
      <c r="B38" s="46" t="s">
        <v>37</v>
      </c>
      <c r="C38" s="47">
        <f>[12]С1!F23</f>
        <v>1.0469999999999999</v>
      </c>
    </row>
    <row r="39" spans="1:3" ht="13.5" thickBot="1" x14ac:dyDescent="0.25">
      <c r="A39" s="48"/>
      <c r="B39" s="49"/>
      <c r="C39" s="50"/>
    </row>
    <row r="40" spans="1:3" ht="30" customHeight="1" x14ac:dyDescent="0.2">
      <c r="A40" s="51" t="s">
        <v>38</v>
      </c>
      <c r="B40" s="142" t="s">
        <v>39</v>
      </c>
      <c r="C40" s="142"/>
    </row>
    <row r="41" spans="1:3" ht="25.5" x14ac:dyDescent="0.2">
      <c r="A41" s="22" t="s">
        <v>40</v>
      </c>
      <c r="B41" s="37" t="s">
        <v>41</v>
      </c>
      <c r="C41" s="52" t="str">
        <f>[12]С2.1!E12</f>
        <v>V</v>
      </c>
    </row>
    <row r="42" spans="1:3" ht="25.5" x14ac:dyDescent="0.2">
      <c r="A42" s="22" t="s">
        <v>42</v>
      </c>
      <c r="B42" s="34" t="s">
        <v>43</v>
      </c>
      <c r="C42" s="52" t="str">
        <f>[12]С2.1!E13</f>
        <v>6 и менее баллов</v>
      </c>
    </row>
    <row r="43" spans="1:3" ht="25.5" x14ac:dyDescent="0.2">
      <c r="A43" s="22" t="s">
        <v>44</v>
      </c>
      <c r="B43" s="34" t="s">
        <v>45</v>
      </c>
      <c r="C43" s="52" t="str">
        <f>[12]С2.1!E14</f>
        <v>от 200 до 500</v>
      </c>
    </row>
    <row r="44" spans="1:3" ht="25.5" x14ac:dyDescent="0.2">
      <c r="A44" s="22" t="s">
        <v>46</v>
      </c>
      <c r="B44" s="34" t="s">
        <v>47</v>
      </c>
      <c r="C44" s="53" t="str">
        <f>[12]С2.1!E15</f>
        <v>нет</v>
      </c>
    </row>
    <row r="45" spans="1:3" ht="30" x14ac:dyDescent="0.2">
      <c r="A45" s="22" t="s">
        <v>48</v>
      </c>
      <c r="B45" s="34" t="s">
        <v>49</v>
      </c>
      <c r="C45" s="35">
        <f>[12]С2!F18</f>
        <v>32402.627334033532</v>
      </c>
    </row>
    <row r="46" spans="1:3" ht="30" x14ac:dyDescent="0.2">
      <c r="A46" s="22" t="s">
        <v>50</v>
      </c>
      <c r="B46" s="54" t="s">
        <v>51</v>
      </c>
      <c r="C46" s="35">
        <f>IF([12]С2!F19&gt;0,[12]С2!F19,[12]С2!F20)</f>
        <v>23441.524932855718</v>
      </c>
    </row>
    <row r="47" spans="1:3" ht="25.5" x14ac:dyDescent="0.2">
      <c r="A47" s="22" t="s">
        <v>52</v>
      </c>
      <c r="B47" s="55" t="s">
        <v>53</v>
      </c>
      <c r="C47" s="35">
        <f>[12]С2.1!E19</f>
        <v>-37</v>
      </c>
    </row>
    <row r="48" spans="1:3" ht="25.5" x14ac:dyDescent="0.2">
      <c r="A48" s="22" t="s">
        <v>54</v>
      </c>
      <c r="B48" s="55" t="s">
        <v>55</v>
      </c>
      <c r="C48" s="35" t="str">
        <f>[12]С2.1!E22</f>
        <v>нет</v>
      </c>
    </row>
    <row r="49" spans="1:3" ht="38.25" x14ac:dyDescent="0.2">
      <c r="A49" s="22" t="s">
        <v>56</v>
      </c>
      <c r="B49" s="56" t="s">
        <v>57</v>
      </c>
      <c r="C49" s="35">
        <f>[12]С2.2!E10</f>
        <v>1287</v>
      </c>
    </row>
    <row r="50" spans="1:3" ht="25.5" x14ac:dyDescent="0.2">
      <c r="A50" s="22" t="s">
        <v>58</v>
      </c>
      <c r="B50" s="57" t="s">
        <v>59</v>
      </c>
      <c r="C50" s="35">
        <f>[12]С2.2!E12</f>
        <v>5.97</v>
      </c>
    </row>
    <row r="51" spans="1:3" ht="52.5" x14ac:dyDescent="0.2">
      <c r="A51" s="22" t="s">
        <v>60</v>
      </c>
      <c r="B51" s="58" t="s">
        <v>61</v>
      </c>
      <c r="C51" s="35">
        <f>[12]С2.2!E13</f>
        <v>1</v>
      </c>
    </row>
    <row r="52" spans="1:3" ht="27.75" x14ac:dyDescent="0.2">
      <c r="A52" s="22" t="s">
        <v>62</v>
      </c>
      <c r="B52" s="57" t="s">
        <v>63</v>
      </c>
      <c r="C52" s="35">
        <f>[12]С2.2!E14</f>
        <v>12104</v>
      </c>
    </row>
    <row r="53" spans="1:3" ht="25.5" x14ac:dyDescent="0.2">
      <c r="A53" s="22" t="s">
        <v>64</v>
      </c>
      <c r="B53" s="58" t="s">
        <v>65</v>
      </c>
      <c r="C53" s="36">
        <f>[12]С2.2!E15</f>
        <v>4.8000000000000001E-2</v>
      </c>
    </row>
    <row r="54" spans="1:3" x14ac:dyDescent="0.2">
      <c r="A54" s="22" t="s">
        <v>66</v>
      </c>
      <c r="B54" s="58" t="s">
        <v>67</v>
      </c>
      <c r="C54" s="35">
        <f>[12]С2.2!E16</f>
        <v>1</v>
      </c>
    </row>
    <row r="55" spans="1:3" ht="15.75" x14ac:dyDescent="0.2">
      <c r="A55" s="22" t="s">
        <v>68</v>
      </c>
      <c r="B55" s="59" t="s">
        <v>69</v>
      </c>
      <c r="C55" s="35">
        <f>[12]С2!F21</f>
        <v>1</v>
      </c>
    </row>
    <row r="56" spans="1:3" ht="30" x14ac:dyDescent="0.2">
      <c r="A56" s="60" t="s">
        <v>70</v>
      </c>
      <c r="B56" s="34" t="s">
        <v>71</v>
      </c>
      <c r="C56" s="35">
        <f>[12]С2!F13</f>
        <v>169640.22915965237</v>
      </c>
    </row>
    <row r="57" spans="1:3" ht="30" x14ac:dyDescent="0.2">
      <c r="A57" s="60" t="s">
        <v>72</v>
      </c>
      <c r="B57" s="59" t="s">
        <v>73</v>
      </c>
      <c r="C57" s="35">
        <f>[12]С2!F14</f>
        <v>113455</v>
      </c>
    </row>
    <row r="58" spans="1:3" ht="15.75" x14ac:dyDescent="0.2">
      <c r="A58" s="60" t="s">
        <v>74</v>
      </c>
      <c r="B58" s="61" t="s">
        <v>75</v>
      </c>
      <c r="C58" s="41">
        <f>[12]С2!F15</f>
        <v>1.071</v>
      </c>
    </row>
    <row r="59" spans="1:3" ht="15.75" x14ac:dyDescent="0.2">
      <c r="A59" s="60" t="s">
        <v>76</v>
      </c>
      <c r="B59" s="61" t="s">
        <v>77</v>
      </c>
      <c r="C59" s="41">
        <f>[12]С2!F16</f>
        <v>1</v>
      </c>
    </row>
    <row r="60" spans="1:3" ht="17.25" x14ac:dyDescent="0.2">
      <c r="A60" s="60" t="s">
        <v>78</v>
      </c>
      <c r="B60" s="59" t="s">
        <v>79</v>
      </c>
      <c r="C60" s="35">
        <f>[12]С2!F17</f>
        <v>1.01</v>
      </c>
    </row>
    <row r="61" spans="1:3" s="64" customFormat="1" ht="14.25" x14ac:dyDescent="0.2">
      <c r="A61" s="60" t="s">
        <v>80</v>
      </c>
      <c r="B61" s="62" t="s">
        <v>81</v>
      </c>
      <c r="C61" s="63">
        <f>[12]С2!F33</f>
        <v>10</v>
      </c>
    </row>
    <row r="62" spans="1:3" ht="30" x14ac:dyDescent="0.2">
      <c r="A62" s="60" t="s">
        <v>82</v>
      </c>
      <c r="B62" s="65" t="s">
        <v>83</v>
      </c>
      <c r="C62" s="35">
        <f>[12]С2!F26</f>
        <v>1598.6279958476514</v>
      </c>
    </row>
    <row r="63" spans="1:3" ht="17.25" x14ac:dyDescent="0.2">
      <c r="A63" s="60" t="s">
        <v>84</v>
      </c>
      <c r="B63" s="54" t="s">
        <v>85</v>
      </c>
      <c r="C63" s="35">
        <f>[12]С2!F27</f>
        <v>0.27536184199999997</v>
      </c>
    </row>
    <row r="64" spans="1:3" ht="17.25" x14ac:dyDescent="0.2">
      <c r="A64" s="60" t="s">
        <v>86</v>
      </c>
      <c r="B64" s="59" t="s">
        <v>87</v>
      </c>
      <c r="C64" s="63">
        <f>[12]С2!F28</f>
        <v>4200</v>
      </c>
    </row>
    <row r="65" spans="1:3" ht="42.75" x14ac:dyDescent="0.2">
      <c r="A65" s="60" t="s">
        <v>88</v>
      </c>
      <c r="B65" s="34" t="s">
        <v>89</v>
      </c>
      <c r="C65" s="35">
        <f>[12]С2!F22</f>
        <v>35717.748653137714</v>
      </c>
    </row>
    <row r="66" spans="1:3" ht="30" x14ac:dyDescent="0.2">
      <c r="A66" s="60" t="s">
        <v>90</v>
      </c>
      <c r="B66" s="61" t="s">
        <v>91</v>
      </c>
      <c r="C66" s="35">
        <f>[12]С2!F23</f>
        <v>1990</v>
      </c>
    </row>
    <row r="67" spans="1:3" ht="30" x14ac:dyDescent="0.2">
      <c r="A67" s="60" t="s">
        <v>92</v>
      </c>
      <c r="B67" s="54" t="s">
        <v>93</v>
      </c>
      <c r="C67" s="35">
        <f>[12]С2.1!E27</f>
        <v>14307.876789999998</v>
      </c>
    </row>
    <row r="68" spans="1:3" ht="38.25" x14ac:dyDescent="0.2">
      <c r="A68" s="60" t="s">
        <v>94</v>
      </c>
      <c r="B68" s="66" t="s">
        <v>95</v>
      </c>
      <c r="C68" s="53">
        <f>[12]С2.3!E21</f>
        <v>0</v>
      </c>
    </row>
    <row r="69" spans="1:3" ht="25.5" x14ac:dyDescent="0.2">
      <c r="A69" s="60" t="s">
        <v>96</v>
      </c>
      <c r="B69" s="67" t="s">
        <v>97</v>
      </c>
      <c r="C69" s="68">
        <f>[12]С2.3!E11</f>
        <v>9.89</v>
      </c>
    </row>
    <row r="70" spans="1:3" ht="25.5" x14ac:dyDescent="0.2">
      <c r="A70" s="60" t="s">
        <v>98</v>
      </c>
      <c r="B70" s="67" t="s">
        <v>99</v>
      </c>
      <c r="C70" s="63">
        <f>[12]С2.3!E13</f>
        <v>300</v>
      </c>
    </row>
    <row r="71" spans="1:3" ht="25.5" x14ac:dyDescent="0.2">
      <c r="A71" s="60" t="s">
        <v>100</v>
      </c>
      <c r="B71" s="66" t="s">
        <v>101</v>
      </c>
      <c r="C71" s="69">
        <f>IF([12]С2.3!E22&gt;0,[12]С2.3!E22,[12]С2.3!E14)</f>
        <v>61211</v>
      </c>
    </row>
    <row r="72" spans="1:3" ht="38.25" x14ac:dyDescent="0.2">
      <c r="A72" s="60" t="s">
        <v>102</v>
      </c>
      <c r="B72" s="66" t="s">
        <v>103</v>
      </c>
      <c r="C72" s="69">
        <f>IF([12]С2.3!E23&gt;0,[12]С2.3!E23,[12]С2.3!E15)</f>
        <v>45675</v>
      </c>
    </row>
    <row r="73" spans="1:3" ht="30" x14ac:dyDescent="0.2">
      <c r="A73" s="60" t="s">
        <v>104</v>
      </c>
      <c r="B73" s="54" t="s">
        <v>105</v>
      </c>
      <c r="C73" s="35">
        <f>[12]С2.1!E28</f>
        <v>9541.9567200000001</v>
      </c>
    </row>
    <row r="74" spans="1:3" ht="38.25" x14ac:dyDescent="0.2">
      <c r="A74" s="60" t="s">
        <v>106</v>
      </c>
      <c r="B74" s="66" t="s">
        <v>107</v>
      </c>
      <c r="C74" s="53">
        <f>[12]С2.3!E25</f>
        <v>0</v>
      </c>
    </row>
    <row r="75" spans="1:3" ht="25.5" x14ac:dyDescent="0.2">
      <c r="A75" s="60" t="s">
        <v>108</v>
      </c>
      <c r="B75" s="67" t="s">
        <v>109</v>
      </c>
      <c r="C75" s="68">
        <f>[12]С2.3!E12</f>
        <v>0.56000000000000005</v>
      </c>
    </row>
    <row r="76" spans="1:3" ht="25.5" x14ac:dyDescent="0.2">
      <c r="A76" s="60" t="s">
        <v>110</v>
      </c>
      <c r="B76" s="67" t="s">
        <v>99</v>
      </c>
      <c r="C76" s="63">
        <f>[12]С2.3!E13</f>
        <v>300</v>
      </c>
    </row>
    <row r="77" spans="1:3" ht="25.5" x14ac:dyDescent="0.2">
      <c r="A77" s="60" t="s">
        <v>111</v>
      </c>
      <c r="B77" s="70" t="s">
        <v>112</v>
      </c>
      <c r="C77" s="69">
        <f>IF([12]С2.3!E26&gt;0,[12]С2.3!E26,[12]С2.3!E16)</f>
        <v>65637</v>
      </c>
    </row>
    <row r="78" spans="1:3" ht="38.25" x14ac:dyDescent="0.2">
      <c r="A78" s="60" t="s">
        <v>113</v>
      </c>
      <c r="B78" s="70" t="s">
        <v>114</v>
      </c>
      <c r="C78" s="69">
        <f>IF([12]С2.3!E27&gt;0,[12]С2.3!E27,[12]С2.3!E17)</f>
        <v>31684</v>
      </c>
    </row>
    <row r="79" spans="1:3" ht="17.25" x14ac:dyDescent="0.2">
      <c r="A79" s="60" t="s">
        <v>115</v>
      </c>
      <c r="B79" s="34" t="s">
        <v>116</v>
      </c>
      <c r="C79" s="36">
        <f>[12]С2!F29</f>
        <v>0.128978033685065</v>
      </c>
    </row>
    <row r="80" spans="1:3" ht="30" x14ac:dyDescent="0.2">
      <c r="A80" s="60" t="s">
        <v>117</v>
      </c>
      <c r="B80" s="54" t="s">
        <v>118</v>
      </c>
      <c r="C80" s="71">
        <f>[12]С2!F30</f>
        <v>0.11668498168498169</v>
      </c>
    </row>
    <row r="81" spans="1:3" ht="17.25" x14ac:dyDescent="0.2">
      <c r="A81" s="60" t="s">
        <v>119</v>
      </c>
      <c r="B81" s="72" t="s">
        <v>120</v>
      </c>
      <c r="C81" s="36">
        <f>[12]С2!F31</f>
        <v>0.13880000000000001</v>
      </c>
    </row>
    <row r="82" spans="1:3" s="64" customFormat="1" ht="18" thickBot="1" x14ac:dyDescent="0.25">
      <c r="A82" s="73" t="s">
        <v>121</v>
      </c>
      <c r="B82" s="74" t="s">
        <v>122</v>
      </c>
      <c r="C82" s="75">
        <f>[12]С2!F32</f>
        <v>0.12640000000000001</v>
      </c>
    </row>
    <row r="83" spans="1:3" ht="13.5" thickBot="1" x14ac:dyDescent="0.25">
      <c r="A83" s="48"/>
      <c r="B83" s="76"/>
      <c r="C83" s="15"/>
    </row>
    <row r="84" spans="1:3" s="64" customFormat="1" ht="30" customHeight="1" x14ac:dyDescent="0.2">
      <c r="A84" s="77" t="s">
        <v>123</v>
      </c>
      <c r="B84" s="142" t="s">
        <v>124</v>
      </c>
      <c r="C84" s="142"/>
    </row>
    <row r="85" spans="1:3" s="64" customFormat="1" ht="30" x14ac:dyDescent="0.2">
      <c r="A85" s="78" t="s">
        <v>125</v>
      </c>
      <c r="B85" s="34" t="s">
        <v>126</v>
      </c>
      <c r="C85" s="35">
        <f>[12]С3!F14</f>
        <v>7020.1696866647444</v>
      </c>
    </row>
    <row r="86" spans="1:3" s="64" customFormat="1" ht="42.75" x14ac:dyDescent="0.2">
      <c r="A86" s="78" t="s">
        <v>127</v>
      </c>
      <c r="B86" s="54" t="s">
        <v>128</v>
      </c>
      <c r="C86" s="79">
        <f>[12]С3!F15</f>
        <v>0.2</v>
      </c>
    </row>
    <row r="87" spans="1:3" s="64" customFormat="1" ht="14.25" x14ac:dyDescent="0.2">
      <c r="A87" s="78" t="s">
        <v>129</v>
      </c>
      <c r="B87" s="80" t="s">
        <v>130</v>
      </c>
      <c r="C87" s="63">
        <f>[12]С3!F18</f>
        <v>15</v>
      </c>
    </row>
    <row r="88" spans="1:3" s="64" customFormat="1" ht="17.25" x14ac:dyDescent="0.2">
      <c r="A88" s="78" t="s">
        <v>131</v>
      </c>
      <c r="B88" s="34" t="s">
        <v>132</v>
      </c>
      <c r="C88" s="35">
        <f>[12]С3!F19</f>
        <v>3487.1555421534131</v>
      </c>
    </row>
    <row r="89" spans="1:3" s="64" customFormat="1" ht="55.5" x14ac:dyDescent="0.2">
      <c r="A89" s="78" t="s">
        <v>133</v>
      </c>
      <c r="B89" s="54" t="s">
        <v>134</v>
      </c>
      <c r="C89" s="81">
        <f>[12]С3!F20</f>
        <v>2.1999999999999999E-2</v>
      </c>
    </row>
    <row r="90" spans="1:3" s="64" customFormat="1" ht="14.25" x14ac:dyDescent="0.2">
      <c r="A90" s="78" t="s">
        <v>135</v>
      </c>
      <c r="B90" s="59" t="s">
        <v>81</v>
      </c>
      <c r="C90" s="63">
        <f>[12]С3!F21</f>
        <v>10</v>
      </c>
    </row>
    <row r="91" spans="1:3" s="64" customFormat="1" ht="17.25" x14ac:dyDescent="0.2">
      <c r="A91" s="78" t="s">
        <v>136</v>
      </c>
      <c r="B91" s="34" t="s">
        <v>137</v>
      </c>
      <c r="C91" s="35">
        <f>[12]С3!F22</f>
        <v>4.795883987542954</v>
      </c>
    </row>
    <row r="92" spans="1:3" s="64" customFormat="1" ht="55.5" x14ac:dyDescent="0.2">
      <c r="A92" s="78" t="s">
        <v>138</v>
      </c>
      <c r="B92" s="54" t="s">
        <v>139</v>
      </c>
      <c r="C92" s="81">
        <f>[12]С3!F23</f>
        <v>3.0000000000000001E-3</v>
      </c>
    </row>
    <row r="93" spans="1:3" s="64" customFormat="1" ht="27.75" thickBot="1" x14ac:dyDescent="0.25">
      <c r="A93" s="82" t="s">
        <v>140</v>
      </c>
      <c r="B93" s="83" t="s">
        <v>141</v>
      </c>
      <c r="C93" s="84">
        <f>[12]С3!F24</f>
        <v>1598.6279958476514</v>
      </c>
    </row>
    <row r="94" spans="1:3" ht="13.5" thickBot="1" x14ac:dyDescent="0.25">
      <c r="A94" s="48"/>
      <c r="B94" s="76"/>
      <c r="C94" s="15"/>
    </row>
    <row r="95" spans="1:3" ht="30" customHeight="1" x14ac:dyDescent="0.2">
      <c r="A95" s="85" t="s">
        <v>142</v>
      </c>
      <c r="B95" s="142" t="s">
        <v>143</v>
      </c>
      <c r="C95" s="142"/>
    </row>
    <row r="96" spans="1:3" ht="30" x14ac:dyDescent="0.2">
      <c r="A96" s="60" t="s">
        <v>144</v>
      </c>
      <c r="B96" s="34" t="s">
        <v>145</v>
      </c>
      <c r="C96" s="35">
        <f>[12]С4!F16</f>
        <v>1652.5</v>
      </c>
    </row>
    <row r="97" spans="1:3" ht="30" x14ac:dyDescent="0.2">
      <c r="A97" s="60" t="s">
        <v>146</v>
      </c>
      <c r="B97" s="59" t="s">
        <v>147</v>
      </c>
      <c r="C97" s="35">
        <f>[12]С4!F17</f>
        <v>73547</v>
      </c>
    </row>
    <row r="98" spans="1:3" ht="33" x14ac:dyDescent="0.2">
      <c r="A98" s="60" t="s">
        <v>148</v>
      </c>
      <c r="B98" s="59" t="s">
        <v>149</v>
      </c>
      <c r="C98" s="41">
        <f>[12]С4!F18</f>
        <v>0.02</v>
      </c>
    </row>
    <row r="99" spans="1:3" ht="30" x14ac:dyDescent="0.2">
      <c r="A99" s="60" t="s">
        <v>150</v>
      </c>
      <c r="B99" s="59" t="s">
        <v>151</v>
      </c>
      <c r="C99" s="35">
        <f>[12]С4!F19</f>
        <v>12104</v>
      </c>
    </row>
    <row r="100" spans="1:3" ht="28.5" x14ac:dyDescent="0.2">
      <c r="A100" s="60" t="s">
        <v>152</v>
      </c>
      <c r="B100" s="59" t="s">
        <v>153</v>
      </c>
      <c r="C100" s="41">
        <f>[12]С4!F20</f>
        <v>1.4999999999999999E-2</v>
      </c>
    </row>
    <row r="101" spans="1:3" ht="30" x14ac:dyDescent="0.2">
      <c r="A101" s="60" t="s">
        <v>154</v>
      </c>
      <c r="B101" s="34" t="s">
        <v>155</v>
      </c>
      <c r="C101" s="35">
        <f>[12]С4!F21</f>
        <v>1933.1949342509995</v>
      </c>
    </row>
    <row r="102" spans="1:3" ht="24" customHeight="1" x14ac:dyDescent="0.2">
      <c r="A102" s="60" t="s">
        <v>156</v>
      </c>
      <c r="B102" s="54" t="s">
        <v>157</v>
      </c>
      <c r="C102" s="86">
        <f>IF([12]С4.2!F8="да",[12]С4.2!D21,[12]С4.2!D15)</f>
        <v>0</v>
      </c>
    </row>
    <row r="103" spans="1:3" ht="68.25" x14ac:dyDescent="0.2">
      <c r="A103" s="60" t="s">
        <v>158</v>
      </c>
      <c r="B103" s="54" t="s">
        <v>159</v>
      </c>
      <c r="C103" s="35">
        <f>[12]С4!F22</f>
        <v>3.6112641666666665</v>
      </c>
    </row>
    <row r="104" spans="1:3" ht="30" x14ac:dyDescent="0.2">
      <c r="A104" s="60" t="s">
        <v>160</v>
      </c>
      <c r="B104" s="59" t="s">
        <v>161</v>
      </c>
      <c r="C104" s="35">
        <f>[12]С4!F23</f>
        <v>180</v>
      </c>
    </row>
    <row r="105" spans="1:3" ht="14.25" x14ac:dyDescent="0.2">
      <c r="A105" s="60" t="s">
        <v>162</v>
      </c>
      <c r="B105" s="54" t="s">
        <v>163</v>
      </c>
      <c r="C105" s="35">
        <f>[12]С4!F24</f>
        <v>8497.1999999999989</v>
      </c>
    </row>
    <row r="106" spans="1:3" ht="14.25" x14ac:dyDescent="0.2">
      <c r="A106" s="60" t="s">
        <v>164</v>
      </c>
      <c r="B106" s="59" t="s">
        <v>165</v>
      </c>
      <c r="C106" s="41">
        <f>[12]С4!F25</f>
        <v>0.35</v>
      </c>
    </row>
    <row r="107" spans="1:3" ht="17.25" x14ac:dyDescent="0.2">
      <c r="A107" s="60" t="s">
        <v>166</v>
      </c>
      <c r="B107" s="34" t="s">
        <v>167</v>
      </c>
      <c r="C107" s="35">
        <f>[12]С4!F26</f>
        <v>129.865925</v>
      </c>
    </row>
    <row r="108" spans="1:3" ht="25.5" x14ac:dyDescent="0.2">
      <c r="A108" s="60" t="s">
        <v>168</v>
      </c>
      <c r="B108" s="54" t="s">
        <v>95</v>
      </c>
      <c r="C108" s="86">
        <f>[12]С4.3!E16</f>
        <v>0</v>
      </c>
    </row>
    <row r="109" spans="1:3" ht="25.5" x14ac:dyDescent="0.2">
      <c r="A109" s="60" t="s">
        <v>169</v>
      </c>
      <c r="B109" s="54" t="s">
        <v>170</v>
      </c>
      <c r="C109" s="35">
        <f>[12]С4.3!E17</f>
        <v>34.641666666666666</v>
      </c>
    </row>
    <row r="110" spans="1:3" ht="38.25" x14ac:dyDescent="0.2">
      <c r="A110" s="60" t="s">
        <v>171</v>
      </c>
      <c r="B110" s="54" t="s">
        <v>107</v>
      </c>
      <c r="C110" s="86">
        <f>[12]С4.3!E18</f>
        <v>0</v>
      </c>
    </row>
    <row r="111" spans="1:3" x14ac:dyDescent="0.2">
      <c r="A111" s="60" t="s">
        <v>172</v>
      </c>
      <c r="B111" s="54" t="s">
        <v>173</v>
      </c>
      <c r="C111" s="35">
        <f>[12]С4.3!E19</f>
        <v>41.06666666666667</v>
      </c>
    </row>
    <row r="112" spans="1:3" x14ac:dyDescent="0.2">
      <c r="A112" s="60" t="s">
        <v>174</v>
      </c>
      <c r="B112" s="59" t="s">
        <v>175</v>
      </c>
      <c r="C112" s="35">
        <f>[12]С4.3!E11</f>
        <v>1871</v>
      </c>
    </row>
    <row r="113" spans="1:3" x14ac:dyDescent="0.2">
      <c r="A113" s="60" t="s">
        <v>176</v>
      </c>
      <c r="B113" s="59" t="s">
        <v>177</v>
      </c>
      <c r="C113" s="53">
        <f>[12]С4.3!E12</f>
        <v>1636</v>
      </c>
    </row>
    <row r="114" spans="1:3" x14ac:dyDescent="0.2">
      <c r="A114" s="60" t="s">
        <v>178</v>
      </c>
      <c r="B114" s="59" t="s">
        <v>179</v>
      </c>
      <c r="C114" s="53">
        <f>[12]С4.3!E13</f>
        <v>204</v>
      </c>
    </row>
    <row r="115" spans="1:3" ht="30" x14ac:dyDescent="0.2">
      <c r="A115" s="60" t="s">
        <v>180</v>
      </c>
      <c r="B115" s="34" t="s">
        <v>181</v>
      </c>
      <c r="C115" s="35">
        <f>[12]С4!F27</f>
        <v>1413.5806587229636</v>
      </c>
    </row>
    <row r="116" spans="1:3" ht="25.5" x14ac:dyDescent="0.2">
      <c r="A116" s="60" t="s">
        <v>182</v>
      </c>
      <c r="B116" s="54" t="s">
        <v>183</v>
      </c>
      <c r="C116" s="35">
        <f>[12]С4!F28</f>
        <v>1085.6994306627985</v>
      </c>
    </row>
    <row r="117" spans="1:3" ht="42.75" x14ac:dyDescent="0.2">
      <c r="A117" s="60" t="s">
        <v>184</v>
      </c>
      <c r="B117" s="54" t="s">
        <v>185</v>
      </c>
      <c r="C117" s="35">
        <f>[12]С4!F29</f>
        <v>327.8812280601652</v>
      </c>
    </row>
    <row r="118" spans="1:3" ht="30" x14ac:dyDescent="0.2">
      <c r="A118" s="60" t="s">
        <v>186</v>
      </c>
      <c r="B118" s="40" t="s">
        <v>187</v>
      </c>
      <c r="C118" s="35">
        <f>[12]С4!F30</f>
        <v>2120.5178664343093</v>
      </c>
    </row>
    <row r="119" spans="1:3" ht="42.75" x14ac:dyDescent="0.2">
      <c r="A119" s="60" t="s">
        <v>188</v>
      </c>
      <c r="B119" s="87" t="s">
        <v>189</v>
      </c>
      <c r="C119" s="35">
        <f>[12]С4!F33</f>
        <v>1374.0280021926758</v>
      </c>
    </row>
    <row r="120" spans="1:3" ht="30" x14ac:dyDescent="0.2">
      <c r="A120" s="60" t="s">
        <v>190</v>
      </c>
      <c r="B120" s="88" t="s">
        <v>191</v>
      </c>
      <c r="C120" s="35">
        <f>[12]С4!F35</f>
        <v>17.040680999999999</v>
      </c>
    </row>
    <row r="121" spans="1:3" ht="14.25" x14ac:dyDescent="0.2">
      <c r="A121" s="60" t="s">
        <v>192</v>
      </c>
      <c r="B121" s="57" t="s">
        <v>193</v>
      </c>
      <c r="C121" s="35">
        <f>[12]С4!F36</f>
        <v>14319.9</v>
      </c>
    </row>
    <row r="122" spans="1:3" ht="28.5" thickBot="1" x14ac:dyDescent="0.25">
      <c r="A122" s="73" t="s">
        <v>194</v>
      </c>
      <c r="B122" s="89" t="s">
        <v>195</v>
      </c>
      <c r="C122" s="84">
        <f>[12]С4!F37</f>
        <v>1.19</v>
      </c>
    </row>
    <row r="123" spans="1:3" s="90" customFormat="1" ht="13.5" thickBot="1" x14ac:dyDescent="0.25">
      <c r="A123" s="48"/>
      <c r="B123" s="76"/>
      <c r="C123" s="15"/>
    </row>
    <row r="124" spans="1:3" s="64" customFormat="1" ht="30" customHeight="1" x14ac:dyDescent="0.2">
      <c r="A124" s="77" t="s">
        <v>196</v>
      </c>
      <c r="B124" s="142" t="s">
        <v>197</v>
      </c>
      <c r="C124" s="142"/>
    </row>
    <row r="125" spans="1:3" ht="16.5" thickBot="1" x14ac:dyDescent="0.25">
      <c r="A125" s="27" t="s">
        <v>198</v>
      </c>
      <c r="B125" s="91" t="s">
        <v>199</v>
      </c>
      <c r="C125" s="84">
        <f>[12]С5!F17</f>
        <v>0.02</v>
      </c>
    </row>
    <row r="126" spans="1:3" s="90" customFormat="1" ht="13.5" thickBot="1" x14ac:dyDescent="0.25">
      <c r="A126" s="48"/>
      <c r="B126" s="76"/>
      <c r="C126" s="15"/>
    </row>
    <row r="127" spans="1:3" ht="42.75" customHeight="1" x14ac:dyDescent="0.2">
      <c r="A127" s="85" t="s">
        <v>200</v>
      </c>
      <c r="B127" s="143" t="s">
        <v>201</v>
      </c>
      <c r="C127" s="143"/>
    </row>
    <row r="128" spans="1:3" ht="68.25" x14ac:dyDescent="0.2">
      <c r="A128" s="60" t="s">
        <v>202</v>
      </c>
      <c r="B128" s="92" t="s">
        <v>203</v>
      </c>
      <c r="C128" s="35" t="s">
        <v>204</v>
      </c>
    </row>
    <row r="129" spans="1:4" ht="42.75" hidden="1" x14ac:dyDescent="0.2">
      <c r="A129" s="60" t="s">
        <v>205</v>
      </c>
      <c r="B129" s="87" t="s">
        <v>206</v>
      </c>
      <c r="C129" s="93"/>
    </row>
    <row r="130" spans="1:4" ht="69" thickBot="1" x14ac:dyDescent="0.25">
      <c r="A130" s="73" t="s">
        <v>207</v>
      </c>
      <c r="B130" s="94" t="s">
        <v>208</v>
      </c>
      <c r="C130" s="95" t="s">
        <v>204</v>
      </c>
    </row>
    <row r="131" spans="1:4" ht="62.25" hidden="1" customHeight="1" x14ac:dyDescent="0.2">
      <c r="A131" s="96" t="s">
        <v>209</v>
      </c>
      <c r="B131" s="97" t="s">
        <v>210</v>
      </c>
      <c r="C131" s="98"/>
    </row>
    <row r="132" spans="1:4" ht="68.25" hidden="1" x14ac:dyDescent="0.2">
      <c r="A132" s="60" t="s">
        <v>211</v>
      </c>
      <c r="B132" s="87" t="s">
        <v>212</v>
      </c>
      <c r="C132" s="36"/>
    </row>
    <row r="133" spans="1:4" ht="69" hidden="1" thickBot="1" x14ac:dyDescent="0.25">
      <c r="A133" s="73" t="s">
        <v>213</v>
      </c>
      <c r="B133" s="99" t="s">
        <v>214</v>
      </c>
      <c r="C133" s="75"/>
    </row>
    <row r="134" spans="1:4" s="90" customFormat="1" ht="13.5" thickBot="1" x14ac:dyDescent="0.25">
      <c r="A134" s="48"/>
      <c r="B134" s="76"/>
      <c r="C134" s="15"/>
    </row>
    <row r="135" spans="1:4" ht="26.25" customHeight="1" x14ac:dyDescent="0.2">
      <c r="A135" s="85" t="s">
        <v>215</v>
      </c>
      <c r="B135" s="100" t="s">
        <v>216</v>
      </c>
      <c r="C135" s="101">
        <f>[12]С2!F37</f>
        <v>20.818139999999996</v>
      </c>
    </row>
    <row r="136" spans="1:4" ht="14.25" x14ac:dyDescent="0.2">
      <c r="A136" s="60" t="s">
        <v>217</v>
      </c>
      <c r="B136" s="102" t="s">
        <v>218</v>
      </c>
      <c r="C136" s="35">
        <f>[12]С2!F38</f>
        <v>7</v>
      </c>
    </row>
    <row r="137" spans="1:4" ht="17.25" x14ac:dyDescent="0.2">
      <c r="A137" s="60" t="s">
        <v>219</v>
      </c>
      <c r="B137" s="102" t="s">
        <v>220</v>
      </c>
      <c r="C137" s="35">
        <f>[12]С2!F40</f>
        <v>0.97</v>
      </c>
    </row>
    <row r="138" spans="1:4" ht="15" thickBot="1" x14ac:dyDescent="0.25">
      <c r="A138" s="73" t="s">
        <v>221</v>
      </c>
      <c r="B138" s="103" t="s">
        <v>222</v>
      </c>
      <c r="C138" s="47">
        <f>[12]С2!F42</f>
        <v>0.35</v>
      </c>
    </row>
    <row r="139" spans="1:4" s="90" customFormat="1" ht="13.5" thickBot="1" x14ac:dyDescent="0.25">
      <c r="A139" s="48"/>
      <c r="B139" s="76"/>
      <c r="C139" s="15"/>
    </row>
    <row r="140" spans="1:4" ht="30" x14ac:dyDescent="0.2">
      <c r="A140" s="85" t="s">
        <v>223</v>
      </c>
      <c r="B140" s="104" t="s">
        <v>224</v>
      </c>
      <c r="C140" s="105">
        <f>[12]С2!F35</f>
        <v>1.3822747209000001</v>
      </c>
      <c r="D140" s="90"/>
    </row>
    <row r="141" spans="1:4" ht="22.7" customHeight="1" thickBot="1" x14ac:dyDescent="0.25">
      <c r="A141" s="73" t="s">
        <v>225</v>
      </c>
      <c r="B141" s="141" t="s">
        <v>226</v>
      </c>
      <c r="C141" s="141"/>
      <c r="D141" s="90"/>
    </row>
    <row r="142" spans="1:4" ht="13.5" thickBot="1" x14ac:dyDescent="0.25">
      <c r="A142" s="106"/>
      <c r="B142" s="107" t="s">
        <v>0</v>
      </c>
      <c r="C142" s="108"/>
      <c r="D142" s="90"/>
    </row>
    <row r="143" spans="1:4" x14ac:dyDescent="0.2">
      <c r="A143" s="106"/>
      <c r="B143" s="109">
        <v>2020</v>
      </c>
      <c r="C143" s="110">
        <f>[12]С2.5!$E$11</f>
        <v>-2.9000000000000026E-2</v>
      </c>
      <c r="D143" s="90"/>
    </row>
    <row r="144" spans="1:4" x14ac:dyDescent="0.2">
      <c r="A144" s="106"/>
      <c r="B144" s="111">
        <f>B143+1</f>
        <v>2021</v>
      </c>
      <c r="C144" s="112">
        <f>[12]С2.5!$F$11</f>
        <v>0.245</v>
      </c>
      <c r="D144" s="90"/>
    </row>
    <row r="145" spans="1:4" x14ac:dyDescent="0.2">
      <c r="A145" s="106"/>
      <c r="B145" s="111">
        <f t="shared" ref="B145:B208" si="0">B144+1</f>
        <v>2022</v>
      </c>
      <c r="C145" s="112">
        <f>[12]С2.5!$G$11</f>
        <v>0.121</v>
      </c>
      <c r="D145" s="90"/>
    </row>
    <row r="146" spans="1:4" ht="13.5" thickBot="1" x14ac:dyDescent="0.25">
      <c r="A146" s="106"/>
      <c r="B146" s="113">
        <f t="shared" si="0"/>
        <v>2023</v>
      </c>
      <c r="C146" s="114">
        <f>[12]С2.5!$H$11</f>
        <v>0.02</v>
      </c>
      <c r="D146" s="90"/>
    </row>
    <row r="147" spans="1:4" hidden="1" x14ac:dyDescent="0.2">
      <c r="A147" s="106"/>
      <c r="B147" s="115">
        <f t="shared" si="0"/>
        <v>2024</v>
      </c>
      <c r="C147" s="116">
        <f>[12]С2.5!$I$11</f>
        <v>-2.93E-2</v>
      </c>
      <c r="D147" s="90"/>
    </row>
    <row r="148" spans="1:4" hidden="1" x14ac:dyDescent="0.2">
      <c r="A148" s="106"/>
      <c r="B148" s="111">
        <f t="shared" si="0"/>
        <v>2025</v>
      </c>
      <c r="C148" s="112">
        <f>[12]С2.5!$J$11</f>
        <v>0.21215960863291</v>
      </c>
      <c r="D148" s="90"/>
    </row>
    <row r="149" spans="1:4" hidden="1" x14ac:dyDescent="0.2">
      <c r="A149" s="106"/>
      <c r="B149" s="111">
        <f t="shared" si="0"/>
        <v>2026</v>
      </c>
      <c r="C149" s="112">
        <f>[12]С2.5!$K$11</f>
        <v>3.5813361771260002E-2</v>
      </c>
      <c r="D149" s="90"/>
    </row>
    <row r="150" spans="1:4" hidden="1" x14ac:dyDescent="0.2">
      <c r="A150" s="106"/>
      <c r="B150" s="111">
        <f t="shared" si="0"/>
        <v>2027</v>
      </c>
      <c r="C150" s="112">
        <f>[12]С2.5!$L$11</f>
        <v>3.2682303599220003E-2</v>
      </c>
      <c r="D150" s="90"/>
    </row>
    <row r="151" spans="1:4" hidden="1" x14ac:dyDescent="0.2">
      <c r="A151" s="106"/>
      <c r="B151" s="111">
        <f t="shared" si="0"/>
        <v>2028</v>
      </c>
      <c r="C151" s="112">
        <f>[12]С2.5!$M$11</f>
        <v>0</v>
      </c>
      <c r="D151" s="90"/>
    </row>
    <row r="152" spans="1:4" hidden="1" x14ac:dyDescent="0.2">
      <c r="A152" s="106"/>
      <c r="B152" s="111">
        <f t="shared" si="0"/>
        <v>2029</v>
      </c>
      <c r="C152" s="112">
        <f>[12]С2.5!$N$11</f>
        <v>0</v>
      </c>
      <c r="D152" s="90"/>
    </row>
    <row r="153" spans="1:4" hidden="1" x14ac:dyDescent="0.2">
      <c r="A153" s="106"/>
      <c r="B153" s="111">
        <f t="shared" si="0"/>
        <v>2030</v>
      </c>
      <c r="C153" s="112">
        <f>[12]С2.5!$O$11</f>
        <v>0</v>
      </c>
      <c r="D153" s="90"/>
    </row>
    <row r="154" spans="1:4" hidden="1" x14ac:dyDescent="0.2">
      <c r="A154" s="106"/>
      <c r="B154" s="111">
        <f t="shared" si="0"/>
        <v>2031</v>
      </c>
      <c r="C154" s="112">
        <f>[12]С2.5!$P$11</f>
        <v>0</v>
      </c>
      <c r="D154" s="90"/>
    </row>
    <row r="155" spans="1:4" hidden="1" x14ac:dyDescent="0.2">
      <c r="A155" s="90"/>
      <c r="B155" s="111">
        <f t="shared" si="0"/>
        <v>2032</v>
      </c>
      <c r="C155" s="112">
        <f>[12]С2.5!$Q$11</f>
        <v>0</v>
      </c>
      <c r="D155" s="90"/>
    </row>
    <row r="156" spans="1:4" hidden="1" x14ac:dyDescent="0.2">
      <c r="A156" s="90"/>
      <c r="B156" s="111">
        <f t="shared" si="0"/>
        <v>2033</v>
      </c>
      <c r="C156" s="112">
        <f>[12]С2.5!$R$11</f>
        <v>0</v>
      </c>
      <c r="D156" s="90"/>
    </row>
    <row r="157" spans="1:4" hidden="1" x14ac:dyDescent="0.2">
      <c r="B157" s="111">
        <f t="shared" si="0"/>
        <v>2034</v>
      </c>
      <c r="C157" s="112">
        <f>[12]С2.5!$S$11</f>
        <v>0</v>
      </c>
    </row>
    <row r="158" spans="1:4" hidden="1" x14ac:dyDescent="0.2">
      <c r="B158" s="111">
        <f t="shared" si="0"/>
        <v>2035</v>
      </c>
      <c r="C158" s="112">
        <f>[12]С2.5!$T$11</f>
        <v>0</v>
      </c>
    </row>
    <row r="159" spans="1:4" hidden="1" x14ac:dyDescent="0.2">
      <c r="B159" s="111">
        <f t="shared" si="0"/>
        <v>2036</v>
      </c>
      <c r="C159" s="112">
        <f>[12]С2.5!$U$11</f>
        <v>0</v>
      </c>
    </row>
    <row r="160" spans="1:4" hidden="1" x14ac:dyDescent="0.2">
      <c r="B160" s="111">
        <f t="shared" si="0"/>
        <v>2037</v>
      </c>
      <c r="C160" s="112">
        <f>[12]С2.5!$V$11</f>
        <v>0</v>
      </c>
    </row>
    <row r="161" spans="2:3" hidden="1" x14ac:dyDescent="0.2">
      <c r="B161" s="111">
        <f t="shared" si="0"/>
        <v>2038</v>
      </c>
      <c r="C161" s="112">
        <f>[12]С2.5!$W$11</f>
        <v>0</v>
      </c>
    </row>
    <row r="162" spans="2:3" hidden="1" x14ac:dyDescent="0.2">
      <c r="B162" s="111">
        <f t="shared" si="0"/>
        <v>2039</v>
      </c>
      <c r="C162" s="112">
        <f>[12]С2.5!$X$11</f>
        <v>0</v>
      </c>
    </row>
    <row r="163" spans="2:3" hidden="1" x14ac:dyDescent="0.2">
      <c r="B163" s="111">
        <f t="shared" si="0"/>
        <v>2040</v>
      </c>
      <c r="C163" s="112">
        <f>[12]С2.5!$Y$11</f>
        <v>0</v>
      </c>
    </row>
    <row r="164" spans="2:3" hidden="1" x14ac:dyDescent="0.2">
      <c r="B164" s="111">
        <f t="shared" si="0"/>
        <v>2041</v>
      </c>
      <c r="C164" s="112">
        <f>[12]С2.5!$Z$11</f>
        <v>0</v>
      </c>
    </row>
    <row r="165" spans="2:3" hidden="1" x14ac:dyDescent="0.2">
      <c r="B165" s="111">
        <f t="shared" si="0"/>
        <v>2042</v>
      </c>
      <c r="C165" s="112">
        <f>[12]С2.5!$AA$11</f>
        <v>0</v>
      </c>
    </row>
    <row r="166" spans="2:3" hidden="1" x14ac:dyDescent="0.2">
      <c r="B166" s="111">
        <f t="shared" si="0"/>
        <v>2043</v>
      </c>
      <c r="C166" s="112">
        <f>[12]С2.5!$AB$11</f>
        <v>0</v>
      </c>
    </row>
    <row r="167" spans="2:3" hidden="1" x14ac:dyDescent="0.2">
      <c r="B167" s="111">
        <f t="shared" si="0"/>
        <v>2044</v>
      </c>
      <c r="C167" s="112">
        <f>[12]С2.5!$AC$11</f>
        <v>0</v>
      </c>
    </row>
    <row r="168" spans="2:3" hidden="1" x14ac:dyDescent="0.2">
      <c r="B168" s="111">
        <f t="shared" si="0"/>
        <v>2045</v>
      </c>
      <c r="C168" s="112">
        <f>[12]С2.5!$AD$11</f>
        <v>0</v>
      </c>
    </row>
    <row r="169" spans="2:3" hidden="1" x14ac:dyDescent="0.2">
      <c r="B169" s="111">
        <f t="shared" si="0"/>
        <v>2046</v>
      </c>
      <c r="C169" s="112">
        <f>[12]С2.5!$AE$11</f>
        <v>0</v>
      </c>
    </row>
    <row r="170" spans="2:3" hidden="1" x14ac:dyDescent="0.2">
      <c r="B170" s="111">
        <f t="shared" si="0"/>
        <v>2047</v>
      </c>
      <c r="C170" s="112">
        <f>[12]С2.5!$AF$11</f>
        <v>0</v>
      </c>
    </row>
    <row r="171" spans="2:3" hidden="1" x14ac:dyDescent="0.2">
      <c r="B171" s="111">
        <f t="shared" si="0"/>
        <v>2048</v>
      </c>
      <c r="C171" s="112">
        <f>[12]С2.5!$AG$11</f>
        <v>0</v>
      </c>
    </row>
    <row r="172" spans="2:3" hidden="1" x14ac:dyDescent="0.2">
      <c r="B172" s="111">
        <f t="shared" si="0"/>
        <v>2049</v>
      </c>
      <c r="C172" s="112">
        <f>[12]С2.5!$AH$11</f>
        <v>0</v>
      </c>
    </row>
    <row r="173" spans="2:3" hidden="1" x14ac:dyDescent="0.2">
      <c r="B173" s="111">
        <f t="shared" si="0"/>
        <v>2050</v>
      </c>
      <c r="C173" s="112">
        <f>[12]С2.5!$AI$11</f>
        <v>0</v>
      </c>
    </row>
    <row r="174" spans="2:3" hidden="1" x14ac:dyDescent="0.2">
      <c r="B174" s="111">
        <f t="shared" si="0"/>
        <v>2051</v>
      </c>
      <c r="C174" s="112">
        <f>[12]С2.5!$AJ$11</f>
        <v>0</v>
      </c>
    </row>
    <row r="175" spans="2:3" hidden="1" x14ac:dyDescent="0.2">
      <c r="B175" s="111">
        <f t="shared" si="0"/>
        <v>2052</v>
      </c>
      <c r="C175" s="112">
        <f>[12]С2.5!$AK$11</f>
        <v>0</v>
      </c>
    </row>
    <row r="176" spans="2:3" hidden="1" x14ac:dyDescent="0.2">
      <c r="B176" s="111">
        <f t="shared" si="0"/>
        <v>2053</v>
      </c>
      <c r="C176" s="112">
        <f>[12]С2.5!$AL$11</f>
        <v>0</v>
      </c>
    </row>
    <row r="177" spans="2:3" hidden="1" x14ac:dyDescent="0.2">
      <c r="B177" s="111">
        <f t="shared" si="0"/>
        <v>2054</v>
      </c>
      <c r="C177" s="112">
        <f>[12]С2.5!$AM$11</f>
        <v>0</v>
      </c>
    </row>
    <row r="178" spans="2:3" hidden="1" x14ac:dyDescent="0.2">
      <c r="B178" s="111">
        <f t="shared" si="0"/>
        <v>2055</v>
      </c>
      <c r="C178" s="112">
        <f>[12]С2.5!$AN$11</f>
        <v>0</v>
      </c>
    </row>
    <row r="179" spans="2:3" hidden="1" x14ac:dyDescent="0.2">
      <c r="B179" s="111">
        <f t="shared" si="0"/>
        <v>2056</v>
      </c>
      <c r="C179" s="112">
        <f>[12]С2.5!$AO$11</f>
        <v>0</v>
      </c>
    </row>
    <row r="180" spans="2:3" hidden="1" x14ac:dyDescent="0.2">
      <c r="B180" s="111">
        <f t="shared" si="0"/>
        <v>2057</v>
      </c>
      <c r="C180" s="112">
        <f>[12]С2.5!$AP$11</f>
        <v>0</v>
      </c>
    </row>
    <row r="181" spans="2:3" hidden="1" x14ac:dyDescent="0.2">
      <c r="B181" s="111">
        <f t="shared" si="0"/>
        <v>2058</v>
      </c>
      <c r="C181" s="112">
        <f>[12]С2.5!$AQ$11</f>
        <v>0</v>
      </c>
    </row>
    <row r="182" spans="2:3" hidden="1" x14ac:dyDescent="0.2">
      <c r="B182" s="111">
        <f t="shared" si="0"/>
        <v>2059</v>
      </c>
      <c r="C182" s="112">
        <f>[12]С2.5!$AR$11</f>
        <v>0</v>
      </c>
    </row>
    <row r="183" spans="2:3" hidden="1" x14ac:dyDescent="0.2">
      <c r="B183" s="111">
        <f t="shared" si="0"/>
        <v>2060</v>
      </c>
      <c r="C183" s="112">
        <f>[12]С2.5!$AS$11</f>
        <v>0</v>
      </c>
    </row>
    <row r="184" spans="2:3" hidden="1" x14ac:dyDescent="0.2">
      <c r="B184" s="111">
        <f t="shared" si="0"/>
        <v>2061</v>
      </c>
      <c r="C184" s="112">
        <f>[12]С2.5!$AT$11</f>
        <v>0</v>
      </c>
    </row>
    <row r="185" spans="2:3" hidden="1" x14ac:dyDescent="0.2">
      <c r="B185" s="111">
        <f t="shared" si="0"/>
        <v>2062</v>
      </c>
      <c r="C185" s="112">
        <f>[12]С2.5!$AU$11</f>
        <v>0</v>
      </c>
    </row>
    <row r="186" spans="2:3" hidden="1" x14ac:dyDescent="0.2">
      <c r="B186" s="111">
        <f t="shared" si="0"/>
        <v>2063</v>
      </c>
      <c r="C186" s="112">
        <f>[12]С2.5!$AV$11</f>
        <v>0</v>
      </c>
    </row>
    <row r="187" spans="2:3" hidden="1" x14ac:dyDescent="0.2">
      <c r="B187" s="111">
        <f t="shared" si="0"/>
        <v>2064</v>
      </c>
      <c r="C187" s="112">
        <f>[12]С2.5!$AW$11</f>
        <v>0</v>
      </c>
    </row>
    <row r="188" spans="2:3" hidden="1" x14ac:dyDescent="0.2">
      <c r="B188" s="111">
        <f t="shared" si="0"/>
        <v>2065</v>
      </c>
      <c r="C188" s="112">
        <f>[12]С2.5!$AX$11</f>
        <v>0</v>
      </c>
    </row>
    <row r="189" spans="2:3" hidden="1" x14ac:dyDescent="0.2">
      <c r="B189" s="111">
        <f t="shared" si="0"/>
        <v>2066</v>
      </c>
      <c r="C189" s="112">
        <f>[12]С2.5!$AY$11</f>
        <v>0</v>
      </c>
    </row>
    <row r="190" spans="2:3" hidden="1" x14ac:dyDescent="0.2">
      <c r="B190" s="111">
        <f t="shared" si="0"/>
        <v>2067</v>
      </c>
      <c r="C190" s="112">
        <f>[12]С2.5!$AZ$11</f>
        <v>0</v>
      </c>
    </row>
    <row r="191" spans="2:3" hidden="1" x14ac:dyDescent="0.2">
      <c r="B191" s="111">
        <f t="shared" si="0"/>
        <v>2068</v>
      </c>
      <c r="C191" s="112">
        <f>[12]С2.5!$BA$11</f>
        <v>0</v>
      </c>
    </row>
    <row r="192" spans="2:3" hidden="1" x14ac:dyDescent="0.2">
      <c r="B192" s="111">
        <f t="shared" si="0"/>
        <v>2069</v>
      </c>
      <c r="C192" s="112">
        <f>[12]С2.5!$BB$11</f>
        <v>0</v>
      </c>
    </row>
    <row r="193" spans="2:3" hidden="1" x14ac:dyDescent="0.2">
      <c r="B193" s="111">
        <f t="shared" si="0"/>
        <v>2070</v>
      </c>
      <c r="C193" s="112">
        <f>[12]С2.5!$BC$11</f>
        <v>0</v>
      </c>
    </row>
    <row r="194" spans="2:3" hidden="1" x14ac:dyDescent="0.2">
      <c r="B194" s="111">
        <f t="shared" si="0"/>
        <v>2071</v>
      </c>
      <c r="C194" s="112">
        <f>[12]С2.5!$BD$11</f>
        <v>0</v>
      </c>
    </row>
    <row r="195" spans="2:3" hidden="1" x14ac:dyDescent="0.2">
      <c r="B195" s="111">
        <f t="shared" si="0"/>
        <v>2072</v>
      </c>
      <c r="C195" s="112">
        <f>[12]С2.5!$BE$11</f>
        <v>0</v>
      </c>
    </row>
    <row r="196" spans="2:3" hidden="1" x14ac:dyDescent="0.2">
      <c r="B196" s="111">
        <f t="shared" si="0"/>
        <v>2073</v>
      </c>
      <c r="C196" s="112">
        <f>[12]С2.5!$BF$11</f>
        <v>0</v>
      </c>
    </row>
    <row r="197" spans="2:3" hidden="1" x14ac:dyDescent="0.2">
      <c r="B197" s="111">
        <f t="shared" si="0"/>
        <v>2074</v>
      </c>
      <c r="C197" s="112">
        <f>[12]С2.5!$BG$11</f>
        <v>0</v>
      </c>
    </row>
    <row r="198" spans="2:3" hidden="1" x14ac:dyDescent="0.2">
      <c r="B198" s="111">
        <f t="shared" si="0"/>
        <v>2075</v>
      </c>
      <c r="C198" s="112">
        <f>[12]С2.5!$BH$11</f>
        <v>0</v>
      </c>
    </row>
    <row r="199" spans="2:3" hidden="1" x14ac:dyDescent="0.2">
      <c r="B199" s="111">
        <f t="shared" si="0"/>
        <v>2076</v>
      </c>
      <c r="C199" s="112">
        <f>[12]С2.5!$BI$11</f>
        <v>0</v>
      </c>
    </row>
    <row r="200" spans="2:3" hidden="1" x14ac:dyDescent="0.2">
      <c r="B200" s="111">
        <f t="shared" si="0"/>
        <v>2077</v>
      </c>
      <c r="C200" s="112">
        <f>[12]С2.5!$BJ$11</f>
        <v>0</v>
      </c>
    </row>
    <row r="201" spans="2:3" hidden="1" x14ac:dyDescent="0.2">
      <c r="B201" s="111">
        <f t="shared" si="0"/>
        <v>2078</v>
      </c>
      <c r="C201" s="112">
        <f>[12]С2.5!$BK$11</f>
        <v>0</v>
      </c>
    </row>
    <row r="202" spans="2:3" hidden="1" x14ac:dyDescent="0.2">
      <c r="B202" s="111">
        <f t="shared" si="0"/>
        <v>2079</v>
      </c>
      <c r="C202" s="112">
        <f>[12]С2.5!$BL$11</f>
        <v>0</v>
      </c>
    </row>
    <row r="203" spans="2:3" hidden="1" x14ac:dyDescent="0.2">
      <c r="B203" s="111">
        <f t="shared" si="0"/>
        <v>2080</v>
      </c>
      <c r="C203" s="112">
        <f>[12]С2.5!$BM$11</f>
        <v>0</v>
      </c>
    </row>
    <row r="204" spans="2:3" hidden="1" x14ac:dyDescent="0.2">
      <c r="B204" s="111">
        <f t="shared" si="0"/>
        <v>2081</v>
      </c>
      <c r="C204" s="112">
        <f>[12]С2.5!$BN$11</f>
        <v>0</v>
      </c>
    </row>
    <row r="205" spans="2:3" hidden="1" x14ac:dyDescent="0.2">
      <c r="B205" s="111">
        <f t="shared" si="0"/>
        <v>2082</v>
      </c>
      <c r="C205" s="112">
        <f>[12]С2.5!$BO$11</f>
        <v>0</v>
      </c>
    </row>
    <row r="206" spans="2:3" hidden="1" x14ac:dyDescent="0.2">
      <c r="B206" s="111">
        <f t="shared" si="0"/>
        <v>2083</v>
      </c>
      <c r="C206" s="112">
        <f>[12]С2.5!$BP$11</f>
        <v>0</v>
      </c>
    </row>
    <row r="207" spans="2:3" hidden="1" x14ac:dyDescent="0.2">
      <c r="B207" s="111">
        <f t="shared" si="0"/>
        <v>2084</v>
      </c>
      <c r="C207" s="112">
        <f>[12]С2.5!$BQ$11</f>
        <v>0</v>
      </c>
    </row>
    <row r="208" spans="2:3" hidden="1" x14ac:dyDescent="0.2">
      <c r="B208" s="111">
        <f t="shared" si="0"/>
        <v>2085</v>
      </c>
      <c r="C208" s="112">
        <f>[12]С2.5!$BR$11</f>
        <v>0</v>
      </c>
    </row>
    <row r="209" spans="2:3" hidden="1" x14ac:dyDescent="0.2">
      <c r="B209" s="111">
        <f t="shared" ref="B209:B223" si="1">B208+1</f>
        <v>2086</v>
      </c>
      <c r="C209" s="112">
        <f>[12]С2.5!$BS$11</f>
        <v>0</v>
      </c>
    </row>
    <row r="210" spans="2:3" hidden="1" x14ac:dyDescent="0.2">
      <c r="B210" s="111">
        <f t="shared" si="1"/>
        <v>2087</v>
      </c>
      <c r="C210" s="112">
        <f>[12]С2.5!$BT$11</f>
        <v>0</v>
      </c>
    </row>
    <row r="211" spans="2:3" hidden="1" x14ac:dyDescent="0.2">
      <c r="B211" s="111">
        <f t="shared" si="1"/>
        <v>2088</v>
      </c>
      <c r="C211" s="112">
        <f>[12]С2.5!$BU$11</f>
        <v>0</v>
      </c>
    </row>
    <row r="212" spans="2:3" hidden="1" x14ac:dyDescent="0.2">
      <c r="B212" s="111">
        <f t="shared" si="1"/>
        <v>2089</v>
      </c>
      <c r="C212" s="112">
        <f>[12]С2.5!$BV$11</f>
        <v>0</v>
      </c>
    </row>
    <row r="213" spans="2:3" hidden="1" x14ac:dyDescent="0.2">
      <c r="B213" s="111">
        <f t="shared" si="1"/>
        <v>2090</v>
      </c>
      <c r="C213" s="112">
        <f>[12]С2.5!$BW$11</f>
        <v>0</v>
      </c>
    </row>
    <row r="214" spans="2:3" hidden="1" x14ac:dyDescent="0.2">
      <c r="B214" s="111">
        <f t="shared" si="1"/>
        <v>2091</v>
      </c>
      <c r="C214" s="112">
        <f>[12]С2.5!$BX$11</f>
        <v>0</v>
      </c>
    </row>
    <row r="215" spans="2:3" hidden="1" x14ac:dyDescent="0.2">
      <c r="B215" s="111">
        <f t="shared" si="1"/>
        <v>2092</v>
      </c>
      <c r="C215" s="112">
        <f>[12]С2.5!$BY$11</f>
        <v>0</v>
      </c>
    </row>
    <row r="216" spans="2:3" hidden="1" x14ac:dyDescent="0.2">
      <c r="B216" s="111">
        <f t="shared" si="1"/>
        <v>2093</v>
      </c>
      <c r="C216" s="112">
        <f>[12]С2.5!$BZ$11</f>
        <v>0</v>
      </c>
    </row>
    <row r="217" spans="2:3" hidden="1" x14ac:dyDescent="0.2">
      <c r="B217" s="111">
        <f t="shared" si="1"/>
        <v>2094</v>
      </c>
      <c r="C217" s="112">
        <f>[12]С2.5!$CA$11</f>
        <v>0</v>
      </c>
    </row>
    <row r="218" spans="2:3" hidden="1" x14ac:dyDescent="0.2">
      <c r="B218" s="111">
        <f t="shared" si="1"/>
        <v>2095</v>
      </c>
      <c r="C218" s="112">
        <f>[12]С2.5!$CB$11</f>
        <v>0</v>
      </c>
    </row>
    <row r="219" spans="2:3" hidden="1" x14ac:dyDescent="0.2">
      <c r="B219" s="111">
        <f t="shared" si="1"/>
        <v>2096</v>
      </c>
      <c r="C219" s="112">
        <f>[12]С2.5!$CC$11</f>
        <v>0</v>
      </c>
    </row>
    <row r="220" spans="2:3" hidden="1" x14ac:dyDescent="0.2">
      <c r="B220" s="111">
        <f t="shared" si="1"/>
        <v>2097</v>
      </c>
      <c r="C220" s="112">
        <f>[12]С2.5!$CD$11</f>
        <v>0</v>
      </c>
    </row>
    <row r="221" spans="2:3" hidden="1" x14ac:dyDescent="0.2">
      <c r="B221" s="111">
        <f t="shared" si="1"/>
        <v>2098</v>
      </c>
      <c r="C221" s="112">
        <f>[12]С2.5!$CE$11</f>
        <v>0</v>
      </c>
    </row>
    <row r="222" spans="2:3" hidden="1" x14ac:dyDescent="0.2">
      <c r="B222" s="111">
        <f t="shared" si="1"/>
        <v>2099</v>
      </c>
      <c r="C222" s="112">
        <f>[12]С2.5!$CF$11</f>
        <v>0</v>
      </c>
    </row>
    <row r="223" spans="2:3" ht="13.5" hidden="1" thickBot="1" x14ac:dyDescent="0.25">
      <c r="B223" s="113">
        <f t="shared" si="1"/>
        <v>2100</v>
      </c>
      <c r="C223" s="114">
        <f>[12]С2.5!$CG$11</f>
        <v>0</v>
      </c>
    </row>
    <row r="224" spans="2:3" hidden="1" x14ac:dyDescent="0.2">
      <c r="C224" s="117"/>
    </row>
    <row r="225" spans="3:3" hidden="1" x14ac:dyDescent="0.2">
      <c r="C225" s="117"/>
    </row>
    <row r="226" spans="3:3" x14ac:dyDescent="0.2">
      <c r="C226" s="117"/>
    </row>
  </sheetData>
  <mergeCells count="9">
    <mergeCell ref="B1:C1"/>
    <mergeCell ref="A14:C14"/>
    <mergeCell ref="B27:C27"/>
    <mergeCell ref="B141:C141"/>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Button 1">
              <controlPr defaultSize="0" print="0" autoFill="0" autoPict="0" macro="[12]!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226"/>
  <sheetViews>
    <sheetView tabSelected="1" zoomScale="85" zoomScaleNormal="85" workbookViewId="0">
      <pane ySplit="8" topLeftCell="A9" activePane="bottomLeft" state="frozen"/>
      <selection pane="bottomLeft" activeCell="C17" sqref="C17"/>
    </sheetView>
  </sheetViews>
  <sheetFormatPr defaultRowHeight="12.75" x14ac:dyDescent="0.2"/>
  <cols>
    <col min="1" max="1" width="7.28515625" style="2" customWidth="1"/>
    <col min="2" max="2" width="100.7109375" style="2" customWidth="1"/>
    <col min="3" max="3" width="20.85546875" style="140" customWidth="1"/>
    <col min="4" max="4" width="5.140625" style="2" customWidth="1"/>
    <col min="5" max="5" width="17.5703125" style="2" customWidth="1"/>
    <col min="6" max="158" width="9.140625" style="2"/>
    <col min="159" max="240" width="0" style="2" hidden="1" customWidth="1"/>
    <col min="241" max="249" width="9.140625" style="2"/>
    <col min="250" max="250" width="3.710937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710937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710937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710937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710937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710937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710937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710937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710937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710937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710937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710937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710937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710937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710937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710937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710937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710937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710937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710937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710937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710937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710937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710937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710937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710937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710937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710937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710937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710937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710937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710937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710937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710937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710937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710937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710937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710937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710937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710937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710937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710937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710937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710937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710937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710937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710937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710937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710937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710937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710937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710937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710937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710937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710937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710937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710937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710937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710937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710937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710937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710937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710937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3"/>
      <c r="B1" s="144" t="s">
        <v>227</v>
      </c>
      <c r="C1" s="144"/>
    </row>
    <row r="2" spans="1:3" x14ac:dyDescent="0.2">
      <c r="A2" s="3"/>
      <c r="B2" s="4" t="s">
        <v>2</v>
      </c>
      <c r="C2" s="5">
        <f ca="1">TODAY()</f>
        <v>44944</v>
      </c>
    </row>
    <row r="3" spans="1:3" x14ac:dyDescent="0.2">
      <c r="A3" s="3"/>
      <c r="B3" s="118" t="s">
        <v>3</v>
      </c>
      <c r="C3" s="7"/>
    </row>
    <row r="4" spans="1:3" ht="25.5" x14ac:dyDescent="0.2">
      <c r="A4" s="8"/>
      <c r="B4" s="9" t="str">
        <f>[13]И1!D13</f>
        <v>Субъект Российской Федерации</v>
      </c>
      <c r="C4" s="10" t="str">
        <f>[13]И1!E13</f>
        <v>Новосибирская область</v>
      </c>
    </row>
    <row r="5" spans="1:3" ht="15.95" customHeight="1" x14ac:dyDescent="0.2">
      <c r="A5" s="8"/>
      <c r="B5" s="9" t="str">
        <f>[13]И1!D14</f>
        <v>Тип муниципального образования (выберите из списка)</v>
      </c>
      <c r="C5" s="10" t="str">
        <f>[13]И1!E14</f>
        <v>рабочий поселок Маслянино, Маслянинский муниципальный район</v>
      </c>
    </row>
    <row r="6" spans="1:3" x14ac:dyDescent="0.2">
      <c r="A6" s="8"/>
      <c r="B6" s="9" t="str">
        <f>IF([13]И1!E15="","",[13]И1!D15)</f>
        <v/>
      </c>
      <c r="C6" s="7" t="str">
        <f>IF([13]И1!E15="","",[13]И1!E15)</f>
        <v/>
      </c>
    </row>
    <row r="7" spans="1:3" x14ac:dyDescent="0.2">
      <c r="A7" s="8"/>
      <c r="B7" s="9" t="str">
        <f>[13]И1!D16</f>
        <v>Код ОКТМО</v>
      </c>
      <c r="C7" s="11" t="str">
        <f>[13]И1!E16</f>
        <v>50636151051</v>
      </c>
    </row>
    <row r="8" spans="1:3" x14ac:dyDescent="0.2">
      <c r="A8" s="8"/>
      <c r="B8" s="12" t="str">
        <f>[13]И1!D17</f>
        <v>Система теплоснабжения</v>
      </c>
      <c r="C8" s="13">
        <f>[13]И1!E17</f>
        <v>0</v>
      </c>
    </row>
    <row r="9" spans="1:3" x14ac:dyDescent="0.2">
      <c r="A9" s="8"/>
      <c r="B9" s="9" t="str">
        <f>[13]И1!D8</f>
        <v>Период регулирования (i)-й</v>
      </c>
      <c r="C9" s="14">
        <f>[13]И1!E8</f>
        <v>2023</v>
      </c>
    </row>
    <row r="10" spans="1:3" x14ac:dyDescent="0.2">
      <c r="A10" s="8"/>
      <c r="B10" s="9" t="str">
        <f>[13]И1!D9</f>
        <v>Период регулирования (i-1)-й</v>
      </c>
      <c r="C10" s="14">
        <f>[13]И1!E9</f>
        <v>2022</v>
      </c>
    </row>
    <row r="11" spans="1:3" x14ac:dyDescent="0.2">
      <c r="A11" s="8"/>
      <c r="B11" s="9" t="str">
        <f>[13]И1!D10</f>
        <v>Период регулирования (i-2)-й</v>
      </c>
      <c r="C11" s="14">
        <f>[13]И1!E10</f>
        <v>2021</v>
      </c>
    </row>
    <row r="12" spans="1:3" x14ac:dyDescent="0.2">
      <c r="A12" s="8"/>
      <c r="B12" s="9" t="str">
        <f>[13]И1!D11</f>
        <v>Базовый год (б)</v>
      </c>
      <c r="C12" s="14">
        <f>[13]И1!E11</f>
        <v>2019</v>
      </c>
    </row>
    <row r="13" spans="1:3" x14ac:dyDescent="0.2">
      <c r="A13" s="8"/>
      <c r="B13" s="9" t="str">
        <f>[13]И1!D18</f>
        <v>Вид топлива, использование которого преобладает в системе теплоснабжения</v>
      </c>
      <c r="C13" s="15" t="str">
        <f>[13]И1!E18</f>
        <v>Газ</v>
      </c>
    </row>
    <row r="14" spans="1:3" ht="26.25" customHeight="1" thickBot="1" x14ac:dyDescent="0.25">
      <c r="A14" s="147" t="s">
        <v>4</v>
      </c>
      <c r="B14" s="147"/>
      <c r="C14" s="147"/>
    </row>
    <row r="15" spans="1:3" x14ac:dyDescent="0.2">
      <c r="A15" s="16" t="s">
        <v>5</v>
      </c>
      <c r="B15" s="31" t="s">
        <v>6</v>
      </c>
      <c r="C15" s="119" t="s">
        <v>7</v>
      </c>
    </row>
    <row r="16" spans="1:3" x14ac:dyDescent="0.2">
      <c r="A16" s="19">
        <v>1</v>
      </c>
      <c r="B16" s="120">
        <v>2</v>
      </c>
      <c r="C16" s="121">
        <v>3</v>
      </c>
    </row>
    <row r="17" spans="1:3" x14ac:dyDescent="0.2">
      <c r="A17" s="22">
        <v>1</v>
      </c>
      <c r="B17" s="23" t="s">
        <v>8</v>
      </c>
      <c r="C17" s="24">
        <f>SUM(C18:C23)</f>
        <v>2948.98768566029</v>
      </c>
    </row>
    <row r="18" spans="1:3" ht="42.75" x14ac:dyDescent="0.2">
      <c r="A18" s="22" t="s">
        <v>9</v>
      </c>
      <c r="B18" s="25" t="s">
        <v>10</v>
      </c>
      <c r="C18" s="26">
        <f>[13]С1!F12</f>
        <v>912.75572352910331</v>
      </c>
    </row>
    <row r="19" spans="1:3" ht="42.75" x14ac:dyDescent="0.2">
      <c r="A19" s="22" t="s">
        <v>11</v>
      </c>
      <c r="B19" s="25" t="s">
        <v>12</v>
      </c>
      <c r="C19" s="26">
        <f>[13]С2!F12</f>
        <v>1416.8256491147995</v>
      </c>
    </row>
    <row r="20" spans="1:3" ht="30" x14ac:dyDescent="0.2">
      <c r="A20" s="22" t="s">
        <v>13</v>
      </c>
      <c r="B20" s="25" t="s">
        <v>14</v>
      </c>
      <c r="C20" s="26">
        <f>[13]С3!F12</f>
        <v>338.81151588426587</v>
      </c>
    </row>
    <row r="21" spans="1:3" ht="42.75" x14ac:dyDescent="0.2">
      <c r="A21" s="22" t="s">
        <v>15</v>
      </c>
      <c r="B21" s="25" t="s">
        <v>228</v>
      </c>
      <c r="C21" s="26">
        <f>[13]С4!F12</f>
        <v>222.77150917799838</v>
      </c>
    </row>
    <row r="22" spans="1:3" ht="33" customHeight="1" x14ac:dyDescent="0.2">
      <c r="A22" s="22" t="s">
        <v>17</v>
      </c>
      <c r="B22" s="25" t="s">
        <v>229</v>
      </c>
      <c r="C22" s="26">
        <f>[13]С5!F12</f>
        <v>57.823287954123337</v>
      </c>
    </row>
    <row r="23" spans="1:3" ht="45.75" customHeight="1" thickBot="1" x14ac:dyDescent="0.25">
      <c r="A23" s="27" t="s">
        <v>19</v>
      </c>
      <c r="B23" s="28" t="s">
        <v>230</v>
      </c>
      <c r="C23" s="29">
        <f>[13]С6!F12</f>
        <v>0</v>
      </c>
    </row>
    <row r="24" spans="1:3" ht="13.5" thickBot="1" x14ac:dyDescent="0.25">
      <c r="A24" s="3"/>
      <c r="C24" s="7"/>
    </row>
    <row r="25" spans="1:3" x14ac:dyDescent="0.2">
      <c r="A25" s="16" t="s">
        <v>5</v>
      </c>
      <c r="B25" s="30" t="s">
        <v>6</v>
      </c>
      <c r="C25" s="31" t="s">
        <v>7</v>
      </c>
    </row>
    <row r="26" spans="1:3" x14ac:dyDescent="0.2">
      <c r="A26" s="19">
        <v>1</v>
      </c>
      <c r="B26" s="32">
        <v>2</v>
      </c>
      <c r="C26" s="33">
        <v>3</v>
      </c>
    </row>
    <row r="27" spans="1:3" ht="30" customHeight="1" x14ac:dyDescent="0.2">
      <c r="A27" s="22">
        <v>1</v>
      </c>
      <c r="B27" s="146" t="s">
        <v>21</v>
      </c>
      <c r="C27" s="146"/>
    </row>
    <row r="28" spans="1:3" x14ac:dyDescent="0.2">
      <c r="A28" s="22" t="s">
        <v>9</v>
      </c>
      <c r="B28" s="34" t="s">
        <v>231</v>
      </c>
      <c r="C28" s="35">
        <f>[13]С1.1!E16</f>
        <v>7900</v>
      </c>
    </row>
    <row r="29" spans="1:3" ht="42.75" x14ac:dyDescent="0.2">
      <c r="A29" s="22" t="s">
        <v>11</v>
      </c>
      <c r="B29" s="34" t="s">
        <v>232</v>
      </c>
      <c r="C29" s="35">
        <f>[13]С1.1!E32</f>
        <v>5591.16</v>
      </c>
    </row>
    <row r="30" spans="1:3" ht="38.25" x14ac:dyDescent="0.2">
      <c r="A30" s="22" t="s">
        <v>233</v>
      </c>
      <c r="B30" s="34" t="s">
        <v>234</v>
      </c>
      <c r="C30" s="86" t="str">
        <f>[13]С1.1!E25</f>
        <v>ООО "Газпром газораспределение Томск"</v>
      </c>
    </row>
    <row r="31" spans="1:3" ht="38.25" x14ac:dyDescent="0.2">
      <c r="A31" s="22" t="s">
        <v>235</v>
      </c>
      <c r="B31" s="34" t="str">
        <f>[13]С1.1!D26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5">
        <f>[13]С1.1!E26</f>
        <v>4475.5</v>
      </c>
    </row>
    <row r="32" spans="1:3" ht="25.5" x14ac:dyDescent="0.2">
      <c r="A32" s="22" t="s">
        <v>236</v>
      </c>
      <c r="B32" s="34" t="str">
        <f>[13]С1.1!D27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5">
        <f>[13]С1.1!E27</f>
        <v>952.13</v>
      </c>
    </row>
    <row r="33" spans="1:3" ht="25.5" x14ac:dyDescent="0.2">
      <c r="A33" s="22" t="s">
        <v>237</v>
      </c>
      <c r="B33" s="34" t="str">
        <f>[13]С1.1!D28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5">
        <f>[13]С1.1!E28</f>
        <v>132.9</v>
      </c>
    </row>
    <row r="34" spans="1:3" ht="38.25" x14ac:dyDescent="0.2">
      <c r="A34" s="22" t="s">
        <v>238</v>
      </c>
      <c r="B34" s="34" t="str">
        <f>[13]С1.1!D29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5">
        <f>[13]С1.1!E29</f>
        <v>30.63</v>
      </c>
    </row>
    <row r="35" spans="1:3" ht="17.25" x14ac:dyDescent="0.2">
      <c r="A35" s="22" t="s">
        <v>13</v>
      </c>
      <c r="B35" s="34" t="s">
        <v>24</v>
      </c>
      <c r="C35" s="36">
        <f>[13]С1.1!E20</f>
        <v>0.1392500000000001</v>
      </c>
    </row>
    <row r="36" spans="1:3" ht="17.25" x14ac:dyDescent="0.2">
      <c r="A36" s="22" t="s">
        <v>15</v>
      </c>
      <c r="B36" s="34" t="s">
        <v>25</v>
      </c>
      <c r="C36" s="36">
        <f>[13]С1.1!E21</f>
        <v>0</v>
      </c>
    </row>
    <row r="37" spans="1:3" ht="30" x14ac:dyDescent="0.2">
      <c r="A37" s="22" t="s">
        <v>17</v>
      </c>
      <c r="B37" s="37" t="s">
        <v>239</v>
      </c>
      <c r="C37" s="122">
        <f>[13]С1!F13</f>
        <v>156.1</v>
      </c>
    </row>
    <row r="38" spans="1:3" x14ac:dyDescent="0.2">
      <c r="A38" s="22" t="s">
        <v>19</v>
      </c>
      <c r="B38" s="37" t="s">
        <v>27</v>
      </c>
      <c r="C38" s="39">
        <f>[13]С1!F16</f>
        <v>7000</v>
      </c>
    </row>
    <row r="39" spans="1:3" ht="14.25" x14ac:dyDescent="0.2">
      <c r="A39" s="123" t="s">
        <v>28</v>
      </c>
      <c r="B39" s="40" t="s">
        <v>240</v>
      </c>
      <c r="C39" s="41">
        <f>[13]С1!F17</f>
        <v>1.1285714285714286</v>
      </c>
    </row>
    <row r="40" spans="1:3" ht="15.75" x14ac:dyDescent="0.2">
      <c r="A40" s="124" t="s">
        <v>30</v>
      </c>
      <c r="B40" s="43" t="s">
        <v>31</v>
      </c>
      <c r="C40" s="41">
        <f>[13]С1!F20</f>
        <v>22.307053372799995</v>
      </c>
    </row>
    <row r="41" spans="1:3" ht="15.75" x14ac:dyDescent="0.2">
      <c r="A41" s="124" t="s">
        <v>32</v>
      </c>
      <c r="B41" s="44" t="s">
        <v>33</v>
      </c>
      <c r="C41" s="41">
        <f>[13]С1!F21</f>
        <v>21.531904799999996</v>
      </c>
    </row>
    <row r="42" spans="1:3" ht="14.25" x14ac:dyDescent="0.2">
      <c r="A42" s="124" t="s">
        <v>34</v>
      </c>
      <c r="B42" s="45" t="s">
        <v>35</v>
      </c>
      <c r="C42" s="41">
        <f>[13]С1!F22</f>
        <v>1.036</v>
      </c>
    </row>
    <row r="43" spans="1:3" ht="53.25" thickBot="1" x14ac:dyDescent="0.25">
      <c r="A43" s="27" t="s">
        <v>36</v>
      </c>
      <c r="B43" s="46" t="s">
        <v>37</v>
      </c>
      <c r="C43" s="47" t="str">
        <f>[13]С1!F23</f>
        <v>-</v>
      </c>
    </row>
    <row r="44" spans="1:3" ht="13.5" thickBot="1" x14ac:dyDescent="0.25">
      <c r="A44" s="48"/>
      <c r="B44" s="76"/>
      <c r="C44" s="15"/>
    </row>
    <row r="45" spans="1:3" ht="30" customHeight="1" x14ac:dyDescent="0.2">
      <c r="A45" s="51" t="s">
        <v>38</v>
      </c>
      <c r="B45" s="142" t="s">
        <v>39</v>
      </c>
      <c r="C45" s="142"/>
    </row>
    <row r="46" spans="1:3" ht="25.5" x14ac:dyDescent="0.2">
      <c r="A46" s="22" t="s">
        <v>40</v>
      </c>
      <c r="B46" s="37" t="s">
        <v>41</v>
      </c>
      <c r="C46" s="52" t="str">
        <f>[13]С2.1!E12</f>
        <v>V</v>
      </c>
    </row>
    <row r="47" spans="1:3" ht="25.5" x14ac:dyDescent="0.2">
      <c r="A47" s="22" t="s">
        <v>42</v>
      </c>
      <c r="B47" s="34" t="s">
        <v>43</v>
      </c>
      <c r="C47" s="52" t="str">
        <f>[13]С2.1!E13</f>
        <v>6 и менее баллов</v>
      </c>
    </row>
    <row r="48" spans="1:3" ht="25.5" x14ac:dyDescent="0.2">
      <c r="A48" s="22" t="s">
        <v>44</v>
      </c>
      <c r="B48" s="34" t="s">
        <v>241</v>
      </c>
      <c r="C48" s="52" t="str">
        <f>[13]С2.1!E14</f>
        <v>от 200 до 500</v>
      </c>
    </row>
    <row r="49" spans="1:3" ht="25.5" x14ac:dyDescent="0.2">
      <c r="A49" s="22" t="s">
        <v>46</v>
      </c>
      <c r="B49" s="34" t="s">
        <v>242</v>
      </c>
      <c r="C49" s="53" t="str">
        <f>[13]С2.1!E15</f>
        <v>нет</v>
      </c>
    </row>
    <row r="50" spans="1:3" ht="30" x14ac:dyDescent="0.2">
      <c r="A50" s="22" t="s">
        <v>48</v>
      </c>
      <c r="B50" s="34" t="s">
        <v>49</v>
      </c>
      <c r="C50" s="35">
        <f>[13]С2!F18</f>
        <v>32402.627334033532</v>
      </c>
    </row>
    <row r="51" spans="1:3" ht="30" x14ac:dyDescent="0.2">
      <c r="A51" s="22" t="s">
        <v>50</v>
      </c>
      <c r="B51" s="54" t="s">
        <v>51</v>
      </c>
      <c r="C51" s="35">
        <f>IF([13]С2!F19&gt;0,[13]С2!F19,[13]С2!F20)</f>
        <v>23441.524932855718</v>
      </c>
    </row>
    <row r="52" spans="1:3" ht="25.5" x14ac:dyDescent="0.2">
      <c r="A52" s="22" t="s">
        <v>52</v>
      </c>
      <c r="B52" s="55" t="s">
        <v>53</v>
      </c>
      <c r="C52" s="35">
        <f>[13]С2.1!E20</f>
        <v>-37</v>
      </c>
    </row>
    <row r="53" spans="1:3" ht="25.5" x14ac:dyDescent="0.2">
      <c r="A53" s="22" t="s">
        <v>54</v>
      </c>
      <c r="B53" s="55" t="s">
        <v>55</v>
      </c>
      <c r="C53" s="35" t="str">
        <f>[13]С2.1!E23</f>
        <v>нет</v>
      </c>
    </row>
    <row r="54" spans="1:3" ht="38.25" x14ac:dyDescent="0.2">
      <c r="A54" s="22" t="s">
        <v>56</v>
      </c>
      <c r="B54" s="56" t="s">
        <v>57</v>
      </c>
      <c r="C54" s="35">
        <f>[13]С2.2!E10</f>
        <v>1287</v>
      </c>
    </row>
    <row r="55" spans="1:3" ht="25.5" x14ac:dyDescent="0.2">
      <c r="A55" s="22" t="s">
        <v>58</v>
      </c>
      <c r="B55" s="57" t="s">
        <v>59</v>
      </c>
      <c r="C55" s="35">
        <f>[13]С2.2!E12</f>
        <v>5.97</v>
      </c>
    </row>
    <row r="56" spans="1:3" ht="52.5" x14ac:dyDescent="0.2">
      <c r="A56" s="22" t="s">
        <v>60</v>
      </c>
      <c r="B56" s="58" t="s">
        <v>61</v>
      </c>
      <c r="C56" s="35">
        <f>[13]С2.2!E13</f>
        <v>1</v>
      </c>
    </row>
    <row r="57" spans="1:3" ht="27.75" x14ac:dyDescent="0.2">
      <c r="A57" s="22" t="s">
        <v>62</v>
      </c>
      <c r="B57" s="57" t="s">
        <v>63</v>
      </c>
      <c r="C57" s="35">
        <f>[13]С2.2!E14</f>
        <v>12104</v>
      </c>
    </row>
    <row r="58" spans="1:3" ht="25.5" x14ac:dyDescent="0.2">
      <c r="A58" s="22" t="s">
        <v>64</v>
      </c>
      <c r="B58" s="58" t="s">
        <v>65</v>
      </c>
      <c r="C58" s="36">
        <f>[13]С2.2!E15</f>
        <v>4.8000000000000001E-2</v>
      </c>
    </row>
    <row r="59" spans="1:3" x14ac:dyDescent="0.2">
      <c r="A59" s="22" t="s">
        <v>66</v>
      </c>
      <c r="B59" s="58" t="s">
        <v>67</v>
      </c>
      <c r="C59" s="125">
        <f>[13]С2.2!E16</f>
        <v>1</v>
      </c>
    </row>
    <row r="60" spans="1:3" ht="15.75" x14ac:dyDescent="0.2">
      <c r="A60" s="22" t="s">
        <v>68</v>
      </c>
      <c r="B60" s="59" t="s">
        <v>69</v>
      </c>
      <c r="C60" s="35">
        <f>[13]С2!F21</f>
        <v>1</v>
      </c>
    </row>
    <row r="61" spans="1:3" ht="30" x14ac:dyDescent="0.2">
      <c r="A61" s="60" t="s">
        <v>70</v>
      </c>
      <c r="B61" s="34" t="s">
        <v>243</v>
      </c>
      <c r="C61" s="35">
        <f>[13]С2!F13</f>
        <v>97038.307983185223</v>
      </c>
    </row>
    <row r="62" spans="1:3" ht="30" x14ac:dyDescent="0.2">
      <c r="A62" s="60" t="s">
        <v>72</v>
      </c>
      <c r="B62" s="61" t="s">
        <v>244</v>
      </c>
      <c r="C62" s="35">
        <f>[13]С2!F14</f>
        <v>64899</v>
      </c>
    </row>
    <row r="63" spans="1:3" ht="15.75" x14ac:dyDescent="0.2">
      <c r="A63" s="60" t="s">
        <v>74</v>
      </c>
      <c r="B63" s="61" t="s">
        <v>75</v>
      </c>
      <c r="C63" s="41">
        <f>[13]С2!F15</f>
        <v>1.071</v>
      </c>
    </row>
    <row r="64" spans="1:3" ht="15.75" x14ac:dyDescent="0.2">
      <c r="A64" s="60" t="s">
        <v>76</v>
      </c>
      <c r="B64" s="61" t="s">
        <v>77</v>
      </c>
      <c r="C64" s="126">
        <f>[13]С2!F16</f>
        <v>1</v>
      </c>
    </row>
    <row r="65" spans="1:3" ht="17.25" x14ac:dyDescent="0.2">
      <c r="A65" s="60" t="s">
        <v>78</v>
      </c>
      <c r="B65" s="61" t="s">
        <v>79</v>
      </c>
      <c r="C65" s="127">
        <f>[13]С2!F17</f>
        <v>1.01</v>
      </c>
    </row>
    <row r="66" spans="1:3" s="64" customFormat="1" ht="14.25" x14ac:dyDescent="0.2">
      <c r="A66" s="60" t="s">
        <v>80</v>
      </c>
      <c r="B66" s="62" t="s">
        <v>81</v>
      </c>
      <c r="C66" s="63">
        <f>[13]С2!F35</f>
        <v>10</v>
      </c>
    </row>
    <row r="67" spans="1:3" ht="30" x14ac:dyDescent="0.2">
      <c r="A67" s="60" t="s">
        <v>82</v>
      </c>
      <c r="B67" s="65" t="s">
        <v>83</v>
      </c>
      <c r="C67" s="35">
        <f>[13]С2!F28</f>
        <v>190.31285664852996</v>
      </c>
    </row>
    <row r="68" spans="1:3" ht="17.25" x14ac:dyDescent="0.2">
      <c r="A68" s="60" t="s">
        <v>84</v>
      </c>
      <c r="B68" s="54" t="s">
        <v>245</v>
      </c>
      <c r="C68" s="41">
        <f>[13]С2!F29</f>
        <v>0.27536184199999997</v>
      </c>
    </row>
    <row r="69" spans="1:3" ht="17.25" x14ac:dyDescent="0.2">
      <c r="A69" s="60" t="s">
        <v>86</v>
      </c>
      <c r="B69" s="59" t="s">
        <v>246</v>
      </c>
      <c r="C69" s="63">
        <f>[13]С2!F30</f>
        <v>500</v>
      </c>
    </row>
    <row r="70" spans="1:3" ht="42.75" x14ac:dyDescent="0.2">
      <c r="A70" s="60" t="s">
        <v>88</v>
      </c>
      <c r="B70" s="34" t="s">
        <v>247</v>
      </c>
      <c r="C70" s="35">
        <f>[13]С2!F22</f>
        <v>36585.255753162281</v>
      </c>
    </row>
    <row r="71" spans="1:3" ht="30" x14ac:dyDescent="0.2">
      <c r="A71" s="60" t="s">
        <v>90</v>
      </c>
      <c r="B71" s="61" t="s">
        <v>248</v>
      </c>
      <c r="C71" s="35">
        <f>[13]С2!F23</f>
        <v>21</v>
      </c>
    </row>
    <row r="72" spans="1:3" ht="30" x14ac:dyDescent="0.2">
      <c r="A72" s="60" t="s">
        <v>92</v>
      </c>
      <c r="B72" s="54" t="s">
        <v>93</v>
      </c>
      <c r="C72" s="35">
        <f>[13]С2.1!E28</f>
        <v>14036.09995</v>
      </c>
    </row>
    <row r="73" spans="1:3" ht="38.25" x14ac:dyDescent="0.2">
      <c r="A73" s="60" t="s">
        <v>94</v>
      </c>
      <c r="B73" s="66" t="s">
        <v>95</v>
      </c>
      <c r="C73" s="53">
        <f>[13]С2.3!E21</f>
        <v>0</v>
      </c>
    </row>
    <row r="74" spans="1:3" ht="25.5" x14ac:dyDescent="0.2">
      <c r="A74" s="60" t="s">
        <v>96</v>
      </c>
      <c r="B74" s="67" t="s">
        <v>97</v>
      </c>
      <c r="C74" s="68">
        <f>[13]С2.3!E11</f>
        <v>5.45</v>
      </c>
    </row>
    <row r="75" spans="1:3" ht="25.5" x14ac:dyDescent="0.2">
      <c r="A75" s="60" t="s">
        <v>98</v>
      </c>
      <c r="B75" s="67" t="s">
        <v>99</v>
      </c>
      <c r="C75" s="63">
        <f>[13]С2.3!E13</f>
        <v>300</v>
      </c>
    </row>
    <row r="76" spans="1:3" ht="25.5" x14ac:dyDescent="0.2">
      <c r="A76" s="60" t="s">
        <v>100</v>
      </c>
      <c r="B76" s="66" t="s">
        <v>101</v>
      </c>
      <c r="C76" s="69">
        <f>IF([13]С2.3!E22&gt;0,[13]С2.3!E22,[13]С2.3!E14)</f>
        <v>61211</v>
      </c>
    </row>
    <row r="77" spans="1:3" ht="38.25" x14ac:dyDescent="0.2">
      <c r="A77" s="60" t="s">
        <v>102</v>
      </c>
      <c r="B77" s="66" t="s">
        <v>103</v>
      </c>
      <c r="C77" s="69">
        <f>IF([13]С2.3!E23&gt;0,[13]С2.3!E23,[13]С2.3!E15)</f>
        <v>45675</v>
      </c>
    </row>
    <row r="78" spans="1:3" ht="30" x14ac:dyDescent="0.2">
      <c r="A78" s="60" t="s">
        <v>104</v>
      </c>
      <c r="B78" s="54" t="s">
        <v>105</v>
      </c>
      <c r="C78" s="35">
        <f>[13]С2.1!E29</f>
        <v>9518.3274000000001</v>
      </c>
    </row>
    <row r="79" spans="1:3" ht="38.25" x14ac:dyDescent="0.2">
      <c r="A79" s="60" t="s">
        <v>106</v>
      </c>
      <c r="B79" s="66" t="s">
        <v>107</v>
      </c>
      <c r="C79" s="53">
        <f>[13]С2.3!E25</f>
        <v>0</v>
      </c>
    </row>
    <row r="80" spans="1:3" ht="25.5" x14ac:dyDescent="0.2">
      <c r="A80" s="60" t="s">
        <v>108</v>
      </c>
      <c r="B80" s="67" t="s">
        <v>109</v>
      </c>
      <c r="C80" s="68">
        <f>[13]С2.3!E12</f>
        <v>0.2</v>
      </c>
    </row>
    <row r="81" spans="1:3" ht="25.5" x14ac:dyDescent="0.2">
      <c r="A81" s="60" t="s">
        <v>110</v>
      </c>
      <c r="B81" s="67" t="s">
        <v>99</v>
      </c>
      <c r="C81" s="63">
        <f>[13]С2.3!E13</f>
        <v>300</v>
      </c>
    </row>
    <row r="82" spans="1:3" ht="25.5" x14ac:dyDescent="0.2">
      <c r="A82" s="60" t="s">
        <v>111</v>
      </c>
      <c r="B82" s="70" t="s">
        <v>112</v>
      </c>
      <c r="C82" s="69">
        <f>IF([13]С2.3!E26&gt;0,[13]С2.3!E26,[13]С2.3!E16)</f>
        <v>65637</v>
      </c>
    </row>
    <row r="83" spans="1:3" ht="38.25" x14ac:dyDescent="0.2">
      <c r="A83" s="60" t="s">
        <v>113</v>
      </c>
      <c r="B83" s="70" t="s">
        <v>114</v>
      </c>
      <c r="C83" s="69">
        <f>IF([13]С2.3!E27&gt;0,[13]С2.3!E27,[13]С2.3!E17)</f>
        <v>31684</v>
      </c>
    </row>
    <row r="84" spans="1:3" ht="30" x14ac:dyDescent="0.2">
      <c r="A84" s="60" t="s">
        <v>249</v>
      </c>
      <c r="B84" s="61" t="s">
        <v>250</v>
      </c>
      <c r="C84" s="69">
        <f>IF([13]С2.1!E19&gt;0,[13]С2.1!E19,[13]С2!F26)</f>
        <v>2892</v>
      </c>
    </row>
    <row r="85" spans="1:3" ht="17.25" x14ac:dyDescent="0.2">
      <c r="A85" s="60" t="s">
        <v>115</v>
      </c>
      <c r="B85" s="34" t="s">
        <v>116</v>
      </c>
      <c r="C85" s="36">
        <f>[13]С2!F31</f>
        <v>0.128978033685065</v>
      </c>
    </row>
    <row r="86" spans="1:3" ht="30" x14ac:dyDescent="0.2">
      <c r="A86" s="60" t="s">
        <v>117</v>
      </c>
      <c r="B86" s="54" t="s">
        <v>118</v>
      </c>
      <c r="C86" s="71">
        <f>[13]С2!F32</f>
        <v>0.11668498168498169</v>
      </c>
    </row>
    <row r="87" spans="1:3" ht="17.25" x14ac:dyDescent="0.2">
      <c r="A87" s="60" t="s">
        <v>119</v>
      </c>
      <c r="B87" s="72" t="s">
        <v>120</v>
      </c>
      <c r="C87" s="36">
        <f>[13]С2!F33</f>
        <v>0.13880000000000001</v>
      </c>
    </row>
    <row r="88" spans="1:3" s="64" customFormat="1" ht="18" thickBot="1" x14ac:dyDescent="0.25">
      <c r="A88" s="73" t="s">
        <v>121</v>
      </c>
      <c r="B88" s="74" t="s">
        <v>122</v>
      </c>
      <c r="C88" s="75">
        <f>[13]С2!F34</f>
        <v>0.12640000000000001</v>
      </c>
    </row>
    <row r="89" spans="1:3" ht="13.5" thickBot="1" x14ac:dyDescent="0.25">
      <c r="A89" s="48"/>
      <c r="B89" s="76"/>
      <c r="C89" s="15"/>
    </row>
    <row r="90" spans="1:3" s="64" customFormat="1" ht="30" customHeight="1" x14ac:dyDescent="0.2">
      <c r="A90" s="77" t="s">
        <v>123</v>
      </c>
      <c r="B90" s="142" t="s">
        <v>124</v>
      </c>
      <c r="C90" s="142"/>
    </row>
    <row r="91" spans="1:3" s="64" customFormat="1" ht="30" x14ac:dyDescent="0.2">
      <c r="A91" s="78" t="s">
        <v>125</v>
      </c>
      <c r="B91" s="34" t="s">
        <v>126</v>
      </c>
      <c r="C91" s="35">
        <f>[13]С3!F14</f>
        <v>4859.6355642281651</v>
      </c>
    </row>
    <row r="92" spans="1:3" s="64" customFormat="1" ht="42.75" x14ac:dyDescent="0.2">
      <c r="A92" s="78" t="s">
        <v>127</v>
      </c>
      <c r="B92" s="54" t="s">
        <v>128</v>
      </c>
      <c r="C92" s="79">
        <f>[13]С3!F15</f>
        <v>0.2</v>
      </c>
    </row>
    <row r="93" spans="1:3" s="64" customFormat="1" ht="14.25" x14ac:dyDescent="0.2">
      <c r="A93" s="78" t="s">
        <v>129</v>
      </c>
      <c r="B93" s="80" t="s">
        <v>130</v>
      </c>
      <c r="C93" s="63">
        <f>[13]С3!F18</f>
        <v>15</v>
      </c>
    </row>
    <row r="94" spans="1:3" s="64" customFormat="1" ht="17.25" x14ac:dyDescent="0.2">
      <c r="A94" s="78" t="s">
        <v>131</v>
      </c>
      <c r="B94" s="34" t="s">
        <v>132</v>
      </c>
      <c r="C94" s="35">
        <f>[13]С3!F19</f>
        <v>2435.0508023655884</v>
      </c>
    </row>
    <row r="95" spans="1:3" s="64" customFormat="1" ht="55.5" x14ac:dyDescent="0.2">
      <c r="A95" s="78" t="s">
        <v>133</v>
      </c>
      <c r="B95" s="54" t="s">
        <v>134</v>
      </c>
      <c r="C95" s="81">
        <f>[13]С3!F20</f>
        <v>2.1999999999999999E-2</v>
      </c>
    </row>
    <row r="96" spans="1:3" s="64" customFormat="1" ht="14.25" x14ac:dyDescent="0.2">
      <c r="A96" s="78" t="s">
        <v>135</v>
      </c>
      <c r="B96" s="59" t="s">
        <v>81</v>
      </c>
      <c r="C96" s="63">
        <f>[13]С3!F21</f>
        <v>10</v>
      </c>
    </row>
    <row r="97" spans="1:3" s="64" customFormat="1" ht="17.25" x14ac:dyDescent="0.2">
      <c r="A97" s="78" t="s">
        <v>136</v>
      </c>
      <c r="B97" s="34" t="s">
        <v>137</v>
      </c>
      <c r="C97" s="35">
        <f>[13]С3!F22</f>
        <v>0.57093856994558989</v>
      </c>
    </row>
    <row r="98" spans="1:3" s="64" customFormat="1" ht="55.5" x14ac:dyDescent="0.2">
      <c r="A98" s="78" t="s">
        <v>138</v>
      </c>
      <c r="B98" s="54" t="s">
        <v>139</v>
      </c>
      <c r="C98" s="81">
        <f>[13]С3!F23</f>
        <v>3.0000000000000001E-3</v>
      </c>
    </row>
    <row r="99" spans="1:3" s="64" customFormat="1" ht="30.75" thickBot="1" x14ac:dyDescent="0.25">
      <c r="A99" s="82" t="s">
        <v>140</v>
      </c>
      <c r="B99" s="83" t="s">
        <v>83</v>
      </c>
      <c r="C99" s="84">
        <f>[13]С3!F24</f>
        <v>190.31285664852996</v>
      </c>
    </row>
    <row r="100" spans="1:3" ht="13.5" thickBot="1" x14ac:dyDescent="0.25">
      <c r="A100" s="48"/>
      <c r="B100" s="76"/>
      <c r="C100" s="15"/>
    </row>
    <row r="101" spans="1:3" ht="30" customHeight="1" x14ac:dyDescent="0.2">
      <c r="A101" s="85" t="s">
        <v>142</v>
      </c>
      <c r="B101" s="142" t="s">
        <v>143</v>
      </c>
      <c r="C101" s="142"/>
    </row>
    <row r="102" spans="1:3" ht="30" x14ac:dyDescent="0.2">
      <c r="A102" s="60" t="s">
        <v>144</v>
      </c>
      <c r="B102" s="34" t="s">
        <v>251</v>
      </c>
      <c r="C102" s="35">
        <f>[13]С4!F16</f>
        <v>832.33500000000004</v>
      </c>
    </row>
    <row r="103" spans="1:3" ht="30" x14ac:dyDescent="0.2">
      <c r="A103" s="60" t="s">
        <v>146</v>
      </c>
      <c r="B103" s="59" t="s">
        <v>252</v>
      </c>
      <c r="C103" s="35">
        <f>[13]С4!F17</f>
        <v>43385</v>
      </c>
    </row>
    <row r="104" spans="1:3" ht="17.25" x14ac:dyDescent="0.2">
      <c r="A104" s="60" t="s">
        <v>148</v>
      </c>
      <c r="B104" s="59" t="s">
        <v>149</v>
      </c>
      <c r="C104" s="41">
        <f>[13]С4!F18</f>
        <v>1.4999999999999999E-2</v>
      </c>
    </row>
    <row r="105" spans="1:3" ht="30" x14ac:dyDescent="0.2">
      <c r="A105" s="60" t="s">
        <v>150</v>
      </c>
      <c r="B105" s="59" t="s">
        <v>151</v>
      </c>
      <c r="C105" s="35">
        <f>[13]С4!F19</f>
        <v>12104</v>
      </c>
    </row>
    <row r="106" spans="1:3" ht="28.5" x14ac:dyDescent="0.2">
      <c r="A106" s="60" t="s">
        <v>152</v>
      </c>
      <c r="B106" s="59" t="s">
        <v>153</v>
      </c>
      <c r="C106" s="41">
        <f>[13]С4!F20</f>
        <v>1.4999999999999999E-2</v>
      </c>
    </row>
    <row r="107" spans="1:3" ht="30" x14ac:dyDescent="0.2">
      <c r="A107" s="60" t="s">
        <v>154</v>
      </c>
      <c r="B107" s="34" t="s">
        <v>253</v>
      </c>
      <c r="C107" s="35">
        <f>[13]С4!F21</f>
        <v>1221.9019409821399</v>
      </c>
    </row>
    <row r="108" spans="1:3" ht="45.6" customHeight="1" x14ac:dyDescent="0.2">
      <c r="A108" s="60" t="s">
        <v>156</v>
      </c>
      <c r="B108" s="54" t="s">
        <v>157</v>
      </c>
      <c r="C108" s="86" t="str">
        <f>IF([13]С4.2!F8="да",[13]С4.2!D21,[13]С4.2!D15)</f>
        <v>АО "Новосибирскэнергосбыт"</v>
      </c>
    </row>
    <row r="109" spans="1:3" ht="68.25" customHeight="1" x14ac:dyDescent="0.2">
      <c r="A109" s="60" t="s">
        <v>158</v>
      </c>
      <c r="B109" s="54" t="s">
        <v>159</v>
      </c>
      <c r="C109" s="35">
        <f>[13]С4!F22</f>
        <v>3.6112641666666665</v>
      </c>
    </row>
    <row r="110" spans="1:3" ht="30" x14ac:dyDescent="0.2">
      <c r="A110" s="60" t="s">
        <v>160</v>
      </c>
      <c r="B110" s="59" t="s">
        <v>254</v>
      </c>
      <c r="C110" s="63">
        <f>[13]С4!F23</f>
        <v>110</v>
      </c>
    </row>
    <row r="111" spans="1:3" ht="14.25" x14ac:dyDescent="0.2">
      <c r="A111" s="60" t="s">
        <v>162</v>
      </c>
      <c r="B111" s="54" t="s">
        <v>163</v>
      </c>
      <c r="C111" s="35">
        <f>[13]С4!F24</f>
        <v>8497.1999999999989</v>
      </c>
    </row>
    <row r="112" spans="1:3" ht="14.25" x14ac:dyDescent="0.2">
      <c r="A112" s="60" t="s">
        <v>164</v>
      </c>
      <c r="B112" s="59" t="s">
        <v>165</v>
      </c>
      <c r="C112" s="41">
        <f>[13]С4!F25</f>
        <v>0.36199999999999999</v>
      </c>
    </row>
    <row r="113" spans="1:3" ht="17.25" x14ac:dyDescent="0.2">
      <c r="A113" s="60" t="s">
        <v>166</v>
      </c>
      <c r="B113" s="34" t="s">
        <v>167</v>
      </c>
      <c r="C113" s="35">
        <f>[13]С4!F26</f>
        <v>67.230771666666669</v>
      </c>
    </row>
    <row r="114" spans="1:3" ht="25.5" x14ac:dyDescent="0.2">
      <c r="A114" s="60" t="s">
        <v>168</v>
      </c>
      <c r="B114" s="54" t="s">
        <v>95</v>
      </c>
      <c r="C114" s="86">
        <f>[13]С4.3!E16</f>
        <v>0</v>
      </c>
    </row>
    <row r="115" spans="1:3" ht="25.5" x14ac:dyDescent="0.2">
      <c r="A115" s="60" t="s">
        <v>169</v>
      </c>
      <c r="B115" s="54" t="s">
        <v>170</v>
      </c>
      <c r="C115" s="35">
        <f>[13]С4.3!E17</f>
        <v>34.641666666666666</v>
      </c>
    </row>
    <row r="116" spans="1:3" ht="38.25" x14ac:dyDescent="0.2">
      <c r="A116" s="60" t="s">
        <v>171</v>
      </c>
      <c r="B116" s="54" t="s">
        <v>107</v>
      </c>
      <c r="C116" s="86">
        <f>[13]С4.3!E18</f>
        <v>0</v>
      </c>
    </row>
    <row r="117" spans="1:3" x14ac:dyDescent="0.2">
      <c r="A117" s="60" t="s">
        <v>172</v>
      </c>
      <c r="B117" s="54" t="s">
        <v>173</v>
      </c>
      <c r="C117" s="35">
        <f>[13]С4.3!E19</f>
        <v>4.1516666666666664</v>
      </c>
    </row>
    <row r="118" spans="1:3" x14ac:dyDescent="0.2">
      <c r="A118" s="60" t="s">
        <v>174</v>
      </c>
      <c r="B118" s="59" t="s">
        <v>175</v>
      </c>
      <c r="C118" s="63">
        <f>[13]С4.3!E11</f>
        <v>1871</v>
      </c>
    </row>
    <row r="119" spans="1:3" x14ac:dyDescent="0.2">
      <c r="A119" s="60" t="s">
        <v>176</v>
      </c>
      <c r="B119" s="59" t="s">
        <v>177</v>
      </c>
      <c r="C119" s="53">
        <f>[13]С4.3!E12</f>
        <v>61</v>
      </c>
    </row>
    <row r="120" spans="1:3" x14ac:dyDescent="0.2">
      <c r="A120" s="60" t="s">
        <v>178</v>
      </c>
      <c r="B120" s="59" t="s">
        <v>179</v>
      </c>
      <c r="C120" s="53">
        <f>[13]С4.3!E13</f>
        <v>73</v>
      </c>
    </row>
    <row r="121" spans="1:3" ht="30" x14ac:dyDescent="0.2">
      <c r="A121" s="60" t="s">
        <v>180</v>
      </c>
      <c r="B121" s="34" t="s">
        <v>255</v>
      </c>
      <c r="C121" s="35">
        <f>[13]С4!F27</f>
        <v>990.29898848864093</v>
      </c>
    </row>
    <row r="122" spans="1:3" ht="25.5" x14ac:dyDescent="0.2">
      <c r="A122" s="60" t="s">
        <v>182</v>
      </c>
      <c r="B122" s="54" t="s">
        <v>256</v>
      </c>
      <c r="C122" s="35">
        <f>[13]С4!F28</f>
        <v>760.59830145056901</v>
      </c>
    </row>
    <row r="123" spans="1:3" ht="42.75" x14ac:dyDescent="0.2">
      <c r="A123" s="60" t="s">
        <v>184</v>
      </c>
      <c r="B123" s="54" t="s">
        <v>185</v>
      </c>
      <c r="C123" s="35">
        <f>[13]С4!F29</f>
        <v>229.70068703807189</v>
      </c>
    </row>
    <row r="124" spans="1:3" ht="30.75" thickBot="1" x14ac:dyDescent="0.25">
      <c r="A124" s="73" t="s">
        <v>186</v>
      </c>
      <c r="B124" s="91" t="s">
        <v>187</v>
      </c>
      <c r="C124" s="84">
        <f>[13]С4!F30</f>
        <v>495.37847945230618</v>
      </c>
    </row>
    <row r="125" spans="1:3" s="90" customFormat="1" ht="13.5" thickBot="1" x14ac:dyDescent="0.25">
      <c r="A125" s="48"/>
      <c r="B125" s="76"/>
      <c r="C125" s="15"/>
    </row>
    <row r="126" spans="1:3" s="64" customFormat="1" ht="30" customHeight="1" x14ac:dyDescent="0.2">
      <c r="A126" s="77" t="s">
        <v>196</v>
      </c>
      <c r="B126" s="142" t="s">
        <v>197</v>
      </c>
      <c r="C126" s="142"/>
    </row>
    <row r="127" spans="1:3" ht="30.6" customHeight="1" thickBot="1" x14ac:dyDescent="0.25">
      <c r="A127" s="27" t="s">
        <v>198</v>
      </c>
      <c r="B127" s="91" t="s">
        <v>199</v>
      </c>
      <c r="C127" s="84">
        <f>[13]С5!F17</f>
        <v>0.02</v>
      </c>
    </row>
    <row r="128" spans="1:3" s="90" customFormat="1" ht="13.5" thickBot="1" x14ac:dyDescent="0.25">
      <c r="A128" s="48"/>
      <c r="B128" s="76"/>
      <c r="C128" s="15"/>
    </row>
    <row r="129" spans="1:4" ht="42.75" customHeight="1" x14ac:dyDescent="0.2">
      <c r="A129" s="85" t="s">
        <v>200</v>
      </c>
      <c r="B129" s="142" t="s">
        <v>201</v>
      </c>
      <c r="C129" s="142"/>
    </row>
    <row r="130" spans="1:4" ht="68.25" x14ac:dyDescent="0.2">
      <c r="A130" s="60" t="s">
        <v>202</v>
      </c>
      <c r="B130" s="92" t="s">
        <v>203</v>
      </c>
      <c r="C130" s="35" t="str">
        <f>IF([13]С6.1!E11="нет",[13]С6!F13,"")</f>
        <v/>
      </c>
    </row>
    <row r="131" spans="1:4" ht="42.75" x14ac:dyDescent="0.2">
      <c r="A131" s="60" t="s">
        <v>205</v>
      </c>
      <c r="B131" s="87" t="s">
        <v>206</v>
      </c>
      <c r="C131" s="93" t="str">
        <f>IF([13]С6.1!E12="нет",[13]С6.1!E17,"")</f>
        <v/>
      </c>
    </row>
    <row r="132" spans="1:4" ht="68.25" x14ac:dyDescent="0.2">
      <c r="A132" s="60" t="s">
        <v>207</v>
      </c>
      <c r="B132" s="92" t="s">
        <v>208</v>
      </c>
      <c r="C132" s="128" t="str">
        <f>IF([13]С6.1!E18="нет",[13]С6!F19,"")</f>
        <v/>
      </c>
    </row>
    <row r="133" spans="1:4" ht="55.5" x14ac:dyDescent="0.2">
      <c r="A133" s="60" t="s">
        <v>209</v>
      </c>
      <c r="B133" s="87" t="s">
        <v>210</v>
      </c>
      <c r="C133" s="36" t="str">
        <f>IF([13]С6.1!E18="нет",[13]С6.1!E19,"")</f>
        <v/>
      </c>
    </row>
    <row r="134" spans="1:4" ht="61.5" customHeight="1" x14ac:dyDescent="0.2">
      <c r="A134" s="60" t="s">
        <v>211</v>
      </c>
      <c r="B134" s="87" t="s">
        <v>257</v>
      </c>
      <c r="C134" s="36" t="str">
        <f>IF([13]С6.1!E18="нет",[13]С6.1!E22,"")</f>
        <v/>
      </c>
    </row>
    <row r="135" spans="1:4" ht="69" thickBot="1" x14ac:dyDescent="0.25">
      <c r="A135" s="73" t="s">
        <v>213</v>
      </c>
      <c r="B135" s="99" t="s">
        <v>214</v>
      </c>
      <c r="C135" s="75" t="str">
        <f>IF([13]С6.1!E18="нет",[13]С6.1!E23,"")</f>
        <v/>
      </c>
    </row>
    <row r="136" spans="1:4" s="90" customFormat="1" ht="13.5" thickBot="1" x14ac:dyDescent="0.25">
      <c r="A136" s="48"/>
      <c r="B136" s="76"/>
      <c r="C136" s="15"/>
    </row>
    <row r="137" spans="1:4" ht="15.75" x14ac:dyDescent="0.2">
      <c r="A137" s="85" t="s">
        <v>215</v>
      </c>
      <c r="B137" s="100" t="s">
        <v>216</v>
      </c>
      <c r="C137" s="101">
        <f>[13]С2!F39</f>
        <v>21.531904799999996</v>
      </c>
    </row>
    <row r="138" spans="1:4" ht="14.25" x14ac:dyDescent="0.2">
      <c r="A138" s="60" t="s">
        <v>217</v>
      </c>
      <c r="B138" s="59" t="s">
        <v>218</v>
      </c>
      <c r="C138" s="35">
        <f>[13]С2!F40</f>
        <v>7</v>
      </c>
    </row>
    <row r="139" spans="1:4" ht="17.25" x14ac:dyDescent="0.2">
      <c r="A139" s="60" t="s">
        <v>219</v>
      </c>
      <c r="B139" s="59" t="s">
        <v>220</v>
      </c>
      <c r="C139" s="35">
        <f>[13]С2!F42</f>
        <v>0.97</v>
      </c>
    </row>
    <row r="140" spans="1:4" ht="15" thickBot="1" x14ac:dyDescent="0.25">
      <c r="A140" s="73" t="s">
        <v>221</v>
      </c>
      <c r="B140" s="74" t="s">
        <v>222</v>
      </c>
      <c r="C140" s="47">
        <f>[13]С2!F44</f>
        <v>0.36199999999999999</v>
      </c>
    </row>
    <row r="141" spans="1:4" s="90" customFormat="1" ht="13.5" thickBot="1" x14ac:dyDescent="0.25">
      <c r="A141" s="48"/>
      <c r="B141" s="76"/>
      <c r="C141" s="15"/>
    </row>
    <row r="142" spans="1:4" ht="17.25" x14ac:dyDescent="0.2">
      <c r="A142" s="85" t="s">
        <v>223</v>
      </c>
      <c r="B142" s="104" t="s">
        <v>258</v>
      </c>
      <c r="C142" s="129">
        <f>[13]С2!F37</f>
        <v>1.3822747209000001</v>
      </c>
      <c r="D142" s="90"/>
    </row>
    <row r="143" spans="1:4" ht="17.25" customHeight="1" thickBot="1" x14ac:dyDescent="0.25">
      <c r="A143" s="73" t="s">
        <v>225</v>
      </c>
      <c r="B143" s="141" t="s">
        <v>226</v>
      </c>
      <c r="C143" s="141"/>
      <c r="D143" s="90"/>
    </row>
    <row r="144" spans="1:4" x14ac:dyDescent="0.2">
      <c r="A144" s="106"/>
      <c r="B144" s="130" t="s">
        <v>0</v>
      </c>
      <c r="C144" s="131"/>
    </row>
    <row r="145" spans="1:3" x14ac:dyDescent="0.2">
      <c r="A145" s="106"/>
      <c r="B145" s="132">
        <v>2020</v>
      </c>
      <c r="C145" s="133">
        <f>[13]С2.5!$E$11</f>
        <v>-2.9000000000000026E-2</v>
      </c>
    </row>
    <row r="146" spans="1:3" x14ac:dyDescent="0.2">
      <c r="B146" s="132">
        <f>B145+1</f>
        <v>2021</v>
      </c>
      <c r="C146" s="134">
        <f>[13]С2.5!$F$11</f>
        <v>0.245</v>
      </c>
    </row>
    <row r="147" spans="1:3" x14ac:dyDescent="0.2">
      <c r="B147" s="132">
        <f t="shared" ref="B147:B210" si="0">B146+1</f>
        <v>2022</v>
      </c>
      <c r="C147" s="135">
        <f>[13]С2.5!$G$11</f>
        <v>0.121</v>
      </c>
    </row>
    <row r="148" spans="1:3" ht="13.5" thickBot="1" x14ac:dyDescent="0.25">
      <c r="B148" s="111">
        <f t="shared" si="0"/>
        <v>2023</v>
      </c>
      <c r="C148" s="136">
        <f>[13]С2.5!$H$11</f>
        <v>0.02</v>
      </c>
    </row>
    <row r="149" spans="1:3" ht="13.5" hidden="1" thickBot="1" x14ac:dyDescent="0.25">
      <c r="B149" s="111">
        <f t="shared" si="0"/>
        <v>2024</v>
      </c>
      <c r="C149" s="136">
        <f>[13]С2.5!$I$11</f>
        <v>0</v>
      </c>
    </row>
    <row r="150" spans="1:3" ht="13.5" hidden="1" thickBot="1" x14ac:dyDescent="0.25">
      <c r="B150" s="111">
        <f t="shared" si="0"/>
        <v>2025</v>
      </c>
      <c r="C150" s="136">
        <f>[13]С2.5!$J$11</f>
        <v>0</v>
      </c>
    </row>
    <row r="151" spans="1:3" ht="13.5" hidden="1" thickBot="1" x14ac:dyDescent="0.25">
      <c r="B151" s="111">
        <f t="shared" si="0"/>
        <v>2026</v>
      </c>
      <c r="C151" s="136">
        <f>[13]С2.5!$K$11</f>
        <v>0</v>
      </c>
    </row>
    <row r="152" spans="1:3" ht="13.5" hidden="1" thickBot="1" x14ac:dyDescent="0.25">
      <c r="B152" s="111">
        <f t="shared" si="0"/>
        <v>2027</v>
      </c>
      <c r="C152" s="136">
        <f>[13]С2.5!$L$11</f>
        <v>0</v>
      </c>
    </row>
    <row r="153" spans="1:3" ht="13.5" hidden="1" thickBot="1" x14ac:dyDescent="0.25">
      <c r="B153" s="111">
        <f t="shared" si="0"/>
        <v>2028</v>
      </c>
      <c r="C153" s="136">
        <f>[13]С2.5!$M$11</f>
        <v>0</v>
      </c>
    </row>
    <row r="154" spans="1:3" ht="13.5" hidden="1" thickBot="1" x14ac:dyDescent="0.25">
      <c r="B154" s="111">
        <f t="shared" si="0"/>
        <v>2029</v>
      </c>
      <c r="C154" s="136">
        <f>[13]С2.5!$N$11</f>
        <v>0</v>
      </c>
    </row>
    <row r="155" spans="1:3" ht="13.5" hidden="1" thickBot="1" x14ac:dyDescent="0.25">
      <c r="B155" s="111">
        <f t="shared" si="0"/>
        <v>2030</v>
      </c>
      <c r="C155" s="136">
        <f>[13]С2.5!$O$11</f>
        <v>0</v>
      </c>
    </row>
    <row r="156" spans="1:3" ht="13.5" hidden="1" thickBot="1" x14ac:dyDescent="0.25">
      <c r="B156" s="111">
        <f t="shared" si="0"/>
        <v>2031</v>
      </c>
      <c r="C156" s="136">
        <f>[13]С2.5!$P$11</f>
        <v>0</v>
      </c>
    </row>
    <row r="157" spans="1:3" ht="13.5" hidden="1" thickBot="1" x14ac:dyDescent="0.25">
      <c r="B157" s="111">
        <f t="shared" si="0"/>
        <v>2032</v>
      </c>
      <c r="C157" s="136">
        <f>[13]С2.5!$Q$11</f>
        <v>0</v>
      </c>
    </row>
    <row r="158" spans="1:3" ht="13.5" hidden="1" thickBot="1" x14ac:dyDescent="0.25">
      <c r="B158" s="111">
        <f t="shared" si="0"/>
        <v>2033</v>
      </c>
      <c r="C158" s="136">
        <f>[13]С2.5!$R$11</f>
        <v>0</v>
      </c>
    </row>
    <row r="159" spans="1:3" ht="13.5" hidden="1" thickBot="1" x14ac:dyDescent="0.25">
      <c r="B159" s="111">
        <f t="shared" si="0"/>
        <v>2034</v>
      </c>
      <c r="C159" s="136">
        <f>[13]С2.5!$S$11</f>
        <v>0</v>
      </c>
    </row>
    <row r="160" spans="1:3" ht="13.5" hidden="1" thickBot="1" x14ac:dyDescent="0.25">
      <c r="B160" s="111">
        <f t="shared" si="0"/>
        <v>2035</v>
      </c>
      <c r="C160" s="136">
        <f>[13]С2.5!$T$11</f>
        <v>0</v>
      </c>
    </row>
    <row r="161" spans="2:3" ht="13.5" hidden="1" thickBot="1" x14ac:dyDescent="0.25">
      <c r="B161" s="111">
        <f t="shared" si="0"/>
        <v>2036</v>
      </c>
      <c r="C161" s="136">
        <f>[13]С2.5!$U$11</f>
        <v>0</v>
      </c>
    </row>
    <row r="162" spans="2:3" ht="13.5" hidden="1" thickBot="1" x14ac:dyDescent="0.25">
      <c r="B162" s="111">
        <f t="shared" si="0"/>
        <v>2037</v>
      </c>
      <c r="C162" s="136">
        <f>[13]С2.5!$V$11</f>
        <v>0</v>
      </c>
    </row>
    <row r="163" spans="2:3" ht="13.5" hidden="1" thickBot="1" x14ac:dyDescent="0.25">
      <c r="B163" s="111">
        <f t="shared" si="0"/>
        <v>2038</v>
      </c>
      <c r="C163" s="136">
        <f>[13]С2.5!$W$11</f>
        <v>0</v>
      </c>
    </row>
    <row r="164" spans="2:3" ht="13.5" hidden="1" thickBot="1" x14ac:dyDescent="0.25">
      <c r="B164" s="111">
        <f t="shared" si="0"/>
        <v>2039</v>
      </c>
      <c r="C164" s="136">
        <f>[13]С2.5!$X$11</f>
        <v>0</v>
      </c>
    </row>
    <row r="165" spans="2:3" ht="13.5" hidden="1" thickBot="1" x14ac:dyDescent="0.25">
      <c r="B165" s="111">
        <f t="shared" si="0"/>
        <v>2040</v>
      </c>
      <c r="C165" s="136">
        <f>[13]С2.5!$Y$11</f>
        <v>0</v>
      </c>
    </row>
    <row r="166" spans="2:3" ht="13.5" hidden="1" thickBot="1" x14ac:dyDescent="0.25">
      <c r="B166" s="111">
        <f t="shared" si="0"/>
        <v>2041</v>
      </c>
      <c r="C166" s="136">
        <f>[13]С2.5!$Z$11</f>
        <v>0</v>
      </c>
    </row>
    <row r="167" spans="2:3" ht="13.5" hidden="1" thickBot="1" x14ac:dyDescent="0.25">
      <c r="B167" s="111">
        <f t="shared" si="0"/>
        <v>2042</v>
      </c>
      <c r="C167" s="136">
        <f>[13]С2.5!$AA$11</f>
        <v>0</v>
      </c>
    </row>
    <row r="168" spans="2:3" ht="13.5" hidden="1" thickBot="1" x14ac:dyDescent="0.25">
      <c r="B168" s="111">
        <f t="shared" si="0"/>
        <v>2043</v>
      </c>
      <c r="C168" s="136">
        <f>[13]С2.5!$AB$11</f>
        <v>0</v>
      </c>
    </row>
    <row r="169" spans="2:3" ht="13.5" hidden="1" thickBot="1" x14ac:dyDescent="0.25">
      <c r="B169" s="111">
        <f t="shared" si="0"/>
        <v>2044</v>
      </c>
      <c r="C169" s="136">
        <f>[13]С2.5!$AC$11</f>
        <v>0</v>
      </c>
    </row>
    <row r="170" spans="2:3" ht="13.5" hidden="1" thickBot="1" x14ac:dyDescent="0.25">
      <c r="B170" s="111">
        <f t="shared" si="0"/>
        <v>2045</v>
      </c>
      <c r="C170" s="136">
        <f>[13]С2.5!$AD$11</f>
        <v>0</v>
      </c>
    </row>
    <row r="171" spans="2:3" ht="13.5" hidden="1" thickBot="1" x14ac:dyDescent="0.25">
      <c r="B171" s="111">
        <f t="shared" si="0"/>
        <v>2046</v>
      </c>
      <c r="C171" s="136">
        <f>[13]С2.5!$AE$11</f>
        <v>0</v>
      </c>
    </row>
    <row r="172" spans="2:3" ht="13.5" hidden="1" thickBot="1" x14ac:dyDescent="0.25">
      <c r="B172" s="111">
        <f t="shared" si="0"/>
        <v>2047</v>
      </c>
      <c r="C172" s="136">
        <f>[13]С2.5!$AF$11</f>
        <v>0</v>
      </c>
    </row>
    <row r="173" spans="2:3" ht="13.5" hidden="1" thickBot="1" x14ac:dyDescent="0.25">
      <c r="B173" s="111">
        <f t="shared" si="0"/>
        <v>2048</v>
      </c>
      <c r="C173" s="136">
        <f>[13]С2.5!$AG$11</f>
        <v>0</v>
      </c>
    </row>
    <row r="174" spans="2:3" ht="13.5" hidden="1" thickBot="1" x14ac:dyDescent="0.25">
      <c r="B174" s="111">
        <f t="shared" si="0"/>
        <v>2049</v>
      </c>
      <c r="C174" s="136">
        <f>[13]С2.5!$AH$11</f>
        <v>0</v>
      </c>
    </row>
    <row r="175" spans="2:3" ht="13.5" hidden="1" thickBot="1" x14ac:dyDescent="0.25">
      <c r="B175" s="111">
        <f t="shared" si="0"/>
        <v>2050</v>
      </c>
      <c r="C175" s="136">
        <f>[13]С2.5!$AI$11</f>
        <v>0</v>
      </c>
    </row>
    <row r="176" spans="2:3" ht="13.5" hidden="1" thickBot="1" x14ac:dyDescent="0.25">
      <c r="B176" s="111">
        <f t="shared" si="0"/>
        <v>2051</v>
      </c>
      <c r="C176" s="136">
        <f>[13]С2.5!$AJ$11</f>
        <v>0</v>
      </c>
    </row>
    <row r="177" spans="2:3" ht="13.5" hidden="1" thickBot="1" x14ac:dyDescent="0.25">
      <c r="B177" s="111">
        <f t="shared" si="0"/>
        <v>2052</v>
      </c>
      <c r="C177" s="136">
        <f>[13]С2.5!$AK$11</f>
        <v>0</v>
      </c>
    </row>
    <row r="178" spans="2:3" ht="13.5" hidden="1" thickBot="1" x14ac:dyDescent="0.25">
      <c r="B178" s="111">
        <f t="shared" si="0"/>
        <v>2053</v>
      </c>
      <c r="C178" s="136">
        <f>[13]С2.5!$AL$11</f>
        <v>0</v>
      </c>
    </row>
    <row r="179" spans="2:3" ht="13.5" hidden="1" thickBot="1" x14ac:dyDescent="0.25">
      <c r="B179" s="111">
        <f t="shared" si="0"/>
        <v>2054</v>
      </c>
      <c r="C179" s="136">
        <f>[13]С2.5!$AM$11</f>
        <v>0</v>
      </c>
    </row>
    <row r="180" spans="2:3" ht="13.5" hidden="1" thickBot="1" x14ac:dyDescent="0.25">
      <c r="B180" s="111">
        <f t="shared" si="0"/>
        <v>2055</v>
      </c>
      <c r="C180" s="136">
        <f>[13]С2.5!$AN$11</f>
        <v>0</v>
      </c>
    </row>
    <row r="181" spans="2:3" ht="13.5" hidden="1" thickBot="1" x14ac:dyDescent="0.25">
      <c r="B181" s="111">
        <f t="shared" si="0"/>
        <v>2056</v>
      </c>
      <c r="C181" s="136">
        <f>[13]С2.5!$AO$11</f>
        <v>0</v>
      </c>
    </row>
    <row r="182" spans="2:3" ht="13.5" hidden="1" thickBot="1" x14ac:dyDescent="0.25">
      <c r="B182" s="111">
        <f t="shared" si="0"/>
        <v>2057</v>
      </c>
      <c r="C182" s="136">
        <f>[13]С2.5!$AP$11</f>
        <v>0</v>
      </c>
    </row>
    <row r="183" spans="2:3" ht="13.5" hidden="1" thickBot="1" x14ac:dyDescent="0.25">
      <c r="B183" s="111">
        <f t="shared" si="0"/>
        <v>2058</v>
      </c>
      <c r="C183" s="136">
        <f>[13]С2.5!$AQ$11</f>
        <v>0</v>
      </c>
    </row>
    <row r="184" spans="2:3" ht="13.5" hidden="1" thickBot="1" x14ac:dyDescent="0.25">
      <c r="B184" s="111">
        <f t="shared" si="0"/>
        <v>2059</v>
      </c>
      <c r="C184" s="136">
        <f>[13]С2.5!$AR$11</f>
        <v>0</v>
      </c>
    </row>
    <row r="185" spans="2:3" ht="13.5" hidden="1" thickBot="1" x14ac:dyDescent="0.25">
      <c r="B185" s="111">
        <f t="shared" si="0"/>
        <v>2060</v>
      </c>
      <c r="C185" s="136">
        <f>[13]С2.5!$AS$11</f>
        <v>0</v>
      </c>
    </row>
    <row r="186" spans="2:3" ht="13.5" hidden="1" thickBot="1" x14ac:dyDescent="0.25">
      <c r="B186" s="111">
        <f t="shared" si="0"/>
        <v>2061</v>
      </c>
      <c r="C186" s="136">
        <f>[13]С2.5!$AT$11</f>
        <v>0</v>
      </c>
    </row>
    <row r="187" spans="2:3" ht="13.5" hidden="1" thickBot="1" x14ac:dyDescent="0.25">
      <c r="B187" s="111">
        <f t="shared" si="0"/>
        <v>2062</v>
      </c>
      <c r="C187" s="136">
        <f>[13]С2.5!$AU$11</f>
        <v>0</v>
      </c>
    </row>
    <row r="188" spans="2:3" ht="13.5" hidden="1" thickBot="1" x14ac:dyDescent="0.25">
      <c r="B188" s="111">
        <f t="shared" si="0"/>
        <v>2063</v>
      </c>
      <c r="C188" s="136">
        <f>[13]С2.5!$AV$11</f>
        <v>0</v>
      </c>
    </row>
    <row r="189" spans="2:3" ht="13.5" hidden="1" thickBot="1" x14ac:dyDescent="0.25">
      <c r="B189" s="111">
        <f t="shared" si="0"/>
        <v>2064</v>
      </c>
      <c r="C189" s="136">
        <f>[13]С2.5!$AW$11</f>
        <v>0</v>
      </c>
    </row>
    <row r="190" spans="2:3" ht="13.5" hidden="1" thickBot="1" x14ac:dyDescent="0.25">
      <c r="B190" s="111">
        <f t="shared" si="0"/>
        <v>2065</v>
      </c>
      <c r="C190" s="136">
        <f>[13]С2.5!$AX$11</f>
        <v>0</v>
      </c>
    </row>
    <row r="191" spans="2:3" ht="13.5" hidden="1" thickBot="1" x14ac:dyDescent="0.25">
      <c r="B191" s="111">
        <f t="shared" si="0"/>
        <v>2066</v>
      </c>
      <c r="C191" s="136">
        <f>[13]С2.5!$AY$11</f>
        <v>0</v>
      </c>
    </row>
    <row r="192" spans="2:3" ht="13.5" hidden="1" thickBot="1" x14ac:dyDescent="0.25">
      <c r="B192" s="111">
        <f t="shared" si="0"/>
        <v>2067</v>
      </c>
      <c r="C192" s="136">
        <f>[13]С2.5!$AZ$11</f>
        <v>0</v>
      </c>
    </row>
    <row r="193" spans="2:3" ht="13.5" hidden="1" thickBot="1" x14ac:dyDescent="0.25">
      <c r="B193" s="111">
        <f t="shared" si="0"/>
        <v>2068</v>
      </c>
      <c r="C193" s="136">
        <f>[13]С2.5!$BA$11</f>
        <v>0</v>
      </c>
    </row>
    <row r="194" spans="2:3" ht="13.5" hidden="1" thickBot="1" x14ac:dyDescent="0.25">
      <c r="B194" s="111">
        <f t="shared" si="0"/>
        <v>2069</v>
      </c>
      <c r="C194" s="136">
        <f>[13]С2.5!$BB$11</f>
        <v>0</v>
      </c>
    </row>
    <row r="195" spans="2:3" ht="13.5" hidden="1" thickBot="1" x14ac:dyDescent="0.25">
      <c r="B195" s="111">
        <f t="shared" si="0"/>
        <v>2070</v>
      </c>
      <c r="C195" s="136">
        <f>[13]С2.5!$BC$11</f>
        <v>0</v>
      </c>
    </row>
    <row r="196" spans="2:3" ht="13.5" hidden="1" thickBot="1" x14ac:dyDescent="0.25">
      <c r="B196" s="111">
        <f t="shared" si="0"/>
        <v>2071</v>
      </c>
      <c r="C196" s="136">
        <f>[13]С2.5!$BD$11</f>
        <v>0</v>
      </c>
    </row>
    <row r="197" spans="2:3" ht="13.5" hidden="1" thickBot="1" x14ac:dyDescent="0.25">
      <c r="B197" s="111">
        <f t="shared" si="0"/>
        <v>2072</v>
      </c>
      <c r="C197" s="136">
        <f>[13]С2.5!$BE$11</f>
        <v>0</v>
      </c>
    </row>
    <row r="198" spans="2:3" ht="13.5" hidden="1" thickBot="1" x14ac:dyDescent="0.25">
      <c r="B198" s="111">
        <f t="shared" si="0"/>
        <v>2073</v>
      </c>
      <c r="C198" s="136">
        <f>[13]С2.5!$BF$11</f>
        <v>0</v>
      </c>
    </row>
    <row r="199" spans="2:3" ht="13.5" hidden="1" thickBot="1" x14ac:dyDescent="0.25">
      <c r="B199" s="111">
        <f t="shared" si="0"/>
        <v>2074</v>
      </c>
      <c r="C199" s="136">
        <f>[13]С2.5!$BG$11</f>
        <v>0</v>
      </c>
    </row>
    <row r="200" spans="2:3" ht="13.5" hidden="1" thickBot="1" x14ac:dyDescent="0.25">
      <c r="B200" s="111">
        <f t="shared" si="0"/>
        <v>2075</v>
      </c>
      <c r="C200" s="136">
        <f>[13]С2.5!$BH$11</f>
        <v>0</v>
      </c>
    </row>
    <row r="201" spans="2:3" ht="13.5" hidden="1" thickBot="1" x14ac:dyDescent="0.25">
      <c r="B201" s="111">
        <f t="shared" si="0"/>
        <v>2076</v>
      </c>
      <c r="C201" s="136">
        <f>[13]С2.5!$BI$11</f>
        <v>0</v>
      </c>
    </row>
    <row r="202" spans="2:3" ht="13.5" hidden="1" thickBot="1" x14ac:dyDescent="0.25">
      <c r="B202" s="111">
        <f t="shared" si="0"/>
        <v>2077</v>
      </c>
      <c r="C202" s="136">
        <f>[13]С2.5!$BJ$11</f>
        <v>0</v>
      </c>
    </row>
    <row r="203" spans="2:3" ht="13.5" hidden="1" thickBot="1" x14ac:dyDescent="0.25">
      <c r="B203" s="111">
        <f t="shared" si="0"/>
        <v>2078</v>
      </c>
      <c r="C203" s="136">
        <f>[13]С2.5!$BK$11</f>
        <v>0</v>
      </c>
    </row>
    <row r="204" spans="2:3" ht="13.5" hidden="1" thickBot="1" x14ac:dyDescent="0.25">
      <c r="B204" s="111">
        <f t="shared" si="0"/>
        <v>2079</v>
      </c>
      <c r="C204" s="136">
        <f>[13]С2.5!$BL$11</f>
        <v>0</v>
      </c>
    </row>
    <row r="205" spans="2:3" ht="13.5" hidden="1" thickBot="1" x14ac:dyDescent="0.25">
      <c r="B205" s="111">
        <f t="shared" si="0"/>
        <v>2080</v>
      </c>
      <c r="C205" s="136">
        <f>[13]С2.5!$BM$11</f>
        <v>0</v>
      </c>
    </row>
    <row r="206" spans="2:3" ht="13.5" hidden="1" thickBot="1" x14ac:dyDescent="0.25">
      <c r="B206" s="111">
        <f t="shared" si="0"/>
        <v>2081</v>
      </c>
      <c r="C206" s="136">
        <f>[13]С2.5!$BN$11</f>
        <v>0</v>
      </c>
    </row>
    <row r="207" spans="2:3" ht="13.5" hidden="1" thickBot="1" x14ac:dyDescent="0.25">
      <c r="B207" s="111">
        <f t="shared" si="0"/>
        <v>2082</v>
      </c>
      <c r="C207" s="136">
        <f>[13]С2.5!$BO$11</f>
        <v>0</v>
      </c>
    </row>
    <row r="208" spans="2:3" ht="13.5" hidden="1" thickBot="1" x14ac:dyDescent="0.25">
      <c r="B208" s="111">
        <f t="shared" si="0"/>
        <v>2083</v>
      </c>
      <c r="C208" s="136">
        <f>[13]С2.5!$BP$11</f>
        <v>0</v>
      </c>
    </row>
    <row r="209" spans="2:3" ht="13.5" hidden="1" thickBot="1" x14ac:dyDescent="0.25">
      <c r="B209" s="111">
        <f t="shared" si="0"/>
        <v>2084</v>
      </c>
      <c r="C209" s="136">
        <f>[13]С2.5!$BQ$11</f>
        <v>0</v>
      </c>
    </row>
    <row r="210" spans="2:3" ht="13.5" hidden="1" thickBot="1" x14ac:dyDescent="0.25">
      <c r="B210" s="111">
        <f t="shared" si="0"/>
        <v>2085</v>
      </c>
      <c r="C210" s="136">
        <f>[13]С2.5!$BR$11</f>
        <v>0</v>
      </c>
    </row>
    <row r="211" spans="2:3" ht="13.5" hidden="1" thickBot="1" x14ac:dyDescent="0.25">
      <c r="B211" s="111">
        <f t="shared" ref="B211:B224" si="1">B210+1</f>
        <v>2086</v>
      </c>
      <c r="C211" s="136">
        <f>[13]С2.5!$BS$11</f>
        <v>0</v>
      </c>
    </row>
    <row r="212" spans="2:3" ht="13.5" hidden="1" thickBot="1" x14ac:dyDescent="0.25">
      <c r="B212" s="111">
        <f t="shared" si="1"/>
        <v>2087</v>
      </c>
      <c r="C212" s="136">
        <f>[13]С2.5!$BT$11</f>
        <v>0</v>
      </c>
    </row>
    <row r="213" spans="2:3" ht="13.5" hidden="1" thickBot="1" x14ac:dyDescent="0.25">
      <c r="B213" s="111">
        <f t="shared" si="1"/>
        <v>2088</v>
      </c>
      <c r="C213" s="136">
        <f>[13]С2.5!$BU$11</f>
        <v>0</v>
      </c>
    </row>
    <row r="214" spans="2:3" ht="13.5" hidden="1" thickBot="1" x14ac:dyDescent="0.25">
      <c r="B214" s="111">
        <f t="shared" si="1"/>
        <v>2089</v>
      </c>
      <c r="C214" s="136">
        <f>[13]С2.5!$BV$11</f>
        <v>0</v>
      </c>
    </row>
    <row r="215" spans="2:3" ht="13.5" hidden="1" thickBot="1" x14ac:dyDescent="0.25">
      <c r="B215" s="111">
        <f t="shared" si="1"/>
        <v>2090</v>
      </c>
      <c r="C215" s="136">
        <f>[13]С2.5!$BW$11</f>
        <v>0</v>
      </c>
    </row>
    <row r="216" spans="2:3" ht="13.5" hidden="1" thickBot="1" x14ac:dyDescent="0.25">
      <c r="B216" s="111">
        <f t="shared" si="1"/>
        <v>2091</v>
      </c>
      <c r="C216" s="136">
        <f>[13]С2.5!$BX$11</f>
        <v>0</v>
      </c>
    </row>
    <row r="217" spans="2:3" ht="13.5" hidden="1" thickBot="1" x14ac:dyDescent="0.25">
      <c r="B217" s="111">
        <f t="shared" si="1"/>
        <v>2092</v>
      </c>
      <c r="C217" s="136">
        <f>[13]С2.5!$BY$11</f>
        <v>0</v>
      </c>
    </row>
    <row r="218" spans="2:3" ht="13.5" hidden="1" thickBot="1" x14ac:dyDescent="0.25">
      <c r="B218" s="111">
        <f t="shared" si="1"/>
        <v>2093</v>
      </c>
      <c r="C218" s="136">
        <f>[13]С2.5!$BZ$11</f>
        <v>0</v>
      </c>
    </row>
    <row r="219" spans="2:3" ht="13.5" hidden="1" thickBot="1" x14ac:dyDescent="0.25">
      <c r="B219" s="111">
        <f t="shared" si="1"/>
        <v>2094</v>
      </c>
      <c r="C219" s="136">
        <f>[13]С2.5!$CA$11</f>
        <v>0</v>
      </c>
    </row>
    <row r="220" spans="2:3" ht="13.5" hidden="1" thickBot="1" x14ac:dyDescent="0.25">
      <c r="B220" s="111">
        <f t="shared" si="1"/>
        <v>2095</v>
      </c>
      <c r="C220" s="136">
        <f>[13]С2.5!$CB$11</f>
        <v>0</v>
      </c>
    </row>
    <row r="221" spans="2:3" ht="13.5" hidden="1" thickBot="1" x14ac:dyDescent="0.25">
      <c r="B221" s="111">
        <f t="shared" si="1"/>
        <v>2096</v>
      </c>
      <c r="C221" s="136">
        <f>[13]С2.5!$CC$11</f>
        <v>0</v>
      </c>
    </row>
    <row r="222" spans="2:3" ht="13.5" hidden="1" thickBot="1" x14ac:dyDescent="0.25">
      <c r="B222" s="111">
        <f t="shared" si="1"/>
        <v>2097</v>
      </c>
      <c r="C222" s="136">
        <f>[13]С2.5!$CD$11</f>
        <v>0</v>
      </c>
    </row>
    <row r="223" spans="2:3" ht="13.5" hidden="1" thickBot="1" x14ac:dyDescent="0.25">
      <c r="B223" s="111">
        <f t="shared" si="1"/>
        <v>2098</v>
      </c>
      <c r="C223" s="136">
        <f>[13]С2.5!$CE$11</f>
        <v>0</v>
      </c>
    </row>
    <row r="224" spans="2:3" ht="13.5" hidden="1" thickBot="1" x14ac:dyDescent="0.25">
      <c r="B224" s="111">
        <f t="shared" si="1"/>
        <v>2099</v>
      </c>
      <c r="C224" s="136">
        <f>[13]С2.5!$CF$11</f>
        <v>0</v>
      </c>
    </row>
    <row r="225" spans="2:3" ht="13.5" hidden="1" thickBot="1" x14ac:dyDescent="0.25">
      <c r="B225" s="113">
        <f>B162+1</f>
        <v>2038</v>
      </c>
      <c r="C225" s="137" t="e">
        <f>[13]С2.5!#REF!</f>
        <v>#REF!</v>
      </c>
    </row>
    <row r="226" spans="2:3" x14ac:dyDescent="0.2">
      <c r="B226" s="138"/>
      <c r="C226" s="139"/>
    </row>
  </sheetData>
  <mergeCells count="9">
    <mergeCell ref="B1:C1"/>
    <mergeCell ref="A14:C14"/>
    <mergeCell ref="B27:C27"/>
    <mergeCell ref="B143:C143"/>
    <mergeCell ref="B45:C45"/>
    <mergeCell ref="B90:C90"/>
    <mergeCell ref="B101:C101"/>
    <mergeCell ref="B126:C126"/>
    <mergeCell ref="B129:C129"/>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13]!Лист29.PrintBlock">
                <anchor moveWithCells="1" sizeWithCells="1">
                  <from>
                    <xdr:col>3</xdr:col>
                    <xdr:colOff>47625</xdr:colOff>
                    <xdr:row>0</xdr:row>
                    <xdr:rowOff>104775</xdr:rowOff>
                  </from>
                  <to>
                    <xdr:col>4</xdr:col>
                    <xdr:colOff>1095375</xdr:colOff>
                    <xdr:row>0</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226"/>
  <sheetViews>
    <sheetView zoomScale="85" zoomScaleNormal="85" workbookViewId="0">
      <pane ySplit="8" topLeftCell="A9" activePane="bottomLeft" state="frozen"/>
      <selection pane="bottomLeft" activeCell="C17" sqref="C17"/>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44" t="s">
        <v>1</v>
      </c>
      <c r="C1" s="144"/>
    </row>
    <row r="2" spans="1:3" x14ac:dyDescent="0.2">
      <c r="A2" s="3"/>
      <c r="B2" s="4" t="s">
        <v>2</v>
      </c>
      <c r="C2" s="5">
        <f ca="1">TODAY()</f>
        <v>44944</v>
      </c>
    </row>
    <row r="3" spans="1:3" x14ac:dyDescent="0.2">
      <c r="A3" s="3"/>
      <c r="B3" s="6" t="s">
        <v>3</v>
      </c>
    </row>
    <row r="4" spans="1:3" ht="25.5" x14ac:dyDescent="0.2">
      <c r="A4" s="8"/>
      <c r="B4" s="9" t="str">
        <f>[3]И1!D13</f>
        <v>Субъект Российской Федерации</v>
      </c>
      <c r="C4" s="10" t="str">
        <f>[3]И1!E13</f>
        <v>Новосибирская область</v>
      </c>
    </row>
    <row r="5" spans="1:3" ht="38.25" x14ac:dyDescent="0.2">
      <c r="A5" s="8"/>
      <c r="B5" s="9" t="str">
        <f>[3]И1!D14</f>
        <v>Тип муниципального образования (выберите из списка)</v>
      </c>
      <c r="C5" s="10" t="str">
        <f>[3]И1!E14</f>
        <v>село Пеньково, Маслянинский муниципальный район</v>
      </c>
    </row>
    <row r="6" spans="1:3" x14ac:dyDescent="0.2">
      <c r="A6" s="8"/>
      <c r="B6" s="9" t="str">
        <f>IF([3]И1!E15="","",[3]И1!D15)</f>
        <v/>
      </c>
      <c r="C6" s="10" t="str">
        <f>IF([3]И1!E15="","",[3]И1!E15)</f>
        <v/>
      </c>
    </row>
    <row r="7" spans="1:3" x14ac:dyDescent="0.2">
      <c r="A7" s="8"/>
      <c r="B7" s="9" t="str">
        <f>[3]И1!D16</f>
        <v>Код ОКТМО</v>
      </c>
      <c r="C7" s="11" t="str">
        <f>[3]И1!E16</f>
        <v>50636431101</v>
      </c>
    </row>
    <row r="8" spans="1:3" x14ac:dyDescent="0.2">
      <c r="A8" s="8"/>
      <c r="B8" s="12" t="str">
        <f>[3]И1!D17</f>
        <v>Система теплоснабжения</v>
      </c>
      <c r="C8" s="13">
        <f>[3]И1!E17</f>
        <v>0</v>
      </c>
    </row>
    <row r="9" spans="1:3" x14ac:dyDescent="0.2">
      <c r="A9" s="8"/>
      <c r="B9" s="9" t="str">
        <f>[3]И1!D8</f>
        <v>Период регулирования (i)-й</v>
      </c>
      <c r="C9" s="14">
        <f>[3]И1!E8</f>
        <v>2023</v>
      </c>
    </row>
    <row r="10" spans="1:3" x14ac:dyDescent="0.2">
      <c r="A10" s="8"/>
      <c r="B10" s="9" t="str">
        <f>[3]И1!D9</f>
        <v>Период регулирования (i-1)-й</v>
      </c>
      <c r="C10" s="14">
        <f>[3]И1!E9</f>
        <v>2022</v>
      </c>
    </row>
    <row r="11" spans="1:3" x14ac:dyDescent="0.2">
      <c r="A11" s="8"/>
      <c r="B11" s="9" t="str">
        <f>[3]И1!D10</f>
        <v>Период регулирования (i-2)-й</v>
      </c>
      <c r="C11" s="14">
        <f>[3]И1!E10</f>
        <v>2021</v>
      </c>
    </row>
    <row r="12" spans="1:3" x14ac:dyDescent="0.2">
      <c r="A12" s="8"/>
      <c r="B12" s="9" t="str">
        <f>[3]И1!D11</f>
        <v>Базовый год (б)</v>
      </c>
      <c r="C12" s="14">
        <f>[3]И1!E11</f>
        <v>2019</v>
      </c>
    </row>
    <row r="13" spans="1:3" ht="38.25" x14ac:dyDescent="0.2">
      <c r="A13" s="8"/>
      <c r="B13" s="9" t="str">
        <f>[3]И1!D18</f>
        <v>Вид топлива, использование которого преобладает в системе теплоснабжения</v>
      </c>
      <c r="C13" s="15" t="str">
        <f>[3]С1.1!E13</f>
        <v>уголь (вид угля не указан в топливном балансе)</v>
      </c>
    </row>
    <row r="14" spans="1:3" ht="31.7" customHeight="1" thickBot="1" x14ac:dyDescent="0.25">
      <c r="A14" s="145" t="s">
        <v>4</v>
      </c>
      <c r="B14" s="145"/>
      <c r="C14" s="145"/>
    </row>
    <row r="15" spans="1:3" x14ac:dyDescent="0.2">
      <c r="A15" s="16" t="s">
        <v>5</v>
      </c>
      <c r="B15" s="17" t="s">
        <v>6</v>
      </c>
      <c r="C15" s="18" t="s">
        <v>7</v>
      </c>
    </row>
    <row r="16" spans="1:3" x14ac:dyDescent="0.2">
      <c r="A16" s="19">
        <v>1</v>
      </c>
      <c r="B16" s="20">
        <v>2</v>
      </c>
      <c r="C16" s="21">
        <v>3</v>
      </c>
    </row>
    <row r="17" spans="1:3" x14ac:dyDescent="0.2">
      <c r="A17" s="22">
        <v>1</v>
      </c>
      <c r="B17" s="23" t="s">
        <v>8</v>
      </c>
      <c r="C17" s="24">
        <f>SUM(C18:C22)</f>
        <v>4065.737183410296</v>
      </c>
    </row>
    <row r="18" spans="1:3" ht="42.75" x14ac:dyDescent="0.2">
      <c r="A18" s="22" t="s">
        <v>9</v>
      </c>
      <c r="B18" s="25" t="s">
        <v>10</v>
      </c>
      <c r="C18" s="26">
        <f>[3]С1!F12</f>
        <v>931.18468604281509</v>
      </c>
    </row>
    <row r="19" spans="1:3" ht="42.75" x14ac:dyDescent="0.2">
      <c r="A19" s="22" t="s">
        <v>11</v>
      </c>
      <c r="B19" s="25" t="s">
        <v>12</v>
      </c>
      <c r="C19" s="26">
        <f>[3]С2!F12</f>
        <v>2110.2454761302993</v>
      </c>
    </row>
    <row r="20" spans="1:3" ht="30" x14ac:dyDescent="0.2">
      <c r="A20" s="22" t="s">
        <v>13</v>
      </c>
      <c r="B20" s="25" t="s">
        <v>14</v>
      </c>
      <c r="C20" s="26">
        <f>[3]С3!F12</f>
        <v>504.95006339690781</v>
      </c>
    </row>
    <row r="21" spans="1:3" ht="42.75" x14ac:dyDescent="0.2">
      <c r="A21" s="22" t="s">
        <v>15</v>
      </c>
      <c r="B21" s="25" t="s">
        <v>16</v>
      </c>
      <c r="C21" s="26">
        <f>[3]С4!F12</f>
        <v>439.6366209106605</v>
      </c>
    </row>
    <row r="22" spans="1:3" ht="30" x14ac:dyDescent="0.2">
      <c r="A22" s="22" t="s">
        <v>17</v>
      </c>
      <c r="B22" s="25" t="s">
        <v>18</v>
      </c>
      <c r="C22" s="26">
        <f>[3]С5!F12</f>
        <v>79.720336929613651</v>
      </c>
    </row>
    <row r="23" spans="1:3" ht="43.5" thickBot="1" x14ac:dyDescent="0.25">
      <c r="A23" s="27" t="s">
        <v>19</v>
      </c>
      <c r="B23" s="28" t="s">
        <v>20</v>
      </c>
      <c r="C23" s="29" t="str">
        <f>[3]С6!F12</f>
        <v>-</v>
      </c>
    </row>
    <row r="24" spans="1:3" ht="13.5" thickBot="1" x14ac:dyDescent="0.25">
      <c r="A24" s="3"/>
    </row>
    <row r="25" spans="1:3" x14ac:dyDescent="0.2">
      <c r="A25" s="16" t="s">
        <v>5</v>
      </c>
      <c r="B25" s="30" t="s">
        <v>6</v>
      </c>
      <c r="C25" s="31" t="s">
        <v>7</v>
      </c>
    </row>
    <row r="26" spans="1:3" x14ac:dyDescent="0.2">
      <c r="A26" s="19">
        <v>1</v>
      </c>
      <c r="B26" s="32">
        <v>2</v>
      </c>
      <c r="C26" s="33">
        <v>3</v>
      </c>
    </row>
    <row r="27" spans="1:3" ht="30" customHeight="1" x14ac:dyDescent="0.2">
      <c r="A27" s="22">
        <v>1</v>
      </c>
      <c r="B27" s="146" t="s">
        <v>21</v>
      </c>
      <c r="C27" s="146"/>
    </row>
    <row r="28" spans="1:3" x14ac:dyDescent="0.2">
      <c r="A28" s="22" t="s">
        <v>9</v>
      </c>
      <c r="B28" s="34" t="s">
        <v>22</v>
      </c>
      <c r="C28" s="35">
        <f>[3]С1.1!E16</f>
        <v>5100</v>
      </c>
    </row>
    <row r="29" spans="1:3" ht="42.75" x14ac:dyDescent="0.2">
      <c r="A29" s="22" t="s">
        <v>11</v>
      </c>
      <c r="B29" s="34" t="s">
        <v>23</v>
      </c>
      <c r="C29" s="35">
        <f>[3]С1.1!E27</f>
        <v>2503.8000000000002</v>
      </c>
    </row>
    <row r="30" spans="1:3" ht="17.25" x14ac:dyDescent="0.2">
      <c r="A30" s="22" t="s">
        <v>13</v>
      </c>
      <c r="B30" s="34" t="s">
        <v>24</v>
      </c>
      <c r="C30" s="36">
        <f>[3]С1.1!E19</f>
        <v>0.59499999999999997</v>
      </c>
    </row>
    <row r="31" spans="1:3" ht="17.25" x14ac:dyDescent="0.2">
      <c r="A31" s="22" t="s">
        <v>15</v>
      </c>
      <c r="B31" s="34" t="s">
        <v>25</v>
      </c>
      <c r="C31" s="36">
        <f>[3]С1.1!E20</f>
        <v>-0.113</v>
      </c>
    </row>
    <row r="32" spans="1:3" ht="30" x14ac:dyDescent="0.2">
      <c r="A32" s="22" t="s">
        <v>17</v>
      </c>
      <c r="B32" s="37" t="s">
        <v>26</v>
      </c>
      <c r="C32" s="38">
        <f>[3]С1!F13</f>
        <v>176.4</v>
      </c>
    </row>
    <row r="33" spans="1:3" x14ac:dyDescent="0.2">
      <c r="A33" s="22" t="s">
        <v>19</v>
      </c>
      <c r="B33" s="37" t="s">
        <v>27</v>
      </c>
      <c r="C33" s="39">
        <f>[3]С1!F16</f>
        <v>7000</v>
      </c>
    </row>
    <row r="34" spans="1:3" ht="14.25" x14ac:dyDescent="0.2">
      <c r="A34" s="22" t="s">
        <v>28</v>
      </c>
      <c r="B34" s="40" t="s">
        <v>29</v>
      </c>
      <c r="C34" s="41">
        <f>[3]С1!F17</f>
        <v>0.72857142857142854</v>
      </c>
    </row>
    <row r="35" spans="1:3" ht="15.75" x14ac:dyDescent="0.2">
      <c r="A35" s="42" t="s">
        <v>30</v>
      </c>
      <c r="B35" s="43" t="s">
        <v>31</v>
      </c>
      <c r="C35" s="41">
        <f>[3]С1!F20</f>
        <v>21.588411179999994</v>
      </c>
    </row>
    <row r="36" spans="1:3" ht="15.75" x14ac:dyDescent="0.2">
      <c r="A36" s="42" t="s">
        <v>32</v>
      </c>
      <c r="B36" s="44" t="s">
        <v>33</v>
      </c>
      <c r="C36" s="41">
        <f>[3]С1!F21</f>
        <v>20.818139999999996</v>
      </c>
    </row>
    <row r="37" spans="1:3" ht="14.25" x14ac:dyDescent="0.2">
      <c r="A37" s="42" t="s">
        <v>34</v>
      </c>
      <c r="B37" s="45" t="s">
        <v>35</v>
      </c>
      <c r="C37" s="41">
        <f>[3]С1!F22</f>
        <v>1.0369999999999999</v>
      </c>
    </row>
    <row r="38" spans="1:3" ht="53.25" thickBot="1" x14ac:dyDescent="0.25">
      <c r="A38" s="27" t="s">
        <v>36</v>
      </c>
      <c r="B38" s="46" t="s">
        <v>37</v>
      </c>
      <c r="C38" s="47">
        <f>[3]С1!F23</f>
        <v>1.0469999999999999</v>
      </c>
    </row>
    <row r="39" spans="1:3" ht="13.5" thickBot="1" x14ac:dyDescent="0.25">
      <c r="A39" s="48"/>
      <c r="B39" s="49"/>
      <c r="C39" s="50"/>
    </row>
    <row r="40" spans="1:3" ht="30" customHeight="1" x14ac:dyDescent="0.2">
      <c r="A40" s="51" t="s">
        <v>38</v>
      </c>
      <c r="B40" s="142" t="s">
        <v>39</v>
      </c>
      <c r="C40" s="142"/>
    </row>
    <row r="41" spans="1:3" ht="25.5" x14ac:dyDescent="0.2">
      <c r="A41" s="22" t="s">
        <v>40</v>
      </c>
      <c r="B41" s="37" t="s">
        <v>41</v>
      </c>
      <c r="C41" s="52" t="str">
        <f>[3]С2.1!E12</f>
        <v>V</v>
      </c>
    </row>
    <row r="42" spans="1:3" ht="25.5" x14ac:dyDescent="0.2">
      <c r="A42" s="22" t="s">
        <v>42</v>
      </c>
      <c r="B42" s="34" t="s">
        <v>43</v>
      </c>
      <c r="C42" s="52" t="str">
        <f>[3]С2.1!E13</f>
        <v>6 и менее баллов</v>
      </c>
    </row>
    <row r="43" spans="1:3" ht="25.5" x14ac:dyDescent="0.2">
      <c r="A43" s="22" t="s">
        <v>44</v>
      </c>
      <c r="B43" s="34" t="s">
        <v>45</v>
      </c>
      <c r="C43" s="52" t="str">
        <f>[3]С2.1!E14</f>
        <v>от 200 до 500</v>
      </c>
    </row>
    <row r="44" spans="1:3" ht="25.5" x14ac:dyDescent="0.2">
      <c r="A44" s="22" t="s">
        <v>46</v>
      </c>
      <c r="B44" s="34" t="s">
        <v>47</v>
      </c>
      <c r="C44" s="53" t="str">
        <f>[3]С2.1!E15</f>
        <v>нет</v>
      </c>
    </row>
    <row r="45" spans="1:3" ht="30" x14ac:dyDescent="0.2">
      <c r="A45" s="22" t="s">
        <v>48</v>
      </c>
      <c r="B45" s="34" t="s">
        <v>49</v>
      </c>
      <c r="C45" s="35">
        <f>[3]С2!F18</f>
        <v>32402.627334033532</v>
      </c>
    </row>
    <row r="46" spans="1:3" ht="30" x14ac:dyDescent="0.2">
      <c r="A46" s="22" t="s">
        <v>50</v>
      </c>
      <c r="B46" s="54" t="s">
        <v>51</v>
      </c>
      <c r="C46" s="35">
        <f>IF([3]С2!F19&gt;0,[3]С2!F19,[3]С2!F20)</f>
        <v>23441.524932855718</v>
      </c>
    </row>
    <row r="47" spans="1:3" ht="25.5" x14ac:dyDescent="0.2">
      <c r="A47" s="22" t="s">
        <v>52</v>
      </c>
      <c r="B47" s="55" t="s">
        <v>53</v>
      </c>
      <c r="C47" s="35">
        <f>[3]С2.1!E19</f>
        <v>-37</v>
      </c>
    </row>
    <row r="48" spans="1:3" ht="25.5" x14ac:dyDescent="0.2">
      <c r="A48" s="22" t="s">
        <v>54</v>
      </c>
      <c r="B48" s="55" t="s">
        <v>55</v>
      </c>
      <c r="C48" s="35" t="str">
        <f>[3]С2.1!E22</f>
        <v>нет</v>
      </c>
    </row>
    <row r="49" spans="1:3" ht="38.25" x14ac:dyDescent="0.2">
      <c r="A49" s="22" t="s">
        <v>56</v>
      </c>
      <c r="B49" s="56" t="s">
        <v>57</v>
      </c>
      <c r="C49" s="35">
        <f>[3]С2.2!E10</f>
        <v>1287</v>
      </c>
    </row>
    <row r="50" spans="1:3" ht="25.5" x14ac:dyDescent="0.2">
      <c r="A50" s="22" t="s">
        <v>58</v>
      </c>
      <c r="B50" s="57" t="s">
        <v>59</v>
      </c>
      <c r="C50" s="35">
        <f>[3]С2.2!E12</f>
        <v>5.97</v>
      </c>
    </row>
    <row r="51" spans="1:3" ht="52.5" x14ac:dyDescent="0.2">
      <c r="A51" s="22" t="s">
        <v>60</v>
      </c>
      <c r="B51" s="58" t="s">
        <v>61</v>
      </c>
      <c r="C51" s="35">
        <f>[3]С2.2!E13</f>
        <v>1</v>
      </c>
    </row>
    <row r="52" spans="1:3" ht="27.75" x14ac:dyDescent="0.2">
      <c r="A52" s="22" t="s">
        <v>62</v>
      </c>
      <c r="B52" s="57" t="s">
        <v>63</v>
      </c>
      <c r="C52" s="35">
        <f>[3]С2.2!E14</f>
        <v>12104</v>
      </c>
    </row>
    <row r="53" spans="1:3" ht="25.5" x14ac:dyDescent="0.2">
      <c r="A53" s="22" t="s">
        <v>64</v>
      </c>
      <c r="B53" s="58" t="s">
        <v>65</v>
      </c>
      <c r="C53" s="36">
        <f>[3]С2.2!E15</f>
        <v>4.8000000000000001E-2</v>
      </c>
    </row>
    <row r="54" spans="1:3" x14ac:dyDescent="0.2">
      <c r="A54" s="22" t="s">
        <v>66</v>
      </c>
      <c r="B54" s="58" t="s">
        <v>67</v>
      </c>
      <c r="C54" s="35">
        <f>[3]С2.2!E16</f>
        <v>1</v>
      </c>
    </row>
    <row r="55" spans="1:3" ht="15.75" x14ac:dyDescent="0.2">
      <c r="A55" s="22" t="s">
        <v>68</v>
      </c>
      <c r="B55" s="59" t="s">
        <v>69</v>
      </c>
      <c r="C55" s="35">
        <f>[3]С2!F21</f>
        <v>1</v>
      </c>
    </row>
    <row r="56" spans="1:3" ht="30" x14ac:dyDescent="0.2">
      <c r="A56" s="60" t="s">
        <v>70</v>
      </c>
      <c r="B56" s="34" t="s">
        <v>71</v>
      </c>
      <c r="C56" s="35">
        <f>[3]С2!F13</f>
        <v>169640.22915965237</v>
      </c>
    </row>
    <row r="57" spans="1:3" ht="30" x14ac:dyDescent="0.2">
      <c r="A57" s="60" t="s">
        <v>72</v>
      </c>
      <c r="B57" s="59" t="s">
        <v>73</v>
      </c>
      <c r="C57" s="35">
        <f>[3]С2!F14</f>
        <v>113455</v>
      </c>
    </row>
    <row r="58" spans="1:3" ht="15.75" x14ac:dyDescent="0.2">
      <c r="A58" s="60" t="s">
        <v>74</v>
      </c>
      <c r="B58" s="61" t="s">
        <v>75</v>
      </c>
      <c r="C58" s="41">
        <f>[3]С2!F15</f>
        <v>1.071</v>
      </c>
    </row>
    <row r="59" spans="1:3" ht="15.75" x14ac:dyDescent="0.2">
      <c r="A59" s="60" t="s">
        <v>76</v>
      </c>
      <c r="B59" s="61" t="s">
        <v>77</v>
      </c>
      <c r="C59" s="41">
        <f>[3]С2!F16</f>
        <v>1</v>
      </c>
    </row>
    <row r="60" spans="1:3" ht="17.25" x14ac:dyDescent="0.2">
      <c r="A60" s="60" t="s">
        <v>78</v>
      </c>
      <c r="B60" s="59" t="s">
        <v>79</v>
      </c>
      <c r="C60" s="35">
        <f>[3]С2!F17</f>
        <v>1.01</v>
      </c>
    </row>
    <row r="61" spans="1:3" s="64" customFormat="1" ht="14.25" x14ac:dyDescent="0.2">
      <c r="A61" s="60" t="s">
        <v>80</v>
      </c>
      <c r="B61" s="62" t="s">
        <v>81</v>
      </c>
      <c r="C61" s="63">
        <f>[3]С2!F33</f>
        <v>10</v>
      </c>
    </row>
    <row r="62" spans="1:3" ht="30" x14ac:dyDescent="0.2">
      <c r="A62" s="60" t="s">
        <v>82</v>
      </c>
      <c r="B62" s="65" t="s">
        <v>83</v>
      </c>
      <c r="C62" s="35">
        <f>[3]С2!F26</f>
        <v>1598.6279958476514</v>
      </c>
    </row>
    <row r="63" spans="1:3" ht="17.25" x14ac:dyDescent="0.2">
      <c r="A63" s="60" t="s">
        <v>84</v>
      </c>
      <c r="B63" s="54" t="s">
        <v>85</v>
      </c>
      <c r="C63" s="35">
        <f>[3]С2!F27</f>
        <v>0.27536184199999997</v>
      </c>
    </row>
    <row r="64" spans="1:3" ht="17.25" x14ac:dyDescent="0.2">
      <c r="A64" s="60" t="s">
        <v>86</v>
      </c>
      <c r="B64" s="59" t="s">
        <v>87</v>
      </c>
      <c r="C64" s="63">
        <f>[3]С2!F28</f>
        <v>4200</v>
      </c>
    </row>
    <row r="65" spans="1:3" ht="42.75" x14ac:dyDescent="0.2">
      <c r="A65" s="60" t="s">
        <v>88</v>
      </c>
      <c r="B65" s="34" t="s">
        <v>89</v>
      </c>
      <c r="C65" s="35">
        <f>[3]С2!F22</f>
        <v>35717.748653137714</v>
      </c>
    </row>
    <row r="66" spans="1:3" ht="30" x14ac:dyDescent="0.2">
      <c r="A66" s="60" t="s">
        <v>90</v>
      </c>
      <c r="B66" s="61" t="s">
        <v>91</v>
      </c>
      <c r="C66" s="35">
        <f>[3]С2!F23</f>
        <v>1990</v>
      </c>
    </row>
    <row r="67" spans="1:3" ht="30" x14ac:dyDescent="0.2">
      <c r="A67" s="60" t="s">
        <v>92</v>
      </c>
      <c r="B67" s="54" t="s">
        <v>93</v>
      </c>
      <c r="C67" s="35">
        <f>[3]С2.1!E27</f>
        <v>14307.876789999998</v>
      </c>
    </row>
    <row r="68" spans="1:3" ht="38.25" x14ac:dyDescent="0.2">
      <c r="A68" s="60" t="s">
        <v>94</v>
      </c>
      <c r="B68" s="66" t="s">
        <v>95</v>
      </c>
      <c r="C68" s="53">
        <f>[3]С2.3!E21</f>
        <v>0</v>
      </c>
    </row>
    <row r="69" spans="1:3" ht="25.5" x14ac:dyDescent="0.2">
      <c r="A69" s="60" t="s">
        <v>96</v>
      </c>
      <c r="B69" s="67" t="s">
        <v>97</v>
      </c>
      <c r="C69" s="68">
        <f>[3]С2.3!E11</f>
        <v>9.89</v>
      </c>
    </row>
    <row r="70" spans="1:3" ht="25.5" x14ac:dyDescent="0.2">
      <c r="A70" s="60" t="s">
        <v>98</v>
      </c>
      <c r="B70" s="67" t="s">
        <v>99</v>
      </c>
      <c r="C70" s="63">
        <f>[3]С2.3!E13</f>
        <v>300</v>
      </c>
    </row>
    <row r="71" spans="1:3" ht="25.5" x14ac:dyDescent="0.2">
      <c r="A71" s="60" t="s">
        <v>100</v>
      </c>
      <c r="B71" s="66" t="s">
        <v>101</v>
      </c>
      <c r="C71" s="69">
        <f>IF([3]С2.3!E22&gt;0,[3]С2.3!E22,[3]С2.3!E14)</f>
        <v>61211</v>
      </c>
    </row>
    <row r="72" spans="1:3" ht="38.25" x14ac:dyDescent="0.2">
      <c r="A72" s="60" t="s">
        <v>102</v>
      </c>
      <c r="B72" s="66" t="s">
        <v>103</v>
      </c>
      <c r="C72" s="69">
        <f>IF([3]С2.3!E23&gt;0,[3]С2.3!E23,[3]С2.3!E15)</f>
        <v>45675</v>
      </c>
    </row>
    <row r="73" spans="1:3" ht="30" x14ac:dyDescent="0.2">
      <c r="A73" s="60" t="s">
        <v>104</v>
      </c>
      <c r="B73" s="54" t="s">
        <v>105</v>
      </c>
      <c r="C73" s="35">
        <f>[3]С2.1!E28</f>
        <v>9541.9567200000001</v>
      </c>
    </row>
    <row r="74" spans="1:3" ht="38.25" x14ac:dyDescent="0.2">
      <c r="A74" s="60" t="s">
        <v>106</v>
      </c>
      <c r="B74" s="66" t="s">
        <v>107</v>
      </c>
      <c r="C74" s="53">
        <f>[3]С2.3!E25</f>
        <v>0</v>
      </c>
    </row>
    <row r="75" spans="1:3" ht="25.5" x14ac:dyDescent="0.2">
      <c r="A75" s="60" t="s">
        <v>108</v>
      </c>
      <c r="B75" s="67" t="s">
        <v>109</v>
      </c>
      <c r="C75" s="68">
        <f>[3]С2.3!E12</f>
        <v>0.56000000000000005</v>
      </c>
    </row>
    <row r="76" spans="1:3" ht="25.5" x14ac:dyDescent="0.2">
      <c r="A76" s="60" t="s">
        <v>110</v>
      </c>
      <c r="B76" s="67" t="s">
        <v>99</v>
      </c>
      <c r="C76" s="63">
        <f>[3]С2.3!E13</f>
        <v>300</v>
      </c>
    </row>
    <row r="77" spans="1:3" ht="25.5" x14ac:dyDescent="0.2">
      <c r="A77" s="60" t="s">
        <v>111</v>
      </c>
      <c r="B77" s="70" t="s">
        <v>112</v>
      </c>
      <c r="C77" s="69">
        <f>IF([3]С2.3!E26&gt;0,[3]С2.3!E26,[3]С2.3!E16)</f>
        <v>65637</v>
      </c>
    </row>
    <row r="78" spans="1:3" ht="38.25" x14ac:dyDescent="0.2">
      <c r="A78" s="60" t="s">
        <v>113</v>
      </c>
      <c r="B78" s="70" t="s">
        <v>114</v>
      </c>
      <c r="C78" s="69">
        <f>IF([3]С2.3!E27&gt;0,[3]С2.3!E27,[3]С2.3!E17)</f>
        <v>31684</v>
      </c>
    </row>
    <row r="79" spans="1:3" ht="17.25" x14ac:dyDescent="0.2">
      <c r="A79" s="60" t="s">
        <v>115</v>
      </c>
      <c r="B79" s="34" t="s">
        <v>116</v>
      </c>
      <c r="C79" s="36">
        <f>[3]С2!F29</f>
        <v>0.128978033685065</v>
      </c>
    </row>
    <row r="80" spans="1:3" ht="30" x14ac:dyDescent="0.2">
      <c r="A80" s="60" t="s">
        <v>117</v>
      </c>
      <c r="B80" s="54" t="s">
        <v>118</v>
      </c>
      <c r="C80" s="71">
        <f>[3]С2!F30</f>
        <v>0.11668498168498169</v>
      </c>
    </row>
    <row r="81" spans="1:3" ht="17.25" x14ac:dyDescent="0.2">
      <c r="A81" s="60" t="s">
        <v>119</v>
      </c>
      <c r="B81" s="72" t="s">
        <v>120</v>
      </c>
      <c r="C81" s="36">
        <f>[3]С2!F31</f>
        <v>0.13880000000000001</v>
      </c>
    </row>
    <row r="82" spans="1:3" s="64" customFormat="1" ht="18" thickBot="1" x14ac:dyDescent="0.25">
      <c r="A82" s="73" t="s">
        <v>121</v>
      </c>
      <c r="B82" s="74" t="s">
        <v>122</v>
      </c>
      <c r="C82" s="75">
        <f>[3]С2!F32</f>
        <v>0.12640000000000001</v>
      </c>
    </row>
    <row r="83" spans="1:3" ht="13.5" thickBot="1" x14ac:dyDescent="0.25">
      <c r="A83" s="48"/>
      <c r="B83" s="76"/>
      <c r="C83" s="15"/>
    </row>
    <row r="84" spans="1:3" s="64" customFormat="1" ht="30" customHeight="1" x14ac:dyDescent="0.2">
      <c r="A84" s="77" t="s">
        <v>123</v>
      </c>
      <c r="B84" s="142" t="s">
        <v>124</v>
      </c>
      <c r="C84" s="142"/>
    </row>
    <row r="85" spans="1:3" s="64" customFormat="1" ht="30" x14ac:dyDescent="0.2">
      <c r="A85" s="78" t="s">
        <v>125</v>
      </c>
      <c r="B85" s="34" t="s">
        <v>126</v>
      </c>
      <c r="C85" s="35">
        <f>[3]С3!F14</f>
        <v>7020.1696866647444</v>
      </c>
    </row>
    <row r="86" spans="1:3" s="64" customFormat="1" ht="42.75" x14ac:dyDescent="0.2">
      <c r="A86" s="78" t="s">
        <v>127</v>
      </c>
      <c r="B86" s="54" t="s">
        <v>128</v>
      </c>
      <c r="C86" s="79">
        <f>[3]С3!F15</f>
        <v>0.2</v>
      </c>
    </row>
    <row r="87" spans="1:3" s="64" customFormat="1" ht="14.25" x14ac:dyDescent="0.2">
      <c r="A87" s="78" t="s">
        <v>129</v>
      </c>
      <c r="B87" s="80" t="s">
        <v>130</v>
      </c>
      <c r="C87" s="63">
        <f>[3]С3!F18</f>
        <v>15</v>
      </c>
    </row>
    <row r="88" spans="1:3" s="64" customFormat="1" ht="17.25" x14ac:dyDescent="0.2">
      <c r="A88" s="78" t="s">
        <v>131</v>
      </c>
      <c r="B88" s="34" t="s">
        <v>132</v>
      </c>
      <c r="C88" s="35">
        <f>[3]С3!F19</f>
        <v>3487.1555421534131</v>
      </c>
    </row>
    <row r="89" spans="1:3" s="64" customFormat="1" ht="55.5" x14ac:dyDescent="0.2">
      <c r="A89" s="78" t="s">
        <v>133</v>
      </c>
      <c r="B89" s="54" t="s">
        <v>134</v>
      </c>
      <c r="C89" s="81">
        <f>[3]С3!F20</f>
        <v>2.1999999999999999E-2</v>
      </c>
    </row>
    <row r="90" spans="1:3" s="64" customFormat="1" ht="14.25" x14ac:dyDescent="0.2">
      <c r="A90" s="78" t="s">
        <v>135</v>
      </c>
      <c r="B90" s="59" t="s">
        <v>81</v>
      </c>
      <c r="C90" s="63">
        <f>[3]С3!F21</f>
        <v>10</v>
      </c>
    </row>
    <row r="91" spans="1:3" s="64" customFormat="1" ht="17.25" x14ac:dyDescent="0.2">
      <c r="A91" s="78" t="s">
        <v>136</v>
      </c>
      <c r="B91" s="34" t="s">
        <v>137</v>
      </c>
      <c r="C91" s="35">
        <f>[3]С3!F22</f>
        <v>4.795883987542954</v>
      </c>
    </row>
    <row r="92" spans="1:3" s="64" customFormat="1" ht="55.5" x14ac:dyDescent="0.2">
      <c r="A92" s="78" t="s">
        <v>138</v>
      </c>
      <c r="B92" s="54" t="s">
        <v>139</v>
      </c>
      <c r="C92" s="81">
        <f>[3]С3!F23</f>
        <v>3.0000000000000001E-3</v>
      </c>
    </row>
    <row r="93" spans="1:3" s="64" customFormat="1" ht="27.75" thickBot="1" x14ac:dyDescent="0.25">
      <c r="A93" s="82" t="s">
        <v>140</v>
      </c>
      <c r="B93" s="83" t="s">
        <v>141</v>
      </c>
      <c r="C93" s="84">
        <f>[3]С3!F24</f>
        <v>1598.6279958476514</v>
      </c>
    </row>
    <row r="94" spans="1:3" ht="13.5" thickBot="1" x14ac:dyDescent="0.25">
      <c r="A94" s="48"/>
      <c r="B94" s="76"/>
      <c r="C94" s="15"/>
    </row>
    <row r="95" spans="1:3" ht="30" customHeight="1" x14ac:dyDescent="0.2">
      <c r="A95" s="85" t="s">
        <v>142</v>
      </c>
      <c r="B95" s="142" t="s">
        <v>143</v>
      </c>
      <c r="C95" s="142"/>
    </row>
    <row r="96" spans="1:3" ht="30" x14ac:dyDescent="0.2">
      <c r="A96" s="60" t="s">
        <v>144</v>
      </c>
      <c r="B96" s="34" t="s">
        <v>145</v>
      </c>
      <c r="C96" s="35">
        <f>[3]С4!F16</f>
        <v>1652.5</v>
      </c>
    </row>
    <row r="97" spans="1:3" ht="30" x14ac:dyDescent="0.2">
      <c r="A97" s="60" t="s">
        <v>146</v>
      </c>
      <c r="B97" s="59" t="s">
        <v>147</v>
      </c>
      <c r="C97" s="35">
        <f>[3]С4!F17</f>
        <v>73547</v>
      </c>
    </row>
    <row r="98" spans="1:3" ht="33" x14ac:dyDescent="0.2">
      <c r="A98" s="60" t="s">
        <v>148</v>
      </c>
      <c r="B98" s="59" t="s">
        <v>149</v>
      </c>
      <c r="C98" s="41">
        <f>[3]С4!F18</f>
        <v>0.02</v>
      </c>
    </row>
    <row r="99" spans="1:3" ht="30" x14ac:dyDescent="0.2">
      <c r="A99" s="60" t="s">
        <v>150</v>
      </c>
      <c r="B99" s="59" t="s">
        <v>151</v>
      </c>
      <c r="C99" s="35">
        <f>[3]С4!F19</f>
        <v>12104</v>
      </c>
    </row>
    <row r="100" spans="1:3" ht="28.5" x14ac:dyDescent="0.2">
      <c r="A100" s="60" t="s">
        <v>152</v>
      </c>
      <c r="B100" s="59" t="s">
        <v>153</v>
      </c>
      <c r="C100" s="41">
        <f>[3]С4!F20</f>
        <v>1.4999999999999999E-2</v>
      </c>
    </row>
    <row r="101" spans="1:3" ht="30" x14ac:dyDescent="0.2">
      <c r="A101" s="60" t="s">
        <v>154</v>
      </c>
      <c r="B101" s="34" t="s">
        <v>155</v>
      </c>
      <c r="C101" s="35">
        <f>[3]С4!F21</f>
        <v>1933.1949342509995</v>
      </c>
    </row>
    <row r="102" spans="1:3" ht="24" customHeight="1" x14ac:dyDescent="0.2">
      <c r="A102" s="60" t="s">
        <v>156</v>
      </c>
      <c r="B102" s="54" t="s">
        <v>157</v>
      </c>
      <c r="C102" s="86">
        <f>IF([3]С4.2!F8="да",[3]С4.2!D21,[3]С4.2!D15)</f>
        <v>0</v>
      </c>
    </row>
    <row r="103" spans="1:3" ht="68.25" x14ac:dyDescent="0.2">
      <c r="A103" s="60" t="s">
        <v>158</v>
      </c>
      <c r="B103" s="54" t="s">
        <v>159</v>
      </c>
      <c r="C103" s="35">
        <f>[3]С4!F22</f>
        <v>3.6112641666666665</v>
      </c>
    </row>
    <row r="104" spans="1:3" ht="30" x14ac:dyDescent="0.2">
      <c r="A104" s="60" t="s">
        <v>160</v>
      </c>
      <c r="B104" s="59" t="s">
        <v>161</v>
      </c>
      <c r="C104" s="35">
        <f>[3]С4!F23</f>
        <v>180</v>
      </c>
    </row>
    <row r="105" spans="1:3" ht="14.25" x14ac:dyDescent="0.2">
      <c r="A105" s="60" t="s">
        <v>162</v>
      </c>
      <c r="B105" s="54" t="s">
        <v>163</v>
      </c>
      <c r="C105" s="35">
        <f>[3]С4!F24</f>
        <v>8497.1999999999989</v>
      </c>
    </row>
    <row r="106" spans="1:3" ht="14.25" x14ac:dyDescent="0.2">
      <c r="A106" s="60" t="s">
        <v>164</v>
      </c>
      <c r="B106" s="59" t="s">
        <v>165</v>
      </c>
      <c r="C106" s="41">
        <f>[3]С4!F25</f>
        <v>0.35</v>
      </c>
    </row>
    <row r="107" spans="1:3" ht="17.25" x14ac:dyDescent="0.2">
      <c r="A107" s="60" t="s">
        <v>166</v>
      </c>
      <c r="B107" s="34" t="s">
        <v>167</v>
      </c>
      <c r="C107" s="35">
        <f>[3]С4!F26</f>
        <v>89.915350000000004</v>
      </c>
    </row>
    <row r="108" spans="1:3" ht="25.5" x14ac:dyDescent="0.2">
      <c r="A108" s="60" t="s">
        <v>168</v>
      </c>
      <c r="B108" s="54" t="s">
        <v>95</v>
      </c>
      <c r="C108" s="86">
        <f>[3]С4.3!E16</f>
        <v>0</v>
      </c>
    </row>
    <row r="109" spans="1:3" ht="25.5" x14ac:dyDescent="0.2">
      <c r="A109" s="60" t="s">
        <v>169</v>
      </c>
      <c r="B109" s="54" t="s">
        <v>170</v>
      </c>
      <c r="C109" s="35">
        <f>[3]С4.3!E17</f>
        <v>23.25</v>
      </c>
    </row>
    <row r="110" spans="1:3" ht="38.25" x14ac:dyDescent="0.2">
      <c r="A110" s="60" t="s">
        <v>171</v>
      </c>
      <c r="B110" s="54" t="s">
        <v>107</v>
      </c>
      <c r="C110" s="86">
        <f>[3]С4.3!E18</f>
        <v>0</v>
      </c>
    </row>
    <row r="111" spans="1:3" x14ac:dyDescent="0.2">
      <c r="A111" s="60" t="s">
        <v>172</v>
      </c>
      <c r="B111" s="54" t="s">
        <v>173</v>
      </c>
      <c r="C111" s="35">
        <f>[3]С4.3!E19</f>
        <v>41.06666666666667</v>
      </c>
    </row>
    <row r="112" spans="1:3" x14ac:dyDescent="0.2">
      <c r="A112" s="60" t="s">
        <v>174</v>
      </c>
      <c r="B112" s="59" t="s">
        <v>175</v>
      </c>
      <c r="C112" s="35">
        <f>[3]С4.3!E11</f>
        <v>1871</v>
      </c>
    </row>
    <row r="113" spans="1:3" x14ac:dyDescent="0.2">
      <c r="A113" s="60" t="s">
        <v>176</v>
      </c>
      <c r="B113" s="59" t="s">
        <v>177</v>
      </c>
      <c r="C113" s="53">
        <f>[3]С4.3!E12</f>
        <v>1636</v>
      </c>
    </row>
    <row r="114" spans="1:3" x14ac:dyDescent="0.2">
      <c r="A114" s="60" t="s">
        <v>178</v>
      </c>
      <c r="B114" s="59" t="s">
        <v>179</v>
      </c>
      <c r="C114" s="53">
        <f>[3]С4.3!E13</f>
        <v>204</v>
      </c>
    </row>
    <row r="115" spans="1:3" ht="30" x14ac:dyDescent="0.2">
      <c r="A115" s="60" t="s">
        <v>180</v>
      </c>
      <c r="B115" s="34" t="s">
        <v>181</v>
      </c>
      <c r="C115" s="35">
        <f>[3]С4!F27</f>
        <v>1413.5806587229636</v>
      </c>
    </row>
    <row r="116" spans="1:3" ht="25.5" x14ac:dyDescent="0.2">
      <c r="A116" s="60" t="s">
        <v>182</v>
      </c>
      <c r="B116" s="54" t="s">
        <v>183</v>
      </c>
      <c r="C116" s="35">
        <f>[3]С4!F28</f>
        <v>1085.6994306627985</v>
      </c>
    </row>
    <row r="117" spans="1:3" ht="42.75" x14ac:dyDescent="0.2">
      <c r="A117" s="60" t="s">
        <v>184</v>
      </c>
      <c r="B117" s="54" t="s">
        <v>185</v>
      </c>
      <c r="C117" s="35">
        <f>[3]С4!F29</f>
        <v>327.8812280601652</v>
      </c>
    </row>
    <row r="118" spans="1:3" ht="30" x14ac:dyDescent="0.2">
      <c r="A118" s="60" t="s">
        <v>186</v>
      </c>
      <c r="B118" s="40" t="s">
        <v>187</v>
      </c>
      <c r="C118" s="35">
        <f>[3]С4!F30</f>
        <v>2117.756732938913</v>
      </c>
    </row>
    <row r="119" spans="1:3" ht="42.75" x14ac:dyDescent="0.2">
      <c r="A119" s="60" t="s">
        <v>188</v>
      </c>
      <c r="B119" s="87" t="s">
        <v>189</v>
      </c>
      <c r="C119" s="35">
        <f>[3]С4!F33</f>
        <v>1374.0280021926758</v>
      </c>
    </row>
    <row r="120" spans="1:3" ht="30" x14ac:dyDescent="0.2">
      <c r="A120" s="60" t="s">
        <v>190</v>
      </c>
      <c r="B120" s="88" t="s">
        <v>191</v>
      </c>
      <c r="C120" s="35">
        <f>[3]С4!F35</f>
        <v>17.040680999999999</v>
      </c>
    </row>
    <row r="121" spans="1:3" ht="14.25" x14ac:dyDescent="0.2">
      <c r="A121" s="60" t="s">
        <v>192</v>
      </c>
      <c r="B121" s="57" t="s">
        <v>193</v>
      </c>
      <c r="C121" s="35">
        <f>[3]С4!F36</f>
        <v>14319.9</v>
      </c>
    </row>
    <row r="122" spans="1:3" ht="28.5" thickBot="1" x14ac:dyDescent="0.25">
      <c r="A122" s="73" t="s">
        <v>194</v>
      </c>
      <c r="B122" s="89" t="s">
        <v>195</v>
      </c>
      <c r="C122" s="84">
        <f>[3]С4!F37</f>
        <v>1.19</v>
      </c>
    </row>
    <row r="123" spans="1:3" s="90" customFormat="1" ht="13.5" thickBot="1" x14ac:dyDescent="0.25">
      <c r="A123" s="48"/>
      <c r="B123" s="76"/>
      <c r="C123" s="15"/>
    </row>
    <row r="124" spans="1:3" s="64" customFormat="1" ht="30" customHeight="1" x14ac:dyDescent="0.2">
      <c r="A124" s="77" t="s">
        <v>196</v>
      </c>
      <c r="B124" s="142" t="s">
        <v>197</v>
      </c>
      <c r="C124" s="142"/>
    </row>
    <row r="125" spans="1:3" ht="16.5" thickBot="1" x14ac:dyDescent="0.25">
      <c r="A125" s="27" t="s">
        <v>198</v>
      </c>
      <c r="B125" s="91" t="s">
        <v>199</v>
      </c>
      <c r="C125" s="84">
        <f>[3]С5!F17</f>
        <v>0.02</v>
      </c>
    </row>
    <row r="126" spans="1:3" s="90" customFormat="1" ht="13.5" thickBot="1" x14ac:dyDescent="0.25">
      <c r="A126" s="48"/>
      <c r="B126" s="76"/>
      <c r="C126" s="15"/>
    </row>
    <row r="127" spans="1:3" ht="42.75" customHeight="1" x14ac:dyDescent="0.2">
      <c r="A127" s="85" t="s">
        <v>200</v>
      </c>
      <c r="B127" s="143" t="s">
        <v>201</v>
      </c>
      <c r="C127" s="143"/>
    </row>
    <row r="128" spans="1:3" ht="68.25" x14ac:dyDescent="0.2">
      <c r="A128" s="60" t="s">
        <v>202</v>
      </c>
      <c r="B128" s="92" t="s">
        <v>203</v>
      </c>
      <c r="C128" s="35" t="s">
        <v>204</v>
      </c>
    </row>
    <row r="129" spans="1:4" ht="42.75" hidden="1" x14ac:dyDescent="0.2">
      <c r="A129" s="60" t="s">
        <v>205</v>
      </c>
      <c r="B129" s="87" t="s">
        <v>206</v>
      </c>
      <c r="C129" s="93"/>
    </row>
    <row r="130" spans="1:4" ht="69" thickBot="1" x14ac:dyDescent="0.25">
      <c r="A130" s="73" t="s">
        <v>207</v>
      </c>
      <c r="B130" s="94" t="s">
        <v>208</v>
      </c>
      <c r="C130" s="95" t="s">
        <v>204</v>
      </c>
    </row>
    <row r="131" spans="1:4" ht="62.25" hidden="1" customHeight="1" x14ac:dyDescent="0.2">
      <c r="A131" s="96" t="s">
        <v>209</v>
      </c>
      <c r="B131" s="97" t="s">
        <v>210</v>
      </c>
      <c r="C131" s="98"/>
    </row>
    <row r="132" spans="1:4" ht="68.25" hidden="1" x14ac:dyDescent="0.2">
      <c r="A132" s="60" t="s">
        <v>211</v>
      </c>
      <c r="B132" s="87" t="s">
        <v>212</v>
      </c>
      <c r="C132" s="36"/>
    </row>
    <row r="133" spans="1:4" ht="69" hidden="1" thickBot="1" x14ac:dyDescent="0.25">
      <c r="A133" s="73" t="s">
        <v>213</v>
      </c>
      <c r="B133" s="99" t="s">
        <v>214</v>
      </c>
      <c r="C133" s="75"/>
    </row>
    <row r="134" spans="1:4" s="90" customFormat="1" ht="13.5" thickBot="1" x14ac:dyDescent="0.25">
      <c r="A134" s="48"/>
      <c r="B134" s="76"/>
      <c r="C134" s="15"/>
    </row>
    <row r="135" spans="1:4" ht="26.25" customHeight="1" x14ac:dyDescent="0.2">
      <c r="A135" s="85" t="s">
        <v>215</v>
      </c>
      <c r="B135" s="100" t="s">
        <v>216</v>
      </c>
      <c r="C135" s="101">
        <f>[3]С2!F37</f>
        <v>20.818139999999996</v>
      </c>
    </row>
    <row r="136" spans="1:4" ht="14.25" x14ac:dyDescent="0.2">
      <c r="A136" s="60" t="s">
        <v>217</v>
      </c>
      <c r="B136" s="102" t="s">
        <v>218</v>
      </c>
      <c r="C136" s="35">
        <f>[3]С2!F38</f>
        <v>7</v>
      </c>
    </row>
    <row r="137" spans="1:4" ht="17.25" x14ac:dyDescent="0.2">
      <c r="A137" s="60" t="s">
        <v>219</v>
      </c>
      <c r="B137" s="102" t="s">
        <v>220</v>
      </c>
      <c r="C137" s="35">
        <f>[3]С2!F40</f>
        <v>0.97</v>
      </c>
    </row>
    <row r="138" spans="1:4" ht="15" thickBot="1" x14ac:dyDescent="0.25">
      <c r="A138" s="73" t="s">
        <v>221</v>
      </c>
      <c r="B138" s="103" t="s">
        <v>222</v>
      </c>
      <c r="C138" s="47">
        <f>[3]С2!F42</f>
        <v>0.35</v>
      </c>
    </row>
    <row r="139" spans="1:4" s="90" customFormat="1" ht="13.5" thickBot="1" x14ac:dyDescent="0.25">
      <c r="A139" s="48"/>
      <c r="B139" s="76"/>
      <c r="C139" s="15"/>
    </row>
    <row r="140" spans="1:4" ht="30" x14ac:dyDescent="0.2">
      <c r="A140" s="85" t="s">
        <v>223</v>
      </c>
      <c r="B140" s="104" t="s">
        <v>224</v>
      </c>
      <c r="C140" s="105">
        <f>[3]С2!F35</f>
        <v>1.3822747209000001</v>
      </c>
      <c r="D140" s="90"/>
    </row>
    <row r="141" spans="1:4" ht="22.7" customHeight="1" thickBot="1" x14ac:dyDescent="0.25">
      <c r="A141" s="73" t="s">
        <v>225</v>
      </c>
      <c r="B141" s="141" t="s">
        <v>226</v>
      </c>
      <c r="C141" s="141"/>
      <c r="D141" s="90"/>
    </row>
    <row r="142" spans="1:4" ht="13.5" thickBot="1" x14ac:dyDescent="0.25">
      <c r="A142" s="106"/>
      <c r="B142" s="107" t="s">
        <v>0</v>
      </c>
      <c r="C142" s="108"/>
      <c r="D142" s="90"/>
    </row>
    <row r="143" spans="1:4" x14ac:dyDescent="0.2">
      <c r="A143" s="106"/>
      <c r="B143" s="109">
        <v>2020</v>
      </c>
      <c r="C143" s="110">
        <f>[3]С2.5!$E$11</f>
        <v>-2.9000000000000026E-2</v>
      </c>
      <c r="D143" s="90"/>
    </row>
    <row r="144" spans="1:4" x14ac:dyDescent="0.2">
      <c r="A144" s="106"/>
      <c r="B144" s="111">
        <f>B143+1</f>
        <v>2021</v>
      </c>
      <c r="C144" s="112">
        <f>[3]С2.5!$F$11</f>
        <v>0.245</v>
      </c>
      <c r="D144" s="90"/>
    </row>
    <row r="145" spans="1:4" x14ac:dyDescent="0.2">
      <c r="A145" s="106"/>
      <c r="B145" s="111">
        <f t="shared" ref="B145:B208" si="0">B144+1</f>
        <v>2022</v>
      </c>
      <c r="C145" s="112">
        <f>[3]С2.5!$G$11</f>
        <v>0.121</v>
      </c>
      <c r="D145" s="90"/>
    </row>
    <row r="146" spans="1:4" ht="13.5" thickBot="1" x14ac:dyDescent="0.25">
      <c r="A146" s="106"/>
      <c r="B146" s="113">
        <f t="shared" si="0"/>
        <v>2023</v>
      </c>
      <c r="C146" s="114">
        <f>[3]С2.5!$H$11</f>
        <v>0.02</v>
      </c>
      <c r="D146" s="90"/>
    </row>
    <row r="147" spans="1:4" hidden="1" x14ac:dyDescent="0.2">
      <c r="A147" s="106"/>
      <c r="B147" s="115">
        <f t="shared" si="0"/>
        <v>2024</v>
      </c>
      <c r="C147" s="116">
        <f>[3]С2.5!$I$11</f>
        <v>-2.93E-2</v>
      </c>
      <c r="D147" s="90"/>
    </row>
    <row r="148" spans="1:4" hidden="1" x14ac:dyDescent="0.2">
      <c r="A148" s="106"/>
      <c r="B148" s="111">
        <f t="shared" si="0"/>
        <v>2025</v>
      </c>
      <c r="C148" s="112">
        <f>[3]С2.5!$J$11</f>
        <v>0.21215960863291</v>
      </c>
      <c r="D148" s="90"/>
    </row>
    <row r="149" spans="1:4" hidden="1" x14ac:dyDescent="0.2">
      <c r="A149" s="106"/>
      <c r="B149" s="111">
        <f t="shared" si="0"/>
        <v>2026</v>
      </c>
      <c r="C149" s="112">
        <f>[3]С2.5!$K$11</f>
        <v>3.5813361771260002E-2</v>
      </c>
      <c r="D149" s="90"/>
    </row>
    <row r="150" spans="1:4" hidden="1" x14ac:dyDescent="0.2">
      <c r="A150" s="106"/>
      <c r="B150" s="111">
        <f t="shared" si="0"/>
        <v>2027</v>
      </c>
      <c r="C150" s="112">
        <f>[3]С2.5!$L$11</f>
        <v>3.2682303599220003E-2</v>
      </c>
      <c r="D150" s="90"/>
    </row>
    <row r="151" spans="1:4" hidden="1" x14ac:dyDescent="0.2">
      <c r="A151" s="106"/>
      <c r="B151" s="111">
        <f t="shared" si="0"/>
        <v>2028</v>
      </c>
      <c r="C151" s="112">
        <f>[3]С2.5!$M$11</f>
        <v>0</v>
      </c>
      <c r="D151" s="90"/>
    </row>
    <row r="152" spans="1:4" hidden="1" x14ac:dyDescent="0.2">
      <c r="A152" s="106"/>
      <c r="B152" s="111">
        <f t="shared" si="0"/>
        <v>2029</v>
      </c>
      <c r="C152" s="112">
        <f>[3]С2.5!$N$11</f>
        <v>0</v>
      </c>
      <c r="D152" s="90"/>
    </row>
    <row r="153" spans="1:4" hidden="1" x14ac:dyDescent="0.2">
      <c r="A153" s="106"/>
      <c r="B153" s="111">
        <f t="shared" si="0"/>
        <v>2030</v>
      </c>
      <c r="C153" s="112">
        <f>[3]С2.5!$O$11</f>
        <v>0</v>
      </c>
      <c r="D153" s="90"/>
    </row>
    <row r="154" spans="1:4" hidden="1" x14ac:dyDescent="0.2">
      <c r="A154" s="106"/>
      <c r="B154" s="111">
        <f t="shared" si="0"/>
        <v>2031</v>
      </c>
      <c r="C154" s="112">
        <f>[3]С2.5!$P$11</f>
        <v>0</v>
      </c>
      <c r="D154" s="90"/>
    </row>
    <row r="155" spans="1:4" hidden="1" x14ac:dyDescent="0.2">
      <c r="A155" s="90"/>
      <c r="B155" s="111">
        <f t="shared" si="0"/>
        <v>2032</v>
      </c>
      <c r="C155" s="112">
        <f>[3]С2.5!$Q$11</f>
        <v>0</v>
      </c>
      <c r="D155" s="90"/>
    </row>
    <row r="156" spans="1:4" hidden="1" x14ac:dyDescent="0.2">
      <c r="A156" s="90"/>
      <c r="B156" s="111">
        <f t="shared" si="0"/>
        <v>2033</v>
      </c>
      <c r="C156" s="112">
        <f>[3]С2.5!$R$11</f>
        <v>0</v>
      </c>
      <c r="D156" s="90"/>
    </row>
    <row r="157" spans="1:4" hidden="1" x14ac:dyDescent="0.2">
      <c r="B157" s="111">
        <f t="shared" si="0"/>
        <v>2034</v>
      </c>
      <c r="C157" s="112">
        <f>[3]С2.5!$S$11</f>
        <v>0</v>
      </c>
    </row>
    <row r="158" spans="1:4" hidden="1" x14ac:dyDescent="0.2">
      <c r="B158" s="111">
        <f t="shared" si="0"/>
        <v>2035</v>
      </c>
      <c r="C158" s="112">
        <f>[3]С2.5!$T$11</f>
        <v>0</v>
      </c>
    </row>
    <row r="159" spans="1:4" hidden="1" x14ac:dyDescent="0.2">
      <c r="B159" s="111">
        <f t="shared" si="0"/>
        <v>2036</v>
      </c>
      <c r="C159" s="112">
        <f>[3]С2.5!$U$11</f>
        <v>0</v>
      </c>
    </row>
    <row r="160" spans="1:4" hidden="1" x14ac:dyDescent="0.2">
      <c r="B160" s="111">
        <f t="shared" si="0"/>
        <v>2037</v>
      </c>
      <c r="C160" s="112">
        <f>[3]С2.5!$V$11</f>
        <v>0</v>
      </c>
    </row>
    <row r="161" spans="2:3" hidden="1" x14ac:dyDescent="0.2">
      <c r="B161" s="111">
        <f t="shared" si="0"/>
        <v>2038</v>
      </c>
      <c r="C161" s="112">
        <f>[3]С2.5!$W$11</f>
        <v>0</v>
      </c>
    </row>
    <row r="162" spans="2:3" hidden="1" x14ac:dyDescent="0.2">
      <c r="B162" s="111">
        <f t="shared" si="0"/>
        <v>2039</v>
      </c>
      <c r="C162" s="112">
        <f>[3]С2.5!$X$11</f>
        <v>0</v>
      </c>
    </row>
    <row r="163" spans="2:3" hidden="1" x14ac:dyDescent="0.2">
      <c r="B163" s="111">
        <f t="shared" si="0"/>
        <v>2040</v>
      </c>
      <c r="C163" s="112">
        <f>[3]С2.5!$Y$11</f>
        <v>0</v>
      </c>
    </row>
    <row r="164" spans="2:3" hidden="1" x14ac:dyDescent="0.2">
      <c r="B164" s="111">
        <f t="shared" si="0"/>
        <v>2041</v>
      </c>
      <c r="C164" s="112">
        <f>[3]С2.5!$Z$11</f>
        <v>0</v>
      </c>
    </row>
    <row r="165" spans="2:3" hidden="1" x14ac:dyDescent="0.2">
      <c r="B165" s="111">
        <f t="shared" si="0"/>
        <v>2042</v>
      </c>
      <c r="C165" s="112">
        <f>[3]С2.5!$AA$11</f>
        <v>0</v>
      </c>
    </row>
    <row r="166" spans="2:3" hidden="1" x14ac:dyDescent="0.2">
      <c r="B166" s="111">
        <f t="shared" si="0"/>
        <v>2043</v>
      </c>
      <c r="C166" s="112">
        <f>[3]С2.5!$AB$11</f>
        <v>0</v>
      </c>
    </row>
    <row r="167" spans="2:3" hidden="1" x14ac:dyDescent="0.2">
      <c r="B167" s="111">
        <f t="shared" si="0"/>
        <v>2044</v>
      </c>
      <c r="C167" s="112">
        <f>[3]С2.5!$AC$11</f>
        <v>0</v>
      </c>
    </row>
    <row r="168" spans="2:3" hidden="1" x14ac:dyDescent="0.2">
      <c r="B168" s="111">
        <f t="shared" si="0"/>
        <v>2045</v>
      </c>
      <c r="C168" s="112">
        <f>[3]С2.5!$AD$11</f>
        <v>0</v>
      </c>
    </row>
    <row r="169" spans="2:3" hidden="1" x14ac:dyDescent="0.2">
      <c r="B169" s="111">
        <f t="shared" si="0"/>
        <v>2046</v>
      </c>
      <c r="C169" s="112">
        <f>[3]С2.5!$AE$11</f>
        <v>0</v>
      </c>
    </row>
    <row r="170" spans="2:3" hidden="1" x14ac:dyDescent="0.2">
      <c r="B170" s="111">
        <f t="shared" si="0"/>
        <v>2047</v>
      </c>
      <c r="C170" s="112">
        <f>[3]С2.5!$AF$11</f>
        <v>0</v>
      </c>
    </row>
    <row r="171" spans="2:3" hidden="1" x14ac:dyDescent="0.2">
      <c r="B171" s="111">
        <f t="shared" si="0"/>
        <v>2048</v>
      </c>
      <c r="C171" s="112">
        <f>[3]С2.5!$AG$11</f>
        <v>0</v>
      </c>
    </row>
    <row r="172" spans="2:3" hidden="1" x14ac:dyDescent="0.2">
      <c r="B172" s="111">
        <f t="shared" si="0"/>
        <v>2049</v>
      </c>
      <c r="C172" s="112">
        <f>[3]С2.5!$AH$11</f>
        <v>0</v>
      </c>
    </row>
    <row r="173" spans="2:3" hidden="1" x14ac:dyDescent="0.2">
      <c r="B173" s="111">
        <f t="shared" si="0"/>
        <v>2050</v>
      </c>
      <c r="C173" s="112">
        <f>[3]С2.5!$AI$11</f>
        <v>0</v>
      </c>
    </row>
    <row r="174" spans="2:3" hidden="1" x14ac:dyDescent="0.2">
      <c r="B174" s="111">
        <f t="shared" si="0"/>
        <v>2051</v>
      </c>
      <c r="C174" s="112">
        <f>[3]С2.5!$AJ$11</f>
        <v>0</v>
      </c>
    </row>
    <row r="175" spans="2:3" hidden="1" x14ac:dyDescent="0.2">
      <c r="B175" s="111">
        <f t="shared" si="0"/>
        <v>2052</v>
      </c>
      <c r="C175" s="112">
        <f>[3]С2.5!$AK$11</f>
        <v>0</v>
      </c>
    </row>
    <row r="176" spans="2:3" hidden="1" x14ac:dyDescent="0.2">
      <c r="B176" s="111">
        <f t="shared" si="0"/>
        <v>2053</v>
      </c>
      <c r="C176" s="112">
        <f>[3]С2.5!$AL$11</f>
        <v>0</v>
      </c>
    </row>
    <row r="177" spans="2:3" hidden="1" x14ac:dyDescent="0.2">
      <c r="B177" s="111">
        <f t="shared" si="0"/>
        <v>2054</v>
      </c>
      <c r="C177" s="112">
        <f>[3]С2.5!$AM$11</f>
        <v>0</v>
      </c>
    </row>
    <row r="178" spans="2:3" hidden="1" x14ac:dyDescent="0.2">
      <c r="B178" s="111">
        <f t="shared" si="0"/>
        <v>2055</v>
      </c>
      <c r="C178" s="112">
        <f>[3]С2.5!$AN$11</f>
        <v>0</v>
      </c>
    </row>
    <row r="179" spans="2:3" hidden="1" x14ac:dyDescent="0.2">
      <c r="B179" s="111">
        <f t="shared" si="0"/>
        <v>2056</v>
      </c>
      <c r="C179" s="112">
        <f>[3]С2.5!$AO$11</f>
        <v>0</v>
      </c>
    </row>
    <row r="180" spans="2:3" hidden="1" x14ac:dyDescent="0.2">
      <c r="B180" s="111">
        <f t="shared" si="0"/>
        <v>2057</v>
      </c>
      <c r="C180" s="112">
        <f>[3]С2.5!$AP$11</f>
        <v>0</v>
      </c>
    </row>
    <row r="181" spans="2:3" hidden="1" x14ac:dyDescent="0.2">
      <c r="B181" s="111">
        <f t="shared" si="0"/>
        <v>2058</v>
      </c>
      <c r="C181" s="112">
        <f>[3]С2.5!$AQ$11</f>
        <v>0</v>
      </c>
    </row>
    <row r="182" spans="2:3" hidden="1" x14ac:dyDescent="0.2">
      <c r="B182" s="111">
        <f t="shared" si="0"/>
        <v>2059</v>
      </c>
      <c r="C182" s="112">
        <f>[3]С2.5!$AR$11</f>
        <v>0</v>
      </c>
    </row>
    <row r="183" spans="2:3" hidden="1" x14ac:dyDescent="0.2">
      <c r="B183" s="111">
        <f t="shared" si="0"/>
        <v>2060</v>
      </c>
      <c r="C183" s="112">
        <f>[3]С2.5!$AS$11</f>
        <v>0</v>
      </c>
    </row>
    <row r="184" spans="2:3" hidden="1" x14ac:dyDescent="0.2">
      <c r="B184" s="111">
        <f t="shared" si="0"/>
        <v>2061</v>
      </c>
      <c r="C184" s="112">
        <f>[3]С2.5!$AT$11</f>
        <v>0</v>
      </c>
    </row>
    <row r="185" spans="2:3" hidden="1" x14ac:dyDescent="0.2">
      <c r="B185" s="111">
        <f t="shared" si="0"/>
        <v>2062</v>
      </c>
      <c r="C185" s="112">
        <f>[3]С2.5!$AU$11</f>
        <v>0</v>
      </c>
    </row>
    <row r="186" spans="2:3" hidden="1" x14ac:dyDescent="0.2">
      <c r="B186" s="111">
        <f t="shared" si="0"/>
        <v>2063</v>
      </c>
      <c r="C186" s="112">
        <f>[3]С2.5!$AV$11</f>
        <v>0</v>
      </c>
    </row>
    <row r="187" spans="2:3" hidden="1" x14ac:dyDescent="0.2">
      <c r="B187" s="111">
        <f t="shared" si="0"/>
        <v>2064</v>
      </c>
      <c r="C187" s="112">
        <f>[3]С2.5!$AW$11</f>
        <v>0</v>
      </c>
    </row>
    <row r="188" spans="2:3" hidden="1" x14ac:dyDescent="0.2">
      <c r="B188" s="111">
        <f t="shared" si="0"/>
        <v>2065</v>
      </c>
      <c r="C188" s="112">
        <f>[3]С2.5!$AX$11</f>
        <v>0</v>
      </c>
    </row>
    <row r="189" spans="2:3" hidden="1" x14ac:dyDescent="0.2">
      <c r="B189" s="111">
        <f t="shared" si="0"/>
        <v>2066</v>
      </c>
      <c r="C189" s="112">
        <f>[3]С2.5!$AY$11</f>
        <v>0</v>
      </c>
    </row>
    <row r="190" spans="2:3" hidden="1" x14ac:dyDescent="0.2">
      <c r="B190" s="111">
        <f t="shared" si="0"/>
        <v>2067</v>
      </c>
      <c r="C190" s="112">
        <f>[3]С2.5!$AZ$11</f>
        <v>0</v>
      </c>
    </row>
    <row r="191" spans="2:3" hidden="1" x14ac:dyDescent="0.2">
      <c r="B191" s="111">
        <f t="shared" si="0"/>
        <v>2068</v>
      </c>
      <c r="C191" s="112">
        <f>[3]С2.5!$BA$11</f>
        <v>0</v>
      </c>
    </row>
    <row r="192" spans="2:3" hidden="1" x14ac:dyDescent="0.2">
      <c r="B192" s="111">
        <f t="shared" si="0"/>
        <v>2069</v>
      </c>
      <c r="C192" s="112">
        <f>[3]С2.5!$BB$11</f>
        <v>0</v>
      </c>
    </row>
    <row r="193" spans="2:3" hidden="1" x14ac:dyDescent="0.2">
      <c r="B193" s="111">
        <f t="shared" si="0"/>
        <v>2070</v>
      </c>
      <c r="C193" s="112">
        <f>[3]С2.5!$BC$11</f>
        <v>0</v>
      </c>
    </row>
    <row r="194" spans="2:3" hidden="1" x14ac:dyDescent="0.2">
      <c r="B194" s="111">
        <f t="shared" si="0"/>
        <v>2071</v>
      </c>
      <c r="C194" s="112">
        <f>[3]С2.5!$BD$11</f>
        <v>0</v>
      </c>
    </row>
    <row r="195" spans="2:3" hidden="1" x14ac:dyDescent="0.2">
      <c r="B195" s="111">
        <f t="shared" si="0"/>
        <v>2072</v>
      </c>
      <c r="C195" s="112">
        <f>[3]С2.5!$BE$11</f>
        <v>0</v>
      </c>
    </row>
    <row r="196" spans="2:3" hidden="1" x14ac:dyDescent="0.2">
      <c r="B196" s="111">
        <f t="shared" si="0"/>
        <v>2073</v>
      </c>
      <c r="C196" s="112">
        <f>[3]С2.5!$BF$11</f>
        <v>0</v>
      </c>
    </row>
    <row r="197" spans="2:3" hidden="1" x14ac:dyDescent="0.2">
      <c r="B197" s="111">
        <f t="shared" si="0"/>
        <v>2074</v>
      </c>
      <c r="C197" s="112">
        <f>[3]С2.5!$BG$11</f>
        <v>0</v>
      </c>
    </row>
    <row r="198" spans="2:3" hidden="1" x14ac:dyDescent="0.2">
      <c r="B198" s="111">
        <f t="shared" si="0"/>
        <v>2075</v>
      </c>
      <c r="C198" s="112">
        <f>[3]С2.5!$BH$11</f>
        <v>0</v>
      </c>
    </row>
    <row r="199" spans="2:3" hidden="1" x14ac:dyDescent="0.2">
      <c r="B199" s="111">
        <f t="shared" si="0"/>
        <v>2076</v>
      </c>
      <c r="C199" s="112">
        <f>[3]С2.5!$BI$11</f>
        <v>0</v>
      </c>
    </row>
    <row r="200" spans="2:3" hidden="1" x14ac:dyDescent="0.2">
      <c r="B200" s="111">
        <f t="shared" si="0"/>
        <v>2077</v>
      </c>
      <c r="C200" s="112">
        <f>[3]С2.5!$BJ$11</f>
        <v>0</v>
      </c>
    </row>
    <row r="201" spans="2:3" hidden="1" x14ac:dyDescent="0.2">
      <c r="B201" s="111">
        <f t="shared" si="0"/>
        <v>2078</v>
      </c>
      <c r="C201" s="112">
        <f>[3]С2.5!$BK$11</f>
        <v>0</v>
      </c>
    </row>
    <row r="202" spans="2:3" hidden="1" x14ac:dyDescent="0.2">
      <c r="B202" s="111">
        <f t="shared" si="0"/>
        <v>2079</v>
      </c>
      <c r="C202" s="112">
        <f>[3]С2.5!$BL$11</f>
        <v>0</v>
      </c>
    </row>
    <row r="203" spans="2:3" hidden="1" x14ac:dyDescent="0.2">
      <c r="B203" s="111">
        <f t="shared" si="0"/>
        <v>2080</v>
      </c>
      <c r="C203" s="112">
        <f>[3]С2.5!$BM$11</f>
        <v>0</v>
      </c>
    </row>
    <row r="204" spans="2:3" hidden="1" x14ac:dyDescent="0.2">
      <c r="B204" s="111">
        <f t="shared" si="0"/>
        <v>2081</v>
      </c>
      <c r="C204" s="112">
        <f>[3]С2.5!$BN$11</f>
        <v>0</v>
      </c>
    </row>
    <row r="205" spans="2:3" hidden="1" x14ac:dyDescent="0.2">
      <c r="B205" s="111">
        <f t="shared" si="0"/>
        <v>2082</v>
      </c>
      <c r="C205" s="112">
        <f>[3]С2.5!$BO$11</f>
        <v>0</v>
      </c>
    </row>
    <row r="206" spans="2:3" hidden="1" x14ac:dyDescent="0.2">
      <c r="B206" s="111">
        <f t="shared" si="0"/>
        <v>2083</v>
      </c>
      <c r="C206" s="112">
        <f>[3]С2.5!$BP$11</f>
        <v>0</v>
      </c>
    </row>
    <row r="207" spans="2:3" hidden="1" x14ac:dyDescent="0.2">
      <c r="B207" s="111">
        <f t="shared" si="0"/>
        <v>2084</v>
      </c>
      <c r="C207" s="112">
        <f>[3]С2.5!$BQ$11</f>
        <v>0</v>
      </c>
    </row>
    <row r="208" spans="2:3" hidden="1" x14ac:dyDescent="0.2">
      <c r="B208" s="111">
        <f t="shared" si="0"/>
        <v>2085</v>
      </c>
      <c r="C208" s="112">
        <f>[3]С2.5!$BR$11</f>
        <v>0</v>
      </c>
    </row>
    <row r="209" spans="2:3" hidden="1" x14ac:dyDescent="0.2">
      <c r="B209" s="111">
        <f t="shared" ref="B209:B223" si="1">B208+1</f>
        <v>2086</v>
      </c>
      <c r="C209" s="112">
        <f>[3]С2.5!$BS$11</f>
        <v>0</v>
      </c>
    </row>
    <row r="210" spans="2:3" hidden="1" x14ac:dyDescent="0.2">
      <c r="B210" s="111">
        <f t="shared" si="1"/>
        <v>2087</v>
      </c>
      <c r="C210" s="112">
        <f>[3]С2.5!$BT$11</f>
        <v>0</v>
      </c>
    </row>
    <row r="211" spans="2:3" hidden="1" x14ac:dyDescent="0.2">
      <c r="B211" s="111">
        <f t="shared" si="1"/>
        <v>2088</v>
      </c>
      <c r="C211" s="112">
        <f>[3]С2.5!$BU$11</f>
        <v>0</v>
      </c>
    </row>
    <row r="212" spans="2:3" hidden="1" x14ac:dyDescent="0.2">
      <c r="B212" s="111">
        <f t="shared" si="1"/>
        <v>2089</v>
      </c>
      <c r="C212" s="112">
        <f>[3]С2.5!$BV$11</f>
        <v>0</v>
      </c>
    </row>
    <row r="213" spans="2:3" hidden="1" x14ac:dyDescent="0.2">
      <c r="B213" s="111">
        <f t="shared" si="1"/>
        <v>2090</v>
      </c>
      <c r="C213" s="112">
        <f>[3]С2.5!$BW$11</f>
        <v>0</v>
      </c>
    </row>
    <row r="214" spans="2:3" hidden="1" x14ac:dyDescent="0.2">
      <c r="B214" s="111">
        <f t="shared" si="1"/>
        <v>2091</v>
      </c>
      <c r="C214" s="112">
        <f>[3]С2.5!$BX$11</f>
        <v>0</v>
      </c>
    </row>
    <row r="215" spans="2:3" hidden="1" x14ac:dyDescent="0.2">
      <c r="B215" s="111">
        <f t="shared" si="1"/>
        <v>2092</v>
      </c>
      <c r="C215" s="112">
        <f>[3]С2.5!$BY$11</f>
        <v>0</v>
      </c>
    </row>
    <row r="216" spans="2:3" hidden="1" x14ac:dyDescent="0.2">
      <c r="B216" s="111">
        <f t="shared" si="1"/>
        <v>2093</v>
      </c>
      <c r="C216" s="112">
        <f>[3]С2.5!$BZ$11</f>
        <v>0</v>
      </c>
    </row>
    <row r="217" spans="2:3" hidden="1" x14ac:dyDescent="0.2">
      <c r="B217" s="111">
        <f t="shared" si="1"/>
        <v>2094</v>
      </c>
      <c r="C217" s="112">
        <f>[3]С2.5!$CA$11</f>
        <v>0</v>
      </c>
    </row>
    <row r="218" spans="2:3" hidden="1" x14ac:dyDescent="0.2">
      <c r="B218" s="111">
        <f t="shared" si="1"/>
        <v>2095</v>
      </c>
      <c r="C218" s="112">
        <f>[3]С2.5!$CB$11</f>
        <v>0</v>
      </c>
    </row>
    <row r="219" spans="2:3" hidden="1" x14ac:dyDescent="0.2">
      <c r="B219" s="111">
        <f t="shared" si="1"/>
        <v>2096</v>
      </c>
      <c r="C219" s="112">
        <f>[3]С2.5!$CC$11</f>
        <v>0</v>
      </c>
    </row>
    <row r="220" spans="2:3" hidden="1" x14ac:dyDescent="0.2">
      <c r="B220" s="111">
        <f t="shared" si="1"/>
        <v>2097</v>
      </c>
      <c r="C220" s="112">
        <f>[3]С2.5!$CD$11</f>
        <v>0</v>
      </c>
    </row>
    <row r="221" spans="2:3" hidden="1" x14ac:dyDescent="0.2">
      <c r="B221" s="111">
        <f t="shared" si="1"/>
        <v>2098</v>
      </c>
      <c r="C221" s="112">
        <f>[3]С2.5!$CE$11</f>
        <v>0</v>
      </c>
    </row>
    <row r="222" spans="2:3" hidden="1" x14ac:dyDescent="0.2">
      <c r="B222" s="111">
        <f t="shared" si="1"/>
        <v>2099</v>
      </c>
      <c r="C222" s="112">
        <f>[3]С2.5!$CF$11</f>
        <v>0</v>
      </c>
    </row>
    <row r="223" spans="2:3" ht="13.5" hidden="1" thickBot="1" x14ac:dyDescent="0.25">
      <c r="B223" s="113">
        <f t="shared" si="1"/>
        <v>2100</v>
      </c>
      <c r="C223" s="114">
        <f>[3]С2.5!$CG$11</f>
        <v>0</v>
      </c>
    </row>
    <row r="224" spans="2:3" hidden="1" x14ac:dyDescent="0.2">
      <c r="C224" s="117"/>
    </row>
    <row r="225" spans="3:3" hidden="1" x14ac:dyDescent="0.2">
      <c r="C225" s="117"/>
    </row>
    <row r="226" spans="3:3" x14ac:dyDescent="0.2">
      <c r="C226" s="117"/>
    </row>
  </sheetData>
  <mergeCells count="9">
    <mergeCell ref="B1:C1"/>
    <mergeCell ref="A14:C14"/>
    <mergeCell ref="B27:C27"/>
    <mergeCell ref="B141:C141"/>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3]!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226"/>
  <sheetViews>
    <sheetView zoomScale="85" zoomScaleNormal="85" workbookViewId="0">
      <pane ySplit="8" topLeftCell="A9" activePane="bottomLeft" state="frozen"/>
      <selection pane="bottomLeft" activeCell="C17" sqref="C17"/>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44" t="s">
        <v>1</v>
      </c>
      <c r="C1" s="144"/>
    </row>
    <row r="2" spans="1:3" x14ac:dyDescent="0.2">
      <c r="A2" s="3"/>
      <c r="B2" s="4" t="s">
        <v>2</v>
      </c>
      <c r="C2" s="5">
        <f ca="1">TODAY()</f>
        <v>44944</v>
      </c>
    </row>
    <row r="3" spans="1:3" x14ac:dyDescent="0.2">
      <c r="A3" s="3"/>
      <c r="B3" s="6" t="s">
        <v>3</v>
      </c>
    </row>
    <row r="4" spans="1:3" ht="25.5" x14ac:dyDescent="0.2">
      <c r="A4" s="8"/>
      <c r="B4" s="9" t="str">
        <f>[4]И1!D13</f>
        <v>Субъект Российской Федерации</v>
      </c>
      <c r="C4" s="10" t="str">
        <f>[4]И1!E13</f>
        <v>Новосибирская область</v>
      </c>
    </row>
    <row r="5" spans="1:3" ht="38.25" x14ac:dyDescent="0.2">
      <c r="A5" s="8"/>
      <c r="B5" s="9" t="str">
        <f>[4]И1!D14</f>
        <v>Тип муниципального образования (выберите из списка)</v>
      </c>
      <c r="C5" s="10" t="str">
        <f>[4]И1!E14</f>
        <v>село Бажинск, Маслянинский муниципальный район</v>
      </c>
    </row>
    <row r="6" spans="1:3" x14ac:dyDescent="0.2">
      <c r="A6" s="8"/>
      <c r="B6" s="9" t="str">
        <f>IF([4]И1!E15="","",[4]И1!D15)</f>
        <v/>
      </c>
      <c r="C6" s="10" t="str">
        <f>IF([4]И1!E15="","",[4]И1!E15)</f>
        <v/>
      </c>
    </row>
    <row r="7" spans="1:3" x14ac:dyDescent="0.2">
      <c r="A7" s="8"/>
      <c r="B7" s="9" t="str">
        <f>[4]И1!D16</f>
        <v>Код ОКТМО</v>
      </c>
      <c r="C7" s="11" t="str">
        <f>[4]И1!E16</f>
        <v>50636404101</v>
      </c>
    </row>
    <row r="8" spans="1:3" x14ac:dyDescent="0.2">
      <c r="A8" s="8"/>
      <c r="B8" s="12" t="str">
        <f>[4]И1!D17</f>
        <v>Система теплоснабжения</v>
      </c>
      <c r="C8" s="13">
        <f>[4]И1!E17</f>
        <v>0</v>
      </c>
    </row>
    <row r="9" spans="1:3" x14ac:dyDescent="0.2">
      <c r="A9" s="8"/>
      <c r="B9" s="9" t="str">
        <f>[4]И1!D8</f>
        <v>Период регулирования (i)-й</v>
      </c>
      <c r="C9" s="14">
        <f>[4]И1!E8</f>
        <v>2023</v>
      </c>
    </row>
    <row r="10" spans="1:3" x14ac:dyDescent="0.2">
      <c r="A10" s="8"/>
      <c r="B10" s="9" t="str">
        <f>[4]И1!D9</f>
        <v>Период регулирования (i-1)-й</v>
      </c>
      <c r="C10" s="14">
        <f>[4]И1!E9</f>
        <v>2022</v>
      </c>
    </row>
    <row r="11" spans="1:3" x14ac:dyDescent="0.2">
      <c r="A11" s="8"/>
      <c r="B11" s="9" t="str">
        <f>[4]И1!D10</f>
        <v>Период регулирования (i-2)-й</v>
      </c>
      <c r="C11" s="14">
        <f>[4]И1!E10</f>
        <v>2021</v>
      </c>
    </row>
    <row r="12" spans="1:3" x14ac:dyDescent="0.2">
      <c r="A12" s="8"/>
      <c r="B12" s="9" t="str">
        <f>[4]И1!D11</f>
        <v>Базовый год (б)</v>
      </c>
      <c r="C12" s="14">
        <f>[4]И1!E11</f>
        <v>2019</v>
      </c>
    </row>
    <row r="13" spans="1:3" ht="38.25" x14ac:dyDescent="0.2">
      <c r="A13" s="8"/>
      <c r="B13" s="9" t="str">
        <f>[4]И1!D18</f>
        <v>Вид топлива, использование которого преобладает в системе теплоснабжения</v>
      </c>
      <c r="C13" s="15" t="str">
        <f>[4]С1.1!E13</f>
        <v>уголь (вид угля не указан в топливном балансе)</v>
      </c>
    </row>
    <row r="14" spans="1:3" ht="31.7" customHeight="1" thickBot="1" x14ac:dyDescent="0.25">
      <c r="A14" s="145" t="s">
        <v>4</v>
      </c>
      <c r="B14" s="145"/>
      <c r="C14" s="145"/>
    </row>
    <row r="15" spans="1:3" x14ac:dyDescent="0.2">
      <c r="A15" s="16" t="s">
        <v>5</v>
      </c>
      <c r="B15" s="17" t="s">
        <v>6</v>
      </c>
      <c r="C15" s="18" t="s">
        <v>7</v>
      </c>
    </row>
    <row r="16" spans="1:3" x14ac:dyDescent="0.2">
      <c r="A16" s="19">
        <v>1</v>
      </c>
      <c r="B16" s="20">
        <v>2</v>
      </c>
      <c r="C16" s="21">
        <v>3</v>
      </c>
    </row>
    <row r="17" spans="1:3" x14ac:dyDescent="0.2">
      <c r="A17" s="22">
        <v>1</v>
      </c>
      <c r="B17" s="23" t="s">
        <v>8</v>
      </c>
      <c r="C17" s="24">
        <f>SUM(C18:C22)</f>
        <v>4066.6869406913374</v>
      </c>
    </row>
    <row r="18" spans="1:3" ht="42.75" x14ac:dyDescent="0.2">
      <c r="A18" s="22" t="s">
        <v>9</v>
      </c>
      <c r="B18" s="25" t="s">
        <v>10</v>
      </c>
      <c r="C18" s="26">
        <f>[4]С1!F12</f>
        <v>931.18468604281509</v>
      </c>
    </row>
    <row r="19" spans="1:3" ht="42.75" x14ac:dyDescent="0.2">
      <c r="A19" s="22" t="s">
        <v>11</v>
      </c>
      <c r="B19" s="25" t="s">
        <v>12</v>
      </c>
      <c r="C19" s="26">
        <f>[4]С2!F12</f>
        <v>2110.2454761302993</v>
      </c>
    </row>
    <row r="20" spans="1:3" ht="30" x14ac:dyDescent="0.2">
      <c r="A20" s="22" t="s">
        <v>13</v>
      </c>
      <c r="B20" s="25" t="s">
        <v>14</v>
      </c>
      <c r="C20" s="26">
        <f>[4]С3!F12</f>
        <v>504.95006339690781</v>
      </c>
    </row>
    <row r="21" spans="1:3" ht="42.75" x14ac:dyDescent="0.2">
      <c r="A21" s="22" t="s">
        <v>15</v>
      </c>
      <c r="B21" s="25" t="s">
        <v>16</v>
      </c>
      <c r="C21" s="26">
        <f>[4]С4!F12</f>
        <v>440.56775549991676</v>
      </c>
    </row>
    <row r="22" spans="1:3" ht="30" x14ac:dyDescent="0.2">
      <c r="A22" s="22" t="s">
        <v>17</v>
      </c>
      <c r="B22" s="25" t="s">
        <v>18</v>
      </c>
      <c r="C22" s="26">
        <f>[4]С5!F12</f>
        <v>79.738959621398777</v>
      </c>
    </row>
    <row r="23" spans="1:3" ht="43.5" thickBot="1" x14ac:dyDescent="0.25">
      <c r="A23" s="27" t="s">
        <v>19</v>
      </c>
      <c r="B23" s="28" t="s">
        <v>20</v>
      </c>
      <c r="C23" s="29" t="str">
        <f>[4]С6!F12</f>
        <v>-</v>
      </c>
    </row>
    <row r="24" spans="1:3" ht="13.5" thickBot="1" x14ac:dyDescent="0.25">
      <c r="A24" s="3"/>
    </row>
    <row r="25" spans="1:3" x14ac:dyDescent="0.2">
      <c r="A25" s="16" t="s">
        <v>5</v>
      </c>
      <c r="B25" s="30" t="s">
        <v>6</v>
      </c>
      <c r="C25" s="31" t="s">
        <v>7</v>
      </c>
    </row>
    <row r="26" spans="1:3" x14ac:dyDescent="0.2">
      <c r="A26" s="19">
        <v>1</v>
      </c>
      <c r="B26" s="32">
        <v>2</v>
      </c>
      <c r="C26" s="33">
        <v>3</v>
      </c>
    </row>
    <row r="27" spans="1:3" ht="30" customHeight="1" x14ac:dyDescent="0.2">
      <c r="A27" s="22">
        <v>1</v>
      </c>
      <c r="B27" s="146" t="s">
        <v>21</v>
      </c>
      <c r="C27" s="146"/>
    </row>
    <row r="28" spans="1:3" x14ac:dyDescent="0.2">
      <c r="A28" s="22" t="s">
        <v>9</v>
      </c>
      <c r="B28" s="34" t="s">
        <v>22</v>
      </c>
      <c r="C28" s="35">
        <f>[4]С1.1!E16</f>
        <v>5100</v>
      </c>
    </row>
    <row r="29" spans="1:3" ht="42.75" x14ac:dyDescent="0.2">
      <c r="A29" s="22" t="s">
        <v>11</v>
      </c>
      <c r="B29" s="34" t="s">
        <v>23</v>
      </c>
      <c r="C29" s="35">
        <f>[4]С1.1!E27</f>
        <v>2503.8000000000002</v>
      </c>
    </row>
    <row r="30" spans="1:3" ht="17.25" x14ac:dyDescent="0.2">
      <c r="A30" s="22" t="s">
        <v>13</v>
      </c>
      <c r="B30" s="34" t="s">
        <v>24</v>
      </c>
      <c r="C30" s="36">
        <f>[4]С1.1!E19</f>
        <v>0.59499999999999997</v>
      </c>
    </row>
    <row r="31" spans="1:3" ht="17.25" x14ac:dyDescent="0.2">
      <c r="A31" s="22" t="s">
        <v>15</v>
      </c>
      <c r="B31" s="34" t="s">
        <v>25</v>
      </c>
      <c r="C31" s="36">
        <f>[4]С1.1!E20</f>
        <v>-0.113</v>
      </c>
    </row>
    <row r="32" spans="1:3" ht="30" x14ac:dyDescent="0.2">
      <c r="A32" s="22" t="s">
        <v>17</v>
      </c>
      <c r="B32" s="37" t="s">
        <v>26</v>
      </c>
      <c r="C32" s="38">
        <f>[4]С1!F13</f>
        <v>176.4</v>
      </c>
    </row>
    <row r="33" spans="1:3" x14ac:dyDescent="0.2">
      <c r="A33" s="22" t="s">
        <v>19</v>
      </c>
      <c r="B33" s="37" t="s">
        <v>27</v>
      </c>
      <c r="C33" s="39">
        <f>[4]С1!F16</f>
        <v>7000</v>
      </c>
    </row>
    <row r="34" spans="1:3" ht="14.25" x14ac:dyDescent="0.2">
      <c r="A34" s="22" t="s">
        <v>28</v>
      </c>
      <c r="B34" s="40" t="s">
        <v>29</v>
      </c>
      <c r="C34" s="41">
        <f>[4]С1!F17</f>
        <v>0.72857142857142854</v>
      </c>
    </row>
    <row r="35" spans="1:3" ht="15.75" x14ac:dyDescent="0.2">
      <c r="A35" s="42" t="s">
        <v>30</v>
      </c>
      <c r="B35" s="43" t="s">
        <v>31</v>
      </c>
      <c r="C35" s="41">
        <f>[4]С1!F20</f>
        <v>21.588411179999994</v>
      </c>
    </row>
    <row r="36" spans="1:3" ht="15.75" x14ac:dyDescent="0.2">
      <c r="A36" s="42" t="s">
        <v>32</v>
      </c>
      <c r="B36" s="44" t="s">
        <v>33</v>
      </c>
      <c r="C36" s="41">
        <f>[4]С1!F21</f>
        <v>20.818139999999996</v>
      </c>
    </row>
    <row r="37" spans="1:3" ht="14.25" x14ac:dyDescent="0.2">
      <c r="A37" s="42" t="s">
        <v>34</v>
      </c>
      <c r="B37" s="45" t="s">
        <v>35</v>
      </c>
      <c r="C37" s="41">
        <f>[4]С1!F22</f>
        <v>1.0369999999999999</v>
      </c>
    </row>
    <row r="38" spans="1:3" ht="53.25" thickBot="1" x14ac:dyDescent="0.25">
      <c r="A38" s="27" t="s">
        <v>36</v>
      </c>
      <c r="B38" s="46" t="s">
        <v>37</v>
      </c>
      <c r="C38" s="47">
        <f>[4]С1!F23</f>
        <v>1.0469999999999999</v>
      </c>
    </row>
    <row r="39" spans="1:3" ht="13.5" thickBot="1" x14ac:dyDescent="0.25">
      <c r="A39" s="48"/>
      <c r="B39" s="49"/>
      <c r="C39" s="50"/>
    </row>
    <row r="40" spans="1:3" ht="30" customHeight="1" x14ac:dyDescent="0.2">
      <c r="A40" s="51" t="s">
        <v>38</v>
      </c>
      <c r="B40" s="142" t="s">
        <v>39</v>
      </c>
      <c r="C40" s="142"/>
    </row>
    <row r="41" spans="1:3" ht="25.5" x14ac:dyDescent="0.2">
      <c r="A41" s="22" t="s">
        <v>40</v>
      </c>
      <c r="B41" s="37" t="s">
        <v>41</v>
      </c>
      <c r="C41" s="52" t="str">
        <f>[4]С2.1!E12</f>
        <v>V</v>
      </c>
    </row>
    <row r="42" spans="1:3" ht="25.5" x14ac:dyDescent="0.2">
      <c r="A42" s="22" t="s">
        <v>42</v>
      </c>
      <c r="B42" s="34" t="s">
        <v>43</v>
      </c>
      <c r="C42" s="52" t="str">
        <f>[4]С2.1!E13</f>
        <v>6 и менее баллов</v>
      </c>
    </row>
    <row r="43" spans="1:3" ht="25.5" x14ac:dyDescent="0.2">
      <c r="A43" s="22" t="s">
        <v>44</v>
      </c>
      <c r="B43" s="34" t="s">
        <v>45</v>
      </c>
      <c r="C43" s="52" t="str">
        <f>[4]С2.1!E14</f>
        <v>от 200 до 500</v>
      </c>
    </row>
    <row r="44" spans="1:3" ht="25.5" x14ac:dyDescent="0.2">
      <c r="A44" s="22" t="s">
        <v>46</v>
      </c>
      <c r="B44" s="34" t="s">
        <v>47</v>
      </c>
      <c r="C44" s="53" t="str">
        <f>[4]С2.1!E15</f>
        <v>нет</v>
      </c>
    </row>
    <row r="45" spans="1:3" ht="30" x14ac:dyDescent="0.2">
      <c r="A45" s="22" t="s">
        <v>48</v>
      </c>
      <c r="B45" s="34" t="s">
        <v>49</v>
      </c>
      <c r="C45" s="35">
        <f>[4]С2!F18</f>
        <v>32402.627334033532</v>
      </c>
    </row>
    <row r="46" spans="1:3" ht="30" x14ac:dyDescent="0.2">
      <c r="A46" s="22" t="s">
        <v>50</v>
      </c>
      <c r="B46" s="54" t="s">
        <v>51</v>
      </c>
      <c r="C46" s="35">
        <f>IF([4]С2!F19&gt;0,[4]С2!F19,[4]С2!F20)</f>
        <v>23441.524932855718</v>
      </c>
    </row>
    <row r="47" spans="1:3" ht="25.5" x14ac:dyDescent="0.2">
      <c r="A47" s="22" t="s">
        <v>52</v>
      </c>
      <c r="B47" s="55" t="s">
        <v>53</v>
      </c>
      <c r="C47" s="35">
        <f>[4]С2.1!E19</f>
        <v>-37</v>
      </c>
    </row>
    <row r="48" spans="1:3" ht="25.5" x14ac:dyDescent="0.2">
      <c r="A48" s="22" t="s">
        <v>54</v>
      </c>
      <c r="B48" s="55" t="s">
        <v>55</v>
      </c>
      <c r="C48" s="35" t="str">
        <f>[4]С2.1!E22</f>
        <v>нет</v>
      </c>
    </row>
    <row r="49" spans="1:3" ht="38.25" x14ac:dyDescent="0.2">
      <c r="A49" s="22" t="s">
        <v>56</v>
      </c>
      <c r="B49" s="56" t="s">
        <v>57</v>
      </c>
      <c r="C49" s="35">
        <f>[4]С2.2!E10</f>
        <v>1287</v>
      </c>
    </row>
    <row r="50" spans="1:3" ht="25.5" x14ac:dyDescent="0.2">
      <c r="A50" s="22" t="s">
        <v>58</v>
      </c>
      <c r="B50" s="57" t="s">
        <v>59</v>
      </c>
      <c r="C50" s="35">
        <f>[4]С2.2!E12</f>
        <v>5.97</v>
      </c>
    </row>
    <row r="51" spans="1:3" ht="52.5" x14ac:dyDescent="0.2">
      <c r="A51" s="22" t="s">
        <v>60</v>
      </c>
      <c r="B51" s="58" t="s">
        <v>61</v>
      </c>
      <c r="C51" s="35">
        <f>[4]С2.2!E13</f>
        <v>1</v>
      </c>
    </row>
    <row r="52" spans="1:3" ht="27.75" x14ac:dyDescent="0.2">
      <c r="A52" s="22" t="s">
        <v>62</v>
      </c>
      <c r="B52" s="57" t="s">
        <v>63</v>
      </c>
      <c r="C52" s="35">
        <f>[4]С2.2!E14</f>
        <v>12104</v>
      </c>
    </row>
    <row r="53" spans="1:3" ht="25.5" x14ac:dyDescent="0.2">
      <c r="A53" s="22" t="s">
        <v>64</v>
      </c>
      <c r="B53" s="58" t="s">
        <v>65</v>
      </c>
      <c r="C53" s="36">
        <f>[4]С2.2!E15</f>
        <v>4.8000000000000001E-2</v>
      </c>
    </row>
    <row r="54" spans="1:3" x14ac:dyDescent="0.2">
      <c r="A54" s="22" t="s">
        <v>66</v>
      </c>
      <c r="B54" s="58" t="s">
        <v>67</v>
      </c>
      <c r="C54" s="35">
        <f>[4]С2.2!E16</f>
        <v>1</v>
      </c>
    </row>
    <row r="55" spans="1:3" ht="15.75" x14ac:dyDescent="0.2">
      <c r="A55" s="22" t="s">
        <v>68</v>
      </c>
      <c r="B55" s="59" t="s">
        <v>69</v>
      </c>
      <c r="C55" s="35">
        <f>[4]С2!F21</f>
        <v>1</v>
      </c>
    </row>
    <row r="56" spans="1:3" ht="30" x14ac:dyDescent="0.2">
      <c r="A56" s="60" t="s">
        <v>70</v>
      </c>
      <c r="B56" s="34" t="s">
        <v>71</v>
      </c>
      <c r="C56" s="35">
        <f>[4]С2!F13</f>
        <v>169640.22915965237</v>
      </c>
    </row>
    <row r="57" spans="1:3" ht="30" x14ac:dyDescent="0.2">
      <c r="A57" s="60" t="s">
        <v>72</v>
      </c>
      <c r="B57" s="59" t="s">
        <v>73</v>
      </c>
      <c r="C57" s="35">
        <f>[4]С2!F14</f>
        <v>113455</v>
      </c>
    </row>
    <row r="58" spans="1:3" ht="15.75" x14ac:dyDescent="0.2">
      <c r="A58" s="60" t="s">
        <v>74</v>
      </c>
      <c r="B58" s="61" t="s">
        <v>75</v>
      </c>
      <c r="C58" s="41">
        <f>[4]С2!F15</f>
        <v>1.071</v>
      </c>
    </row>
    <row r="59" spans="1:3" ht="15.75" x14ac:dyDescent="0.2">
      <c r="A59" s="60" t="s">
        <v>76</v>
      </c>
      <c r="B59" s="61" t="s">
        <v>77</v>
      </c>
      <c r="C59" s="41">
        <f>[4]С2!F16</f>
        <v>1</v>
      </c>
    </row>
    <row r="60" spans="1:3" ht="17.25" x14ac:dyDescent="0.2">
      <c r="A60" s="60" t="s">
        <v>78</v>
      </c>
      <c r="B60" s="59" t="s">
        <v>79</v>
      </c>
      <c r="C60" s="35">
        <f>[4]С2!F17</f>
        <v>1.01</v>
      </c>
    </row>
    <row r="61" spans="1:3" s="64" customFormat="1" ht="14.25" x14ac:dyDescent="0.2">
      <c r="A61" s="60" t="s">
        <v>80</v>
      </c>
      <c r="B61" s="62" t="s">
        <v>81</v>
      </c>
      <c r="C61" s="63">
        <f>[4]С2!F33</f>
        <v>10</v>
      </c>
    </row>
    <row r="62" spans="1:3" ht="30" x14ac:dyDescent="0.2">
      <c r="A62" s="60" t="s">
        <v>82</v>
      </c>
      <c r="B62" s="65" t="s">
        <v>83</v>
      </c>
      <c r="C62" s="35">
        <f>[4]С2!F26</f>
        <v>1598.6279958476514</v>
      </c>
    </row>
    <row r="63" spans="1:3" ht="17.25" x14ac:dyDescent="0.2">
      <c r="A63" s="60" t="s">
        <v>84</v>
      </c>
      <c r="B63" s="54" t="s">
        <v>85</v>
      </c>
      <c r="C63" s="35">
        <f>[4]С2!F27</f>
        <v>0.27536184199999997</v>
      </c>
    </row>
    <row r="64" spans="1:3" ht="17.25" x14ac:dyDescent="0.2">
      <c r="A64" s="60" t="s">
        <v>86</v>
      </c>
      <c r="B64" s="59" t="s">
        <v>87</v>
      </c>
      <c r="C64" s="63">
        <f>[4]С2!F28</f>
        <v>4200</v>
      </c>
    </row>
    <row r="65" spans="1:3" ht="42.75" x14ac:dyDescent="0.2">
      <c r="A65" s="60" t="s">
        <v>88</v>
      </c>
      <c r="B65" s="34" t="s">
        <v>89</v>
      </c>
      <c r="C65" s="35">
        <f>[4]С2!F22</f>
        <v>35717.748653137714</v>
      </c>
    </row>
    <row r="66" spans="1:3" ht="30" x14ac:dyDescent="0.2">
      <c r="A66" s="60" t="s">
        <v>90</v>
      </c>
      <c r="B66" s="61" t="s">
        <v>91</v>
      </c>
      <c r="C66" s="35">
        <f>[4]С2!F23</f>
        <v>1990</v>
      </c>
    </row>
    <row r="67" spans="1:3" ht="30" x14ac:dyDescent="0.2">
      <c r="A67" s="60" t="s">
        <v>92</v>
      </c>
      <c r="B67" s="54" t="s">
        <v>93</v>
      </c>
      <c r="C67" s="35">
        <f>[4]С2.1!E27</f>
        <v>14307.876789999998</v>
      </c>
    </row>
    <row r="68" spans="1:3" ht="38.25" x14ac:dyDescent="0.2">
      <c r="A68" s="60" t="s">
        <v>94</v>
      </c>
      <c r="B68" s="66" t="s">
        <v>95</v>
      </c>
      <c r="C68" s="53">
        <f>[4]С2.3!E21</f>
        <v>0</v>
      </c>
    </row>
    <row r="69" spans="1:3" ht="25.5" x14ac:dyDescent="0.2">
      <c r="A69" s="60" t="s">
        <v>96</v>
      </c>
      <c r="B69" s="67" t="s">
        <v>97</v>
      </c>
      <c r="C69" s="68">
        <f>[4]С2.3!E11</f>
        <v>9.89</v>
      </c>
    </row>
    <row r="70" spans="1:3" ht="25.5" x14ac:dyDescent="0.2">
      <c r="A70" s="60" t="s">
        <v>98</v>
      </c>
      <c r="B70" s="67" t="s">
        <v>99</v>
      </c>
      <c r="C70" s="63">
        <f>[4]С2.3!E13</f>
        <v>300</v>
      </c>
    </row>
    <row r="71" spans="1:3" ht="25.5" x14ac:dyDescent="0.2">
      <c r="A71" s="60" t="s">
        <v>100</v>
      </c>
      <c r="B71" s="66" t="s">
        <v>101</v>
      </c>
      <c r="C71" s="69">
        <f>IF([4]С2.3!E22&gt;0,[4]С2.3!E22,[4]С2.3!E14)</f>
        <v>61211</v>
      </c>
    </row>
    <row r="72" spans="1:3" ht="38.25" x14ac:dyDescent="0.2">
      <c r="A72" s="60" t="s">
        <v>102</v>
      </c>
      <c r="B72" s="66" t="s">
        <v>103</v>
      </c>
      <c r="C72" s="69">
        <f>IF([4]С2.3!E23&gt;0,[4]С2.3!E23,[4]С2.3!E15)</f>
        <v>45675</v>
      </c>
    </row>
    <row r="73" spans="1:3" ht="30" x14ac:dyDescent="0.2">
      <c r="A73" s="60" t="s">
        <v>104</v>
      </c>
      <c r="B73" s="54" t="s">
        <v>105</v>
      </c>
      <c r="C73" s="35">
        <f>[4]С2.1!E28</f>
        <v>9541.9567200000001</v>
      </c>
    </row>
    <row r="74" spans="1:3" ht="38.25" x14ac:dyDescent="0.2">
      <c r="A74" s="60" t="s">
        <v>106</v>
      </c>
      <c r="B74" s="66" t="s">
        <v>107</v>
      </c>
      <c r="C74" s="53">
        <f>[4]С2.3!E25</f>
        <v>0</v>
      </c>
    </row>
    <row r="75" spans="1:3" ht="25.5" x14ac:dyDescent="0.2">
      <c r="A75" s="60" t="s">
        <v>108</v>
      </c>
      <c r="B75" s="67" t="s">
        <v>109</v>
      </c>
      <c r="C75" s="68">
        <f>[4]С2.3!E12</f>
        <v>0.56000000000000005</v>
      </c>
    </row>
    <row r="76" spans="1:3" ht="25.5" x14ac:dyDescent="0.2">
      <c r="A76" s="60" t="s">
        <v>110</v>
      </c>
      <c r="B76" s="67" t="s">
        <v>99</v>
      </c>
      <c r="C76" s="63">
        <f>[4]С2.3!E13</f>
        <v>300</v>
      </c>
    </row>
    <row r="77" spans="1:3" ht="25.5" x14ac:dyDescent="0.2">
      <c r="A77" s="60" t="s">
        <v>111</v>
      </c>
      <c r="B77" s="70" t="s">
        <v>112</v>
      </c>
      <c r="C77" s="69">
        <f>IF([4]С2.3!E26&gt;0,[4]С2.3!E26,[4]С2.3!E16)</f>
        <v>65637</v>
      </c>
    </row>
    <row r="78" spans="1:3" ht="38.25" x14ac:dyDescent="0.2">
      <c r="A78" s="60" t="s">
        <v>113</v>
      </c>
      <c r="B78" s="70" t="s">
        <v>114</v>
      </c>
      <c r="C78" s="69">
        <f>IF([4]С2.3!E27&gt;0,[4]С2.3!E27,[4]С2.3!E17)</f>
        <v>31684</v>
      </c>
    </row>
    <row r="79" spans="1:3" ht="17.25" x14ac:dyDescent="0.2">
      <c r="A79" s="60" t="s">
        <v>115</v>
      </c>
      <c r="B79" s="34" t="s">
        <v>116</v>
      </c>
      <c r="C79" s="36">
        <f>[4]С2!F29</f>
        <v>0.128978033685065</v>
      </c>
    </row>
    <row r="80" spans="1:3" ht="30" x14ac:dyDescent="0.2">
      <c r="A80" s="60" t="s">
        <v>117</v>
      </c>
      <c r="B80" s="54" t="s">
        <v>118</v>
      </c>
      <c r="C80" s="71">
        <f>[4]С2!F30</f>
        <v>0.11668498168498169</v>
      </c>
    </row>
    <row r="81" spans="1:3" ht="17.25" x14ac:dyDescent="0.2">
      <c r="A81" s="60" t="s">
        <v>119</v>
      </c>
      <c r="B81" s="72" t="s">
        <v>120</v>
      </c>
      <c r="C81" s="36">
        <f>[4]С2!F31</f>
        <v>0.13880000000000001</v>
      </c>
    </row>
    <row r="82" spans="1:3" s="64" customFormat="1" ht="18" thickBot="1" x14ac:dyDescent="0.25">
      <c r="A82" s="73" t="s">
        <v>121</v>
      </c>
      <c r="B82" s="74" t="s">
        <v>122</v>
      </c>
      <c r="C82" s="75">
        <f>[4]С2!F32</f>
        <v>0.12640000000000001</v>
      </c>
    </row>
    <row r="83" spans="1:3" ht="13.5" thickBot="1" x14ac:dyDescent="0.25">
      <c r="A83" s="48"/>
      <c r="B83" s="76"/>
      <c r="C83" s="15"/>
    </row>
    <row r="84" spans="1:3" s="64" customFormat="1" ht="30" customHeight="1" x14ac:dyDescent="0.2">
      <c r="A84" s="77" t="s">
        <v>123</v>
      </c>
      <c r="B84" s="142" t="s">
        <v>124</v>
      </c>
      <c r="C84" s="142"/>
    </row>
    <row r="85" spans="1:3" s="64" customFormat="1" ht="30" x14ac:dyDescent="0.2">
      <c r="A85" s="78" t="s">
        <v>125</v>
      </c>
      <c r="B85" s="34" t="s">
        <v>126</v>
      </c>
      <c r="C85" s="35">
        <f>[4]С3!F14</f>
        <v>7020.1696866647444</v>
      </c>
    </row>
    <row r="86" spans="1:3" s="64" customFormat="1" ht="42.75" x14ac:dyDescent="0.2">
      <c r="A86" s="78" t="s">
        <v>127</v>
      </c>
      <c r="B86" s="54" t="s">
        <v>128</v>
      </c>
      <c r="C86" s="79">
        <f>[4]С3!F15</f>
        <v>0.2</v>
      </c>
    </row>
    <row r="87" spans="1:3" s="64" customFormat="1" ht="14.25" x14ac:dyDescent="0.2">
      <c r="A87" s="78" t="s">
        <v>129</v>
      </c>
      <c r="B87" s="80" t="s">
        <v>130</v>
      </c>
      <c r="C87" s="63">
        <f>[4]С3!F18</f>
        <v>15</v>
      </c>
    </row>
    <row r="88" spans="1:3" s="64" customFormat="1" ht="17.25" x14ac:dyDescent="0.2">
      <c r="A88" s="78" t="s">
        <v>131</v>
      </c>
      <c r="B88" s="34" t="s">
        <v>132</v>
      </c>
      <c r="C88" s="35">
        <f>[4]С3!F19</f>
        <v>3487.1555421534131</v>
      </c>
    </row>
    <row r="89" spans="1:3" s="64" customFormat="1" ht="55.5" x14ac:dyDescent="0.2">
      <c r="A89" s="78" t="s">
        <v>133</v>
      </c>
      <c r="B89" s="54" t="s">
        <v>134</v>
      </c>
      <c r="C89" s="81">
        <f>[4]С3!F20</f>
        <v>2.1999999999999999E-2</v>
      </c>
    </row>
    <row r="90" spans="1:3" s="64" customFormat="1" ht="14.25" x14ac:dyDescent="0.2">
      <c r="A90" s="78" t="s">
        <v>135</v>
      </c>
      <c r="B90" s="59" t="s">
        <v>81</v>
      </c>
      <c r="C90" s="63">
        <f>[4]С3!F21</f>
        <v>10</v>
      </c>
    </row>
    <row r="91" spans="1:3" s="64" customFormat="1" ht="17.25" x14ac:dyDescent="0.2">
      <c r="A91" s="78" t="s">
        <v>136</v>
      </c>
      <c r="B91" s="34" t="s">
        <v>137</v>
      </c>
      <c r="C91" s="35">
        <f>[4]С3!F22</f>
        <v>4.795883987542954</v>
      </c>
    </row>
    <row r="92" spans="1:3" s="64" customFormat="1" ht="55.5" x14ac:dyDescent="0.2">
      <c r="A92" s="78" t="s">
        <v>138</v>
      </c>
      <c r="B92" s="54" t="s">
        <v>139</v>
      </c>
      <c r="C92" s="81">
        <f>[4]С3!F23</f>
        <v>3.0000000000000001E-3</v>
      </c>
    </row>
    <row r="93" spans="1:3" s="64" customFormat="1" ht="27.75" thickBot="1" x14ac:dyDescent="0.25">
      <c r="A93" s="82" t="s">
        <v>140</v>
      </c>
      <c r="B93" s="83" t="s">
        <v>141</v>
      </c>
      <c r="C93" s="84">
        <f>[4]С3!F24</f>
        <v>1598.6279958476514</v>
      </c>
    </row>
    <row r="94" spans="1:3" ht="13.5" thickBot="1" x14ac:dyDescent="0.25">
      <c r="A94" s="48"/>
      <c r="B94" s="76"/>
      <c r="C94" s="15"/>
    </row>
    <row r="95" spans="1:3" ht="30" customHeight="1" x14ac:dyDescent="0.2">
      <c r="A95" s="85" t="s">
        <v>142</v>
      </c>
      <c r="B95" s="142" t="s">
        <v>143</v>
      </c>
      <c r="C95" s="142"/>
    </row>
    <row r="96" spans="1:3" ht="30" x14ac:dyDescent="0.2">
      <c r="A96" s="60" t="s">
        <v>144</v>
      </c>
      <c r="B96" s="34" t="s">
        <v>145</v>
      </c>
      <c r="C96" s="35">
        <f>[4]С4!F16</f>
        <v>1652.5</v>
      </c>
    </row>
    <row r="97" spans="1:3" ht="30" x14ac:dyDescent="0.2">
      <c r="A97" s="60" t="s">
        <v>146</v>
      </c>
      <c r="B97" s="59" t="s">
        <v>147</v>
      </c>
      <c r="C97" s="35">
        <f>[4]С4!F17</f>
        <v>73547</v>
      </c>
    </row>
    <row r="98" spans="1:3" ht="33" x14ac:dyDescent="0.2">
      <c r="A98" s="60" t="s">
        <v>148</v>
      </c>
      <c r="B98" s="59" t="s">
        <v>149</v>
      </c>
      <c r="C98" s="41">
        <f>[4]С4!F18</f>
        <v>0.02</v>
      </c>
    </row>
    <row r="99" spans="1:3" ht="30" x14ac:dyDescent="0.2">
      <c r="A99" s="60" t="s">
        <v>150</v>
      </c>
      <c r="B99" s="59" t="s">
        <v>151</v>
      </c>
      <c r="C99" s="35">
        <f>[4]С4!F19</f>
        <v>12104</v>
      </c>
    </row>
    <row r="100" spans="1:3" ht="28.5" x14ac:dyDescent="0.2">
      <c r="A100" s="60" t="s">
        <v>152</v>
      </c>
      <c r="B100" s="59" t="s">
        <v>153</v>
      </c>
      <c r="C100" s="41">
        <f>[4]С4!F20</f>
        <v>1.4999999999999999E-2</v>
      </c>
    </row>
    <row r="101" spans="1:3" ht="30" x14ac:dyDescent="0.2">
      <c r="A101" s="60" t="s">
        <v>154</v>
      </c>
      <c r="B101" s="34" t="s">
        <v>155</v>
      </c>
      <c r="C101" s="35">
        <f>[4]С4!F21</f>
        <v>1933.1949342509995</v>
      </c>
    </row>
    <row r="102" spans="1:3" ht="24" customHeight="1" x14ac:dyDescent="0.2">
      <c r="A102" s="60" t="s">
        <v>156</v>
      </c>
      <c r="B102" s="54" t="s">
        <v>157</v>
      </c>
      <c r="C102" s="86">
        <f>IF([4]С4.2!F8="да",[4]С4.2!D21,[4]С4.2!D15)</f>
        <v>0</v>
      </c>
    </row>
    <row r="103" spans="1:3" ht="68.25" x14ac:dyDescent="0.2">
      <c r="A103" s="60" t="s">
        <v>158</v>
      </c>
      <c r="B103" s="54" t="s">
        <v>159</v>
      </c>
      <c r="C103" s="35">
        <f>[4]С4!F22</f>
        <v>3.6112641666666665</v>
      </c>
    </row>
    <row r="104" spans="1:3" ht="30" x14ac:dyDescent="0.2">
      <c r="A104" s="60" t="s">
        <v>160</v>
      </c>
      <c r="B104" s="59" t="s">
        <v>161</v>
      </c>
      <c r="C104" s="35">
        <f>[4]С4!F23</f>
        <v>180</v>
      </c>
    </row>
    <row r="105" spans="1:3" ht="14.25" x14ac:dyDescent="0.2">
      <c r="A105" s="60" t="s">
        <v>162</v>
      </c>
      <c r="B105" s="54" t="s">
        <v>163</v>
      </c>
      <c r="C105" s="35">
        <f>[4]С4!F24</f>
        <v>8497.1999999999989</v>
      </c>
    </row>
    <row r="106" spans="1:3" ht="14.25" x14ac:dyDescent="0.2">
      <c r="A106" s="60" t="s">
        <v>164</v>
      </c>
      <c r="B106" s="59" t="s">
        <v>165</v>
      </c>
      <c r="C106" s="41">
        <f>[4]С4!F25</f>
        <v>0.35</v>
      </c>
    </row>
    <row r="107" spans="1:3" ht="17.25" x14ac:dyDescent="0.2">
      <c r="A107" s="60" t="s">
        <v>166</v>
      </c>
      <c r="B107" s="34" t="s">
        <v>167</v>
      </c>
      <c r="C107" s="35">
        <f>[4]С4!F26</f>
        <v>103.271175</v>
      </c>
    </row>
    <row r="108" spans="1:3" ht="25.5" x14ac:dyDescent="0.2">
      <c r="A108" s="60" t="s">
        <v>168</v>
      </c>
      <c r="B108" s="54" t="s">
        <v>95</v>
      </c>
      <c r="C108" s="86">
        <f>[4]С4.3!E16</f>
        <v>0</v>
      </c>
    </row>
    <row r="109" spans="1:3" ht="25.5" x14ac:dyDescent="0.2">
      <c r="A109" s="60" t="s">
        <v>169</v>
      </c>
      <c r="B109" s="54" t="s">
        <v>170</v>
      </c>
      <c r="C109" s="35">
        <f>[4]С4.3!E17</f>
        <v>27.058333333333334</v>
      </c>
    </row>
    <row r="110" spans="1:3" ht="38.25" x14ac:dyDescent="0.2">
      <c r="A110" s="60" t="s">
        <v>171</v>
      </c>
      <c r="B110" s="54" t="s">
        <v>107</v>
      </c>
      <c r="C110" s="86">
        <f>[4]С4.3!E18</f>
        <v>0</v>
      </c>
    </row>
    <row r="111" spans="1:3" x14ac:dyDescent="0.2">
      <c r="A111" s="60" t="s">
        <v>172</v>
      </c>
      <c r="B111" s="54" t="s">
        <v>173</v>
      </c>
      <c r="C111" s="35">
        <f>[4]С4.3!E19</f>
        <v>41.06666666666667</v>
      </c>
    </row>
    <row r="112" spans="1:3" x14ac:dyDescent="0.2">
      <c r="A112" s="60" t="s">
        <v>174</v>
      </c>
      <c r="B112" s="59" t="s">
        <v>175</v>
      </c>
      <c r="C112" s="35">
        <f>[4]С4.3!E11</f>
        <v>1871</v>
      </c>
    </row>
    <row r="113" spans="1:3" x14ac:dyDescent="0.2">
      <c r="A113" s="60" t="s">
        <v>176</v>
      </c>
      <c r="B113" s="59" t="s">
        <v>177</v>
      </c>
      <c r="C113" s="53">
        <f>[4]С4.3!E12</f>
        <v>1636</v>
      </c>
    </row>
    <row r="114" spans="1:3" x14ac:dyDescent="0.2">
      <c r="A114" s="60" t="s">
        <v>178</v>
      </c>
      <c r="B114" s="59" t="s">
        <v>179</v>
      </c>
      <c r="C114" s="53">
        <f>[4]С4.3!E13</f>
        <v>204</v>
      </c>
    </row>
    <row r="115" spans="1:3" ht="30" x14ac:dyDescent="0.2">
      <c r="A115" s="60" t="s">
        <v>180</v>
      </c>
      <c r="B115" s="34" t="s">
        <v>181</v>
      </c>
      <c r="C115" s="35">
        <f>[4]С4!F27</f>
        <v>1413.5806587229636</v>
      </c>
    </row>
    <row r="116" spans="1:3" ht="25.5" x14ac:dyDescent="0.2">
      <c r="A116" s="60" t="s">
        <v>182</v>
      </c>
      <c r="B116" s="54" t="s">
        <v>183</v>
      </c>
      <c r="C116" s="35">
        <f>[4]С4!F28</f>
        <v>1085.6994306627985</v>
      </c>
    </row>
    <row r="117" spans="1:3" ht="42.75" x14ac:dyDescent="0.2">
      <c r="A117" s="60" t="s">
        <v>184</v>
      </c>
      <c r="B117" s="54" t="s">
        <v>185</v>
      </c>
      <c r="C117" s="35">
        <f>[4]С4!F29</f>
        <v>327.8812280601652</v>
      </c>
    </row>
    <row r="118" spans="1:3" ht="30" x14ac:dyDescent="0.2">
      <c r="A118" s="60" t="s">
        <v>186</v>
      </c>
      <c r="B118" s="40" t="s">
        <v>187</v>
      </c>
      <c r="C118" s="35">
        <f>[4]С4!F30</f>
        <v>2118.6798039026262</v>
      </c>
    </row>
    <row r="119" spans="1:3" ht="42.75" x14ac:dyDescent="0.2">
      <c r="A119" s="60" t="s">
        <v>188</v>
      </c>
      <c r="B119" s="87" t="s">
        <v>189</v>
      </c>
      <c r="C119" s="35">
        <f>[4]С4!F33</f>
        <v>1374.0280021926758</v>
      </c>
    </row>
    <row r="120" spans="1:3" ht="30" x14ac:dyDescent="0.2">
      <c r="A120" s="60" t="s">
        <v>190</v>
      </c>
      <c r="B120" s="88" t="s">
        <v>191</v>
      </c>
      <c r="C120" s="35">
        <f>[4]С4!F35</f>
        <v>17.040680999999999</v>
      </c>
    </row>
    <row r="121" spans="1:3" ht="14.25" x14ac:dyDescent="0.2">
      <c r="A121" s="60" t="s">
        <v>192</v>
      </c>
      <c r="B121" s="57" t="s">
        <v>193</v>
      </c>
      <c r="C121" s="35">
        <f>[4]С4!F36</f>
        <v>14319.9</v>
      </c>
    </row>
    <row r="122" spans="1:3" ht="28.5" thickBot="1" x14ac:dyDescent="0.25">
      <c r="A122" s="73" t="s">
        <v>194</v>
      </c>
      <c r="B122" s="89" t="s">
        <v>195</v>
      </c>
      <c r="C122" s="84">
        <f>[4]С4!F37</f>
        <v>1.19</v>
      </c>
    </row>
    <row r="123" spans="1:3" s="90" customFormat="1" ht="13.5" thickBot="1" x14ac:dyDescent="0.25">
      <c r="A123" s="48"/>
      <c r="B123" s="76"/>
      <c r="C123" s="15"/>
    </row>
    <row r="124" spans="1:3" s="64" customFormat="1" ht="30" customHeight="1" x14ac:dyDescent="0.2">
      <c r="A124" s="77" t="s">
        <v>196</v>
      </c>
      <c r="B124" s="142" t="s">
        <v>197</v>
      </c>
      <c r="C124" s="142"/>
    </row>
    <row r="125" spans="1:3" ht="16.5" thickBot="1" x14ac:dyDescent="0.25">
      <c r="A125" s="27" t="s">
        <v>198</v>
      </c>
      <c r="B125" s="91" t="s">
        <v>199</v>
      </c>
      <c r="C125" s="84">
        <f>[4]С5!F17</f>
        <v>0.02</v>
      </c>
    </row>
    <row r="126" spans="1:3" s="90" customFormat="1" ht="13.5" thickBot="1" x14ac:dyDescent="0.25">
      <c r="A126" s="48"/>
      <c r="B126" s="76"/>
      <c r="C126" s="15"/>
    </row>
    <row r="127" spans="1:3" ht="42.75" customHeight="1" x14ac:dyDescent="0.2">
      <c r="A127" s="85" t="s">
        <v>200</v>
      </c>
      <c r="B127" s="143" t="s">
        <v>201</v>
      </c>
      <c r="C127" s="143"/>
    </row>
    <row r="128" spans="1:3" ht="68.25" x14ac:dyDescent="0.2">
      <c r="A128" s="60" t="s">
        <v>202</v>
      </c>
      <c r="B128" s="92" t="s">
        <v>203</v>
      </c>
      <c r="C128" s="35" t="s">
        <v>204</v>
      </c>
    </row>
    <row r="129" spans="1:4" ht="42.75" hidden="1" x14ac:dyDescent="0.2">
      <c r="A129" s="60" t="s">
        <v>205</v>
      </c>
      <c r="B129" s="87" t="s">
        <v>206</v>
      </c>
      <c r="C129" s="93"/>
    </row>
    <row r="130" spans="1:4" ht="69" thickBot="1" x14ac:dyDescent="0.25">
      <c r="A130" s="73" t="s">
        <v>207</v>
      </c>
      <c r="B130" s="94" t="s">
        <v>208</v>
      </c>
      <c r="C130" s="95" t="s">
        <v>204</v>
      </c>
    </row>
    <row r="131" spans="1:4" ht="62.25" hidden="1" customHeight="1" x14ac:dyDescent="0.2">
      <c r="A131" s="96" t="s">
        <v>209</v>
      </c>
      <c r="B131" s="97" t="s">
        <v>210</v>
      </c>
      <c r="C131" s="98"/>
    </row>
    <row r="132" spans="1:4" ht="68.25" hidden="1" x14ac:dyDescent="0.2">
      <c r="A132" s="60" t="s">
        <v>211</v>
      </c>
      <c r="B132" s="87" t="s">
        <v>212</v>
      </c>
      <c r="C132" s="36"/>
    </row>
    <row r="133" spans="1:4" ht="69" hidden="1" thickBot="1" x14ac:dyDescent="0.25">
      <c r="A133" s="73" t="s">
        <v>213</v>
      </c>
      <c r="B133" s="99" t="s">
        <v>214</v>
      </c>
      <c r="C133" s="75"/>
    </row>
    <row r="134" spans="1:4" s="90" customFormat="1" ht="13.5" thickBot="1" x14ac:dyDescent="0.25">
      <c r="A134" s="48"/>
      <c r="B134" s="76"/>
      <c r="C134" s="15"/>
    </row>
    <row r="135" spans="1:4" ht="26.25" customHeight="1" x14ac:dyDescent="0.2">
      <c r="A135" s="85" t="s">
        <v>215</v>
      </c>
      <c r="B135" s="100" t="s">
        <v>216</v>
      </c>
      <c r="C135" s="101">
        <f>[4]С2!F37</f>
        <v>20.818139999999996</v>
      </c>
    </row>
    <row r="136" spans="1:4" ht="14.25" x14ac:dyDescent="0.2">
      <c r="A136" s="60" t="s">
        <v>217</v>
      </c>
      <c r="B136" s="102" t="s">
        <v>218</v>
      </c>
      <c r="C136" s="35">
        <f>[4]С2!F38</f>
        <v>7</v>
      </c>
    </row>
    <row r="137" spans="1:4" ht="17.25" x14ac:dyDescent="0.2">
      <c r="A137" s="60" t="s">
        <v>219</v>
      </c>
      <c r="B137" s="102" t="s">
        <v>220</v>
      </c>
      <c r="C137" s="35">
        <f>[4]С2!F40</f>
        <v>0.97</v>
      </c>
    </row>
    <row r="138" spans="1:4" ht="15" thickBot="1" x14ac:dyDescent="0.25">
      <c r="A138" s="73" t="s">
        <v>221</v>
      </c>
      <c r="B138" s="103" t="s">
        <v>222</v>
      </c>
      <c r="C138" s="47">
        <f>[4]С2!F42</f>
        <v>0.35</v>
      </c>
    </row>
    <row r="139" spans="1:4" s="90" customFormat="1" ht="13.5" thickBot="1" x14ac:dyDescent="0.25">
      <c r="A139" s="48"/>
      <c r="B139" s="76"/>
      <c r="C139" s="15"/>
    </row>
    <row r="140" spans="1:4" ht="30" x14ac:dyDescent="0.2">
      <c r="A140" s="85" t="s">
        <v>223</v>
      </c>
      <c r="B140" s="104" t="s">
        <v>224</v>
      </c>
      <c r="C140" s="105">
        <f>[4]С2!F35</f>
        <v>1.3822747209000001</v>
      </c>
      <c r="D140" s="90"/>
    </row>
    <row r="141" spans="1:4" ht="22.7" customHeight="1" thickBot="1" x14ac:dyDescent="0.25">
      <c r="A141" s="73" t="s">
        <v>225</v>
      </c>
      <c r="B141" s="141" t="s">
        <v>226</v>
      </c>
      <c r="C141" s="141"/>
      <c r="D141" s="90"/>
    </row>
    <row r="142" spans="1:4" ht="13.5" thickBot="1" x14ac:dyDescent="0.25">
      <c r="A142" s="106"/>
      <c r="B142" s="107" t="s">
        <v>0</v>
      </c>
      <c r="C142" s="108"/>
      <c r="D142" s="90"/>
    </row>
    <row r="143" spans="1:4" x14ac:dyDescent="0.2">
      <c r="A143" s="106"/>
      <c r="B143" s="109">
        <v>2020</v>
      </c>
      <c r="C143" s="110">
        <f>[4]С2.5!$E$11</f>
        <v>-2.9000000000000026E-2</v>
      </c>
      <c r="D143" s="90"/>
    </row>
    <row r="144" spans="1:4" x14ac:dyDescent="0.2">
      <c r="A144" s="106"/>
      <c r="B144" s="111">
        <f>B143+1</f>
        <v>2021</v>
      </c>
      <c r="C144" s="112">
        <f>[4]С2.5!$F$11</f>
        <v>0.245</v>
      </c>
      <c r="D144" s="90"/>
    </row>
    <row r="145" spans="1:4" x14ac:dyDescent="0.2">
      <c r="A145" s="106"/>
      <c r="B145" s="111">
        <f t="shared" ref="B145:B208" si="0">B144+1</f>
        <v>2022</v>
      </c>
      <c r="C145" s="112">
        <f>[4]С2.5!$G$11</f>
        <v>0.121</v>
      </c>
      <c r="D145" s="90"/>
    </row>
    <row r="146" spans="1:4" ht="13.5" thickBot="1" x14ac:dyDescent="0.25">
      <c r="A146" s="106"/>
      <c r="B146" s="113">
        <f t="shared" si="0"/>
        <v>2023</v>
      </c>
      <c r="C146" s="114">
        <f>[4]С2.5!$H$11</f>
        <v>0.02</v>
      </c>
      <c r="D146" s="90"/>
    </row>
    <row r="147" spans="1:4" hidden="1" x14ac:dyDescent="0.2">
      <c r="A147" s="106"/>
      <c r="B147" s="115">
        <f t="shared" si="0"/>
        <v>2024</v>
      </c>
      <c r="C147" s="116">
        <f>[4]С2.5!$I$11</f>
        <v>-2.93E-2</v>
      </c>
      <c r="D147" s="90"/>
    </row>
    <row r="148" spans="1:4" hidden="1" x14ac:dyDescent="0.2">
      <c r="A148" s="106"/>
      <c r="B148" s="111">
        <f t="shared" si="0"/>
        <v>2025</v>
      </c>
      <c r="C148" s="112">
        <f>[4]С2.5!$J$11</f>
        <v>0.21215960863291</v>
      </c>
      <c r="D148" s="90"/>
    </row>
    <row r="149" spans="1:4" hidden="1" x14ac:dyDescent="0.2">
      <c r="A149" s="106"/>
      <c r="B149" s="111">
        <f t="shared" si="0"/>
        <v>2026</v>
      </c>
      <c r="C149" s="112">
        <f>[4]С2.5!$K$11</f>
        <v>3.5813361771260002E-2</v>
      </c>
      <c r="D149" s="90"/>
    </row>
    <row r="150" spans="1:4" hidden="1" x14ac:dyDescent="0.2">
      <c r="A150" s="106"/>
      <c r="B150" s="111">
        <f t="shared" si="0"/>
        <v>2027</v>
      </c>
      <c r="C150" s="112">
        <f>[4]С2.5!$L$11</f>
        <v>3.2682303599220003E-2</v>
      </c>
      <c r="D150" s="90"/>
    </row>
    <row r="151" spans="1:4" hidden="1" x14ac:dyDescent="0.2">
      <c r="A151" s="106"/>
      <c r="B151" s="111">
        <f t="shared" si="0"/>
        <v>2028</v>
      </c>
      <c r="C151" s="112">
        <f>[4]С2.5!$M$11</f>
        <v>0</v>
      </c>
      <c r="D151" s="90"/>
    </row>
    <row r="152" spans="1:4" hidden="1" x14ac:dyDescent="0.2">
      <c r="A152" s="106"/>
      <c r="B152" s="111">
        <f t="shared" si="0"/>
        <v>2029</v>
      </c>
      <c r="C152" s="112">
        <f>[4]С2.5!$N$11</f>
        <v>0</v>
      </c>
      <c r="D152" s="90"/>
    </row>
    <row r="153" spans="1:4" hidden="1" x14ac:dyDescent="0.2">
      <c r="A153" s="106"/>
      <c r="B153" s="111">
        <f t="shared" si="0"/>
        <v>2030</v>
      </c>
      <c r="C153" s="112">
        <f>[4]С2.5!$O$11</f>
        <v>0</v>
      </c>
      <c r="D153" s="90"/>
    </row>
    <row r="154" spans="1:4" hidden="1" x14ac:dyDescent="0.2">
      <c r="A154" s="106"/>
      <c r="B154" s="111">
        <f t="shared" si="0"/>
        <v>2031</v>
      </c>
      <c r="C154" s="112">
        <f>[4]С2.5!$P$11</f>
        <v>0</v>
      </c>
      <c r="D154" s="90"/>
    </row>
    <row r="155" spans="1:4" hidden="1" x14ac:dyDescent="0.2">
      <c r="A155" s="90"/>
      <c r="B155" s="111">
        <f t="shared" si="0"/>
        <v>2032</v>
      </c>
      <c r="C155" s="112">
        <f>[4]С2.5!$Q$11</f>
        <v>0</v>
      </c>
      <c r="D155" s="90"/>
    </row>
    <row r="156" spans="1:4" hidden="1" x14ac:dyDescent="0.2">
      <c r="A156" s="90"/>
      <c r="B156" s="111">
        <f t="shared" si="0"/>
        <v>2033</v>
      </c>
      <c r="C156" s="112">
        <f>[4]С2.5!$R$11</f>
        <v>0</v>
      </c>
      <c r="D156" s="90"/>
    </row>
    <row r="157" spans="1:4" hidden="1" x14ac:dyDescent="0.2">
      <c r="B157" s="111">
        <f t="shared" si="0"/>
        <v>2034</v>
      </c>
      <c r="C157" s="112">
        <f>[4]С2.5!$S$11</f>
        <v>0</v>
      </c>
    </row>
    <row r="158" spans="1:4" hidden="1" x14ac:dyDescent="0.2">
      <c r="B158" s="111">
        <f t="shared" si="0"/>
        <v>2035</v>
      </c>
      <c r="C158" s="112">
        <f>[4]С2.5!$T$11</f>
        <v>0</v>
      </c>
    </row>
    <row r="159" spans="1:4" hidden="1" x14ac:dyDescent="0.2">
      <c r="B159" s="111">
        <f t="shared" si="0"/>
        <v>2036</v>
      </c>
      <c r="C159" s="112">
        <f>[4]С2.5!$U$11</f>
        <v>0</v>
      </c>
    </row>
    <row r="160" spans="1:4" hidden="1" x14ac:dyDescent="0.2">
      <c r="B160" s="111">
        <f t="shared" si="0"/>
        <v>2037</v>
      </c>
      <c r="C160" s="112">
        <f>[4]С2.5!$V$11</f>
        <v>0</v>
      </c>
    </row>
    <row r="161" spans="2:3" hidden="1" x14ac:dyDescent="0.2">
      <c r="B161" s="111">
        <f t="shared" si="0"/>
        <v>2038</v>
      </c>
      <c r="C161" s="112">
        <f>[4]С2.5!$W$11</f>
        <v>0</v>
      </c>
    </row>
    <row r="162" spans="2:3" hidden="1" x14ac:dyDescent="0.2">
      <c r="B162" s="111">
        <f t="shared" si="0"/>
        <v>2039</v>
      </c>
      <c r="C162" s="112">
        <f>[4]С2.5!$X$11</f>
        <v>0</v>
      </c>
    </row>
    <row r="163" spans="2:3" hidden="1" x14ac:dyDescent="0.2">
      <c r="B163" s="111">
        <f t="shared" si="0"/>
        <v>2040</v>
      </c>
      <c r="C163" s="112">
        <f>[4]С2.5!$Y$11</f>
        <v>0</v>
      </c>
    </row>
    <row r="164" spans="2:3" hidden="1" x14ac:dyDescent="0.2">
      <c r="B164" s="111">
        <f t="shared" si="0"/>
        <v>2041</v>
      </c>
      <c r="C164" s="112">
        <f>[4]С2.5!$Z$11</f>
        <v>0</v>
      </c>
    </row>
    <row r="165" spans="2:3" hidden="1" x14ac:dyDescent="0.2">
      <c r="B165" s="111">
        <f t="shared" si="0"/>
        <v>2042</v>
      </c>
      <c r="C165" s="112">
        <f>[4]С2.5!$AA$11</f>
        <v>0</v>
      </c>
    </row>
    <row r="166" spans="2:3" hidden="1" x14ac:dyDescent="0.2">
      <c r="B166" s="111">
        <f t="shared" si="0"/>
        <v>2043</v>
      </c>
      <c r="C166" s="112">
        <f>[4]С2.5!$AB$11</f>
        <v>0</v>
      </c>
    </row>
    <row r="167" spans="2:3" hidden="1" x14ac:dyDescent="0.2">
      <c r="B167" s="111">
        <f t="shared" si="0"/>
        <v>2044</v>
      </c>
      <c r="C167" s="112">
        <f>[4]С2.5!$AC$11</f>
        <v>0</v>
      </c>
    </row>
    <row r="168" spans="2:3" hidden="1" x14ac:dyDescent="0.2">
      <c r="B168" s="111">
        <f t="shared" si="0"/>
        <v>2045</v>
      </c>
      <c r="C168" s="112">
        <f>[4]С2.5!$AD$11</f>
        <v>0</v>
      </c>
    </row>
    <row r="169" spans="2:3" hidden="1" x14ac:dyDescent="0.2">
      <c r="B169" s="111">
        <f t="shared" si="0"/>
        <v>2046</v>
      </c>
      <c r="C169" s="112">
        <f>[4]С2.5!$AE$11</f>
        <v>0</v>
      </c>
    </row>
    <row r="170" spans="2:3" hidden="1" x14ac:dyDescent="0.2">
      <c r="B170" s="111">
        <f t="shared" si="0"/>
        <v>2047</v>
      </c>
      <c r="C170" s="112">
        <f>[4]С2.5!$AF$11</f>
        <v>0</v>
      </c>
    </row>
    <row r="171" spans="2:3" hidden="1" x14ac:dyDescent="0.2">
      <c r="B171" s="111">
        <f t="shared" si="0"/>
        <v>2048</v>
      </c>
      <c r="C171" s="112">
        <f>[4]С2.5!$AG$11</f>
        <v>0</v>
      </c>
    </row>
    <row r="172" spans="2:3" hidden="1" x14ac:dyDescent="0.2">
      <c r="B172" s="111">
        <f t="shared" si="0"/>
        <v>2049</v>
      </c>
      <c r="C172" s="112">
        <f>[4]С2.5!$AH$11</f>
        <v>0</v>
      </c>
    </row>
    <row r="173" spans="2:3" hidden="1" x14ac:dyDescent="0.2">
      <c r="B173" s="111">
        <f t="shared" si="0"/>
        <v>2050</v>
      </c>
      <c r="C173" s="112">
        <f>[4]С2.5!$AI$11</f>
        <v>0</v>
      </c>
    </row>
    <row r="174" spans="2:3" hidden="1" x14ac:dyDescent="0.2">
      <c r="B174" s="111">
        <f t="shared" si="0"/>
        <v>2051</v>
      </c>
      <c r="C174" s="112">
        <f>[4]С2.5!$AJ$11</f>
        <v>0</v>
      </c>
    </row>
    <row r="175" spans="2:3" hidden="1" x14ac:dyDescent="0.2">
      <c r="B175" s="111">
        <f t="shared" si="0"/>
        <v>2052</v>
      </c>
      <c r="C175" s="112">
        <f>[4]С2.5!$AK$11</f>
        <v>0</v>
      </c>
    </row>
    <row r="176" spans="2:3" hidden="1" x14ac:dyDescent="0.2">
      <c r="B176" s="111">
        <f t="shared" si="0"/>
        <v>2053</v>
      </c>
      <c r="C176" s="112">
        <f>[4]С2.5!$AL$11</f>
        <v>0</v>
      </c>
    </row>
    <row r="177" spans="2:3" hidden="1" x14ac:dyDescent="0.2">
      <c r="B177" s="111">
        <f t="shared" si="0"/>
        <v>2054</v>
      </c>
      <c r="C177" s="112">
        <f>[4]С2.5!$AM$11</f>
        <v>0</v>
      </c>
    </row>
    <row r="178" spans="2:3" hidden="1" x14ac:dyDescent="0.2">
      <c r="B178" s="111">
        <f t="shared" si="0"/>
        <v>2055</v>
      </c>
      <c r="C178" s="112">
        <f>[4]С2.5!$AN$11</f>
        <v>0</v>
      </c>
    </row>
    <row r="179" spans="2:3" hidden="1" x14ac:dyDescent="0.2">
      <c r="B179" s="111">
        <f t="shared" si="0"/>
        <v>2056</v>
      </c>
      <c r="C179" s="112">
        <f>[4]С2.5!$AO$11</f>
        <v>0</v>
      </c>
    </row>
    <row r="180" spans="2:3" hidden="1" x14ac:dyDescent="0.2">
      <c r="B180" s="111">
        <f t="shared" si="0"/>
        <v>2057</v>
      </c>
      <c r="C180" s="112">
        <f>[4]С2.5!$AP$11</f>
        <v>0</v>
      </c>
    </row>
    <row r="181" spans="2:3" hidden="1" x14ac:dyDescent="0.2">
      <c r="B181" s="111">
        <f t="shared" si="0"/>
        <v>2058</v>
      </c>
      <c r="C181" s="112">
        <f>[4]С2.5!$AQ$11</f>
        <v>0</v>
      </c>
    </row>
    <row r="182" spans="2:3" hidden="1" x14ac:dyDescent="0.2">
      <c r="B182" s="111">
        <f t="shared" si="0"/>
        <v>2059</v>
      </c>
      <c r="C182" s="112">
        <f>[4]С2.5!$AR$11</f>
        <v>0</v>
      </c>
    </row>
    <row r="183" spans="2:3" hidden="1" x14ac:dyDescent="0.2">
      <c r="B183" s="111">
        <f t="shared" si="0"/>
        <v>2060</v>
      </c>
      <c r="C183" s="112">
        <f>[4]С2.5!$AS$11</f>
        <v>0</v>
      </c>
    </row>
    <row r="184" spans="2:3" hidden="1" x14ac:dyDescent="0.2">
      <c r="B184" s="111">
        <f t="shared" si="0"/>
        <v>2061</v>
      </c>
      <c r="C184" s="112">
        <f>[4]С2.5!$AT$11</f>
        <v>0</v>
      </c>
    </row>
    <row r="185" spans="2:3" hidden="1" x14ac:dyDescent="0.2">
      <c r="B185" s="111">
        <f t="shared" si="0"/>
        <v>2062</v>
      </c>
      <c r="C185" s="112">
        <f>[4]С2.5!$AU$11</f>
        <v>0</v>
      </c>
    </row>
    <row r="186" spans="2:3" hidden="1" x14ac:dyDescent="0.2">
      <c r="B186" s="111">
        <f t="shared" si="0"/>
        <v>2063</v>
      </c>
      <c r="C186" s="112">
        <f>[4]С2.5!$AV$11</f>
        <v>0</v>
      </c>
    </row>
    <row r="187" spans="2:3" hidden="1" x14ac:dyDescent="0.2">
      <c r="B187" s="111">
        <f t="shared" si="0"/>
        <v>2064</v>
      </c>
      <c r="C187" s="112">
        <f>[4]С2.5!$AW$11</f>
        <v>0</v>
      </c>
    </row>
    <row r="188" spans="2:3" hidden="1" x14ac:dyDescent="0.2">
      <c r="B188" s="111">
        <f t="shared" si="0"/>
        <v>2065</v>
      </c>
      <c r="C188" s="112">
        <f>[4]С2.5!$AX$11</f>
        <v>0</v>
      </c>
    </row>
    <row r="189" spans="2:3" hidden="1" x14ac:dyDescent="0.2">
      <c r="B189" s="111">
        <f t="shared" si="0"/>
        <v>2066</v>
      </c>
      <c r="C189" s="112">
        <f>[4]С2.5!$AY$11</f>
        <v>0</v>
      </c>
    </row>
    <row r="190" spans="2:3" hidden="1" x14ac:dyDescent="0.2">
      <c r="B190" s="111">
        <f t="shared" si="0"/>
        <v>2067</v>
      </c>
      <c r="C190" s="112">
        <f>[4]С2.5!$AZ$11</f>
        <v>0</v>
      </c>
    </row>
    <row r="191" spans="2:3" hidden="1" x14ac:dyDescent="0.2">
      <c r="B191" s="111">
        <f t="shared" si="0"/>
        <v>2068</v>
      </c>
      <c r="C191" s="112">
        <f>[4]С2.5!$BA$11</f>
        <v>0</v>
      </c>
    </row>
    <row r="192" spans="2:3" hidden="1" x14ac:dyDescent="0.2">
      <c r="B192" s="111">
        <f t="shared" si="0"/>
        <v>2069</v>
      </c>
      <c r="C192" s="112">
        <f>[4]С2.5!$BB$11</f>
        <v>0</v>
      </c>
    </row>
    <row r="193" spans="2:3" hidden="1" x14ac:dyDescent="0.2">
      <c r="B193" s="111">
        <f t="shared" si="0"/>
        <v>2070</v>
      </c>
      <c r="C193" s="112">
        <f>[4]С2.5!$BC$11</f>
        <v>0</v>
      </c>
    </row>
    <row r="194" spans="2:3" hidden="1" x14ac:dyDescent="0.2">
      <c r="B194" s="111">
        <f t="shared" si="0"/>
        <v>2071</v>
      </c>
      <c r="C194" s="112">
        <f>[4]С2.5!$BD$11</f>
        <v>0</v>
      </c>
    </row>
    <row r="195" spans="2:3" hidden="1" x14ac:dyDescent="0.2">
      <c r="B195" s="111">
        <f t="shared" si="0"/>
        <v>2072</v>
      </c>
      <c r="C195" s="112">
        <f>[4]С2.5!$BE$11</f>
        <v>0</v>
      </c>
    </row>
    <row r="196" spans="2:3" hidden="1" x14ac:dyDescent="0.2">
      <c r="B196" s="111">
        <f t="shared" si="0"/>
        <v>2073</v>
      </c>
      <c r="C196" s="112">
        <f>[4]С2.5!$BF$11</f>
        <v>0</v>
      </c>
    </row>
    <row r="197" spans="2:3" hidden="1" x14ac:dyDescent="0.2">
      <c r="B197" s="111">
        <f t="shared" si="0"/>
        <v>2074</v>
      </c>
      <c r="C197" s="112">
        <f>[4]С2.5!$BG$11</f>
        <v>0</v>
      </c>
    </row>
    <row r="198" spans="2:3" hidden="1" x14ac:dyDescent="0.2">
      <c r="B198" s="111">
        <f t="shared" si="0"/>
        <v>2075</v>
      </c>
      <c r="C198" s="112">
        <f>[4]С2.5!$BH$11</f>
        <v>0</v>
      </c>
    </row>
    <row r="199" spans="2:3" hidden="1" x14ac:dyDescent="0.2">
      <c r="B199" s="111">
        <f t="shared" si="0"/>
        <v>2076</v>
      </c>
      <c r="C199" s="112">
        <f>[4]С2.5!$BI$11</f>
        <v>0</v>
      </c>
    </row>
    <row r="200" spans="2:3" hidden="1" x14ac:dyDescent="0.2">
      <c r="B200" s="111">
        <f t="shared" si="0"/>
        <v>2077</v>
      </c>
      <c r="C200" s="112">
        <f>[4]С2.5!$BJ$11</f>
        <v>0</v>
      </c>
    </row>
    <row r="201" spans="2:3" hidden="1" x14ac:dyDescent="0.2">
      <c r="B201" s="111">
        <f t="shared" si="0"/>
        <v>2078</v>
      </c>
      <c r="C201" s="112">
        <f>[4]С2.5!$BK$11</f>
        <v>0</v>
      </c>
    </row>
    <row r="202" spans="2:3" hidden="1" x14ac:dyDescent="0.2">
      <c r="B202" s="111">
        <f t="shared" si="0"/>
        <v>2079</v>
      </c>
      <c r="C202" s="112">
        <f>[4]С2.5!$BL$11</f>
        <v>0</v>
      </c>
    </row>
    <row r="203" spans="2:3" hidden="1" x14ac:dyDescent="0.2">
      <c r="B203" s="111">
        <f t="shared" si="0"/>
        <v>2080</v>
      </c>
      <c r="C203" s="112">
        <f>[4]С2.5!$BM$11</f>
        <v>0</v>
      </c>
    </row>
    <row r="204" spans="2:3" hidden="1" x14ac:dyDescent="0.2">
      <c r="B204" s="111">
        <f t="shared" si="0"/>
        <v>2081</v>
      </c>
      <c r="C204" s="112">
        <f>[4]С2.5!$BN$11</f>
        <v>0</v>
      </c>
    </row>
    <row r="205" spans="2:3" hidden="1" x14ac:dyDescent="0.2">
      <c r="B205" s="111">
        <f t="shared" si="0"/>
        <v>2082</v>
      </c>
      <c r="C205" s="112">
        <f>[4]С2.5!$BO$11</f>
        <v>0</v>
      </c>
    </row>
    <row r="206" spans="2:3" hidden="1" x14ac:dyDescent="0.2">
      <c r="B206" s="111">
        <f t="shared" si="0"/>
        <v>2083</v>
      </c>
      <c r="C206" s="112">
        <f>[4]С2.5!$BP$11</f>
        <v>0</v>
      </c>
    </row>
    <row r="207" spans="2:3" hidden="1" x14ac:dyDescent="0.2">
      <c r="B207" s="111">
        <f t="shared" si="0"/>
        <v>2084</v>
      </c>
      <c r="C207" s="112">
        <f>[4]С2.5!$BQ$11</f>
        <v>0</v>
      </c>
    </row>
    <row r="208" spans="2:3" hidden="1" x14ac:dyDescent="0.2">
      <c r="B208" s="111">
        <f t="shared" si="0"/>
        <v>2085</v>
      </c>
      <c r="C208" s="112">
        <f>[4]С2.5!$BR$11</f>
        <v>0</v>
      </c>
    </row>
    <row r="209" spans="2:3" hidden="1" x14ac:dyDescent="0.2">
      <c r="B209" s="111">
        <f t="shared" ref="B209:B223" si="1">B208+1</f>
        <v>2086</v>
      </c>
      <c r="C209" s="112">
        <f>[4]С2.5!$BS$11</f>
        <v>0</v>
      </c>
    </row>
    <row r="210" spans="2:3" hidden="1" x14ac:dyDescent="0.2">
      <c r="B210" s="111">
        <f t="shared" si="1"/>
        <v>2087</v>
      </c>
      <c r="C210" s="112">
        <f>[4]С2.5!$BT$11</f>
        <v>0</v>
      </c>
    </row>
    <row r="211" spans="2:3" hidden="1" x14ac:dyDescent="0.2">
      <c r="B211" s="111">
        <f t="shared" si="1"/>
        <v>2088</v>
      </c>
      <c r="C211" s="112">
        <f>[4]С2.5!$BU$11</f>
        <v>0</v>
      </c>
    </row>
    <row r="212" spans="2:3" hidden="1" x14ac:dyDescent="0.2">
      <c r="B212" s="111">
        <f t="shared" si="1"/>
        <v>2089</v>
      </c>
      <c r="C212" s="112">
        <f>[4]С2.5!$BV$11</f>
        <v>0</v>
      </c>
    </row>
    <row r="213" spans="2:3" hidden="1" x14ac:dyDescent="0.2">
      <c r="B213" s="111">
        <f t="shared" si="1"/>
        <v>2090</v>
      </c>
      <c r="C213" s="112">
        <f>[4]С2.5!$BW$11</f>
        <v>0</v>
      </c>
    </row>
    <row r="214" spans="2:3" hidden="1" x14ac:dyDescent="0.2">
      <c r="B214" s="111">
        <f t="shared" si="1"/>
        <v>2091</v>
      </c>
      <c r="C214" s="112">
        <f>[4]С2.5!$BX$11</f>
        <v>0</v>
      </c>
    </row>
    <row r="215" spans="2:3" hidden="1" x14ac:dyDescent="0.2">
      <c r="B215" s="111">
        <f t="shared" si="1"/>
        <v>2092</v>
      </c>
      <c r="C215" s="112">
        <f>[4]С2.5!$BY$11</f>
        <v>0</v>
      </c>
    </row>
    <row r="216" spans="2:3" hidden="1" x14ac:dyDescent="0.2">
      <c r="B216" s="111">
        <f t="shared" si="1"/>
        <v>2093</v>
      </c>
      <c r="C216" s="112">
        <f>[4]С2.5!$BZ$11</f>
        <v>0</v>
      </c>
    </row>
    <row r="217" spans="2:3" hidden="1" x14ac:dyDescent="0.2">
      <c r="B217" s="111">
        <f t="shared" si="1"/>
        <v>2094</v>
      </c>
      <c r="C217" s="112">
        <f>[4]С2.5!$CA$11</f>
        <v>0</v>
      </c>
    </row>
    <row r="218" spans="2:3" hidden="1" x14ac:dyDescent="0.2">
      <c r="B218" s="111">
        <f t="shared" si="1"/>
        <v>2095</v>
      </c>
      <c r="C218" s="112">
        <f>[4]С2.5!$CB$11</f>
        <v>0</v>
      </c>
    </row>
    <row r="219" spans="2:3" hidden="1" x14ac:dyDescent="0.2">
      <c r="B219" s="111">
        <f t="shared" si="1"/>
        <v>2096</v>
      </c>
      <c r="C219" s="112">
        <f>[4]С2.5!$CC$11</f>
        <v>0</v>
      </c>
    </row>
    <row r="220" spans="2:3" hidden="1" x14ac:dyDescent="0.2">
      <c r="B220" s="111">
        <f t="shared" si="1"/>
        <v>2097</v>
      </c>
      <c r="C220" s="112">
        <f>[4]С2.5!$CD$11</f>
        <v>0</v>
      </c>
    </row>
    <row r="221" spans="2:3" hidden="1" x14ac:dyDescent="0.2">
      <c r="B221" s="111">
        <f t="shared" si="1"/>
        <v>2098</v>
      </c>
      <c r="C221" s="112">
        <f>[4]С2.5!$CE$11</f>
        <v>0</v>
      </c>
    </row>
    <row r="222" spans="2:3" hidden="1" x14ac:dyDescent="0.2">
      <c r="B222" s="111">
        <f t="shared" si="1"/>
        <v>2099</v>
      </c>
      <c r="C222" s="112">
        <f>[4]С2.5!$CF$11</f>
        <v>0</v>
      </c>
    </row>
    <row r="223" spans="2:3" ht="13.5" hidden="1" thickBot="1" x14ac:dyDescent="0.25">
      <c r="B223" s="113">
        <f t="shared" si="1"/>
        <v>2100</v>
      </c>
      <c r="C223" s="114">
        <f>[4]С2.5!$CG$11</f>
        <v>0</v>
      </c>
    </row>
    <row r="224" spans="2:3" hidden="1" x14ac:dyDescent="0.2">
      <c r="C224" s="117"/>
    </row>
    <row r="225" spans="3:3" hidden="1" x14ac:dyDescent="0.2">
      <c r="C225" s="117"/>
    </row>
    <row r="226" spans="3:3" x14ac:dyDescent="0.2">
      <c r="C226" s="117"/>
    </row>
  </sheetData>
  <mergeCells count="9">
    <mergeCell ref="B1:C1"/>
    <mergeCell ref="A14:C14"/>
    <mergeCell ref="B27:C27"/>
    <mergeCell ref="B141:C141"/>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4]!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226"/>
  <sheetViews>
    <sheetView zoomScale="85" zoomScaleNormal="85" workbookViewId="0">
      <pane ySplit="8" topLeftCell="A9" activePane="bottomLeft" state="frozen"/>
      <selection pane="bottomLeft" activeCell="C17" sqref="C17"/>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44" t="s">
        <v>1</v>
      </c>
      <c r="C1" s="144"/>
    </row>
    <row r="2" spans="1:3" x14ac:dyDescent="0.2">
      <c r="A2" s="3"/>
      <c r="B2" s="4" t="s">
        <v>2</v>
      </c>
      <c r="C2" s="5">
        <f ca="1">TODAY()</f>
        <v>44944</v>
      </c>
    </row>
    <row r="3" spans="1:3" x14ac:dyDescent="0.2">
      <c r="A3" s="3"/>
      <c r="B3" s="6" t="s">
        <v>3</v>
      </c>
    </row>
    <row r="4" spans="1:3" ht="25.5" x14ac:dyDescent="0.2">
      <c r="A4" s="8"/>
      <c r="B4" s="9" t="str">
        <f>[5]И1!D13</f>
        <v>Субъект Российской Федерации</v>
      </c>
      <c r="C4" s="10" t="str">
        <f>[5]И1!E13</f>
        <v>Новосибирская область</v>
      </c>
    </row>
    <row r="5" spans="1:3" ht="38.25" x14ac:dyDescent="0.2">
      <c r="A5" s="8"/>
      <c r="B5" s="9" t="str">
        <f>[5]И1!D14</f>
        <v>Тип муниципального образования (выберите из списка)</v>
      </c>
      <c r="C5" s="10" t="str">
        <f>[5]И1!E14</f>
        <v>село Березово, Маслянинский муниципальный район</v>
      </c>
    </row>
    <row r="6" spans="1:3" x14ac:dyDescent="0.2">
      <c r="A6" s="8"/>
      <c r="B6" s="9" t="str">
        <f>IF([5]И1!E15="","",[5]И1!D15)</f>
        <v/>
      </c>
      <c r="C6" s="10" t="str">
        <f>IF([5]И1!E15="","",[5]И1!E15)</f>
        <v/>
      </c>
    </row>
    <row r="7" spans="1:3" x14ac:dyDescent="0.2">
      <c r="A7" s="8"/>
      <c r="B7" s="9" t="str">
        <f>[5]И1!D16</f>
        <v>Код ОКТМО</v>
      </c>
      <c r="C7" s="11" t="str">
        <f>[5]И1!E16</f>
        <v>50636407101</v>
      </c>
    </row>
    <row r="8" spans="1:3" x14ac:dyDescent="0.2">
      <c r="A8" s="8"/>
      <c r="B8" s="12" t="str">
        <f>[5]И1!D17</f>
        <v>Система теплоснабжения</v>
      </c>
      <c r="C8" s="13">
        <f>[5]И1!E17</f>
        <v>0</v>
      </c>
    </row>
    <row r="9" spans="1:3" x14ac:dyDescent="0.2">
      <c r="A9" s="8"/>
      <c r="B9" s="9" t="str">
        <f>[5]И1!D8</f>
        <v>Период регулирования (i)-й</v>
      </c>
      <c r="C9" s="14">
        <f>[5]И1!E8</f>
        <v>2023</v>
      </c>
    </row>
    <row r="10" spans="1:3" x14ac:dyDescent="0.2">
      <c r="A10" s="8"/>
      <c r="B10" s="9" t="str">
        <f>[5]И1!D9</f>
        <v>Период регулирования (i-1)-й</v>
      </c>
      <c r="C10" s="14">
        <f>[5]И1!E9</f>
        <v>2022</v>
      </c>
    </row>
    <row r="11" spans="1:3" x14ac:dyDescent="0.2">
      <c r="A11" s="8"/>
      <c r="B11" s="9" t="str">
        <f>[5]И1!D10</f>
        <v>Период регулирования (i-2)-й</v>
      </c>
      <c r="C11" s="14">
        <f>[5]И1!E10</f>
        <v>2021</v>
      </c>
    </row>
    <row r="12" spans="1:3" x14ac:dyDescent="0.2">
      <c r="A12" s="8"/>
      <c r="B12" s="9" t="str">
        <f>[5]И1!D11</f>
        <v>Базовый год (б)</v>
      </c>
      <c r="C12" s="14">
        <f>[5]И1!E11</f>
        <v>2019</v>
      </c>
    </row>
    <row r="13" spans="1:3" ht="38.25" x14ac:dyDescent="0.2">
      <c r="A13" s="8"/>
      <c r="B13" s="9" t="str">
        <f>[5]И1!D18</f>
        <v>Вид топлива, использование которого преобладает в системе теплоснабжения</v>
      </c>
      <c r="C13" s="15" t="str">
        <f>[5]С1.1!E13</f>
        <v>уголь (вид угля не указан в топливном балансе)</v>
      </c>
    </row>
    <row r="14" spans="1:3" ht="31.7" customHeight="1" thickBot="1" x14ac:dyDescent="0.25">
      <c r="A14" s="145" t="s">
        <v>4</v>
      </c>
      <c r="B14" s="145"/>
      <c r="C14" s="145"/>
    </row>
    <row r="15" spans="1:3" x14ac:dyDescent="0.2">
      <c r="A15" s="16" t="s">
        <v>5</v>
      </c>
      <c r="B15" s="17" t="s">
        <v>6</v>
      </c>
      <c r="C15" s="18" t="s">
        <v>7</v>
      </c>
    </row>
    <row r="16" spans="1:3" x14ac:dyDescent="0.2">
      <c r="A16" s="19">
        <v>1</v>
      </c>
      <c r="B16" s="20">
        <v>2</v>
      </c>
      <c r="C16" s="21">
        <v>3</v>
      </c>
    </row>
    <row r="17" spans="1:3" x14ac:dyDescent="0.2">
      <c r="A17" s="22">
        <v>1</v>
      </c>
      <c r="B17" s="23" t="s">
        <v>8</v>
      </c>
      <c r="C17" s="24">
        <f>SUM(C18:C22)</f>
        <v>4064.8123650512953</v>
      </c>
    </row>
    <row r="18" spans="1:3" ht="42.75" x14ac:dyDescent="0.2">
      <c r="A18" s="22" t="s">
        <v>9</v>
      </c>
      <c r="B18" s="25" t="s">
        <v>10</v>
      </c>
      <c r="C18" s="26">
        <f>[5]С1!F12</f>
        <v>931.18468604281509</v>
      </c>
    </row>
    <row r="19" spans="1:3" ht="42.75" x14ac:dyDescent="0.2">
      <c r="A19" s="22" t="s">
        <v>11</v>
      </c>
      <c r="B19" s="25" t="s">
        <v>12</v>
      </c>
      <c r="C19" s="26">
        <f>[5]С2!F12</f>
        <v>2110.2454761302993</v>
      </c>
    </row>
    <row r="20" spans="1:3" ht="30" x14ac:dyDescent="0.2">
      <c r="A20" s="22" t="s">
        <v>13</v>
      </c>
      <c r="B20" s="25" t="s">
        <v>14</v>
      </c>
      <c r="C20" s="26">
        <f>[5]С3!F12</f>
        <v>504.95006339690781</v>
      </c>
    </row>
    <row r="21" spans="1:3" ht="42.75" x14ac:dyDescent="0.2">
      <c r="A21" s="22" t="s">
        <v>15</v>
      </c>
      <c r="B21" s="25" t="s">
        <v>16</v>
      </c>
      <c r="C21" s="26">
        <f>[5]С4!F12</f>
        <v>438.72993624497343</v>
      </c>
    </row>
    <row r="22" spans="1:3" ht="30" x14ac:dyDescent="0.2">
      <c r="A22" s="22" t="s">
        <v>17</v>
      </c>
      <c r="B22" s="25" t="s">
        <v>18</v>
      </c>
      <c r="C22" s="26">
        <f>[5]С5!F12</f>
        <v>79.702203236299908</v>
      </c>
    </row>
    <row r="23" spans="1:3" ht="43.5" thickBot="1" x14ac:dyDescent="0.25">
      <c r="A23" s="27" t="s">
        <v>19</v>
      </c>
      <c r="B23" s="28" t="s">
        <v>20</v>
      </c>
      <c r="C23" s="29" t="str">
        <f>[5]С6!F12</f>
        <v>-</v>
      </c>
    </row>
    <row r="24" spans="1:3" ht="13.5" thickBot="1" x14ac:dyDescent="0.25">
      <c r="A24" s="3"/>
    </row>
    <row r="25" spans="1:3" x14ac:dyDescent="0.2">
      <c r="A25" s="16" t="s">
        <v>5</v>
      </c>
      <c r="B25" s="30" t="s">
        <v>6</v>
      </c>
      <c r="C25" s="31" t="s">
        <v>7</v>
      </c>
    </row>
    <row r="26" spans="1:3" x14ac:dyDescent="0.2">
      <c r="A26" s="19">
        <v>1</v>
      </c>
      <c r="B26" s="32">
        <v>2</v>
      </c>
      <c r="C26" s="33">
        <v>3</v>
      </c>
    </row>
    <row r="27" spans="1:3" ht="30" customHeight="1" x14ac:dyDescent="0.2">
      <c r="A27" s="22">
        <v>1</v>
      </c>
      <c r="B27" s="146" t="s">
        <v>21</v>
      </c>
      <c r="C27" s="146"/>
    </row>
    <row r="28" spans="1:3" x14ac:dyDescent="0.2">
      <c r="A28" s="22" t="s">
        <v>9</v>
      </c>
      <c r="B28" s="34" t="s">
        <v>22</v>
      </c>
      <c r="C28" s="35">
        <f>[5]С1.1!E16</f>
        <v>5100</v>
      </c>
    </row>
    <row r="29" spans="1:3" ht="42.75" x14ac:dyDescent="0.2">
      <c r="A29" s="22" t="s">
        <v>11</v>
      </c>
      <c r="B29" s="34" t="s">
        <v>23</v>
      </c>
      <c r="C29" s="35">
        <f>[5]С1.1!E27</f>
        <v>2503.8000000000002</v>
      </c>
    </row>
    <row r="30" spans="1:3" ht="17.25" x14ac:dyDescent="0.2">
      <c r="A30" s="22" t="s">
        <v>13</v>
      </c>
      <c r="B30" s="34" t="s">
        <v>24</v>
      </c>
      <c r="C30" s="36">
        <f>[5]С1.1!E19</f>
        <v>0.59499999999999997</v>
      </c>
    </row>
    <row r="31" spans="1:3" ht="17.25" x14ac:dyDescent="0.2">
      <c r="A31" s="22" t="s">
        <v>15</v>
      </c>
      <c r="B31" s="34" t="s">
        <v>25</v>
      </c>
      <c r="C31" s="36">
        <f>[5]С1.1!E20</f>
        <v>-0.113</v>
      </c>
    </row>
    <row r="32" spans="1:3" ht="30" x14ac:dyDescent="0.2">
      <c r="A32" s="22" t="s">
        <v>17</v>
      </c>
      <c r="B32" s="37" t="s">
        <v>26</v>
      </c>
      <c r="C32" s="38">
        <f>[5]С1!F13</f>
        <v>176.4</v>
      </c>
    </row>
    <row r="33" spans="1:3" x14ac:dyDescent="0.2">
      <c r="A33" s="22" t="s">
        <v>19</v>
      </c>
      <c r="B33" s="37" t="s">
        <v>27</v>
      </c>
      <c r="C33" s="39">
        <f>[5]С1!F16</f>
        <v>7000</v>
      </c>
    </row>
    <row r="34" spans="1:3" ht="14.25" x14ac:dyDescent="0.2">
      <c r="A34" s="22" t="s">
        <v>28</v>
      </c>
      <c r="B34" s="40" t="s">
        <v>29</v>
      </c>
      <c r="C34" s="41">
        <f>[5]С1!F17</f>
        <v>0.72857142857142854</v>
      </c>
    </row>
    <row r="35" spans="1:3" ht="15.75" x14ac:dyDescent="0.2">
      <c r="A35" s="42" t="s">
        <v>30</v>
      </c>
      <c r="B35" s="43" t="s">
        <v>31</v>
      </c>
      <c r="C35" s="41">
        <f>[5]С1!F20</f>
        <v>21.588411179999994</v>
      </c>
    </row>
    <row r="36" spans="1:3" ht="15.75" x14ac:dyDescent="0.2">
      <c r="A36" s="42" t="s">
        <v>32</v>
      </c>
      <c r="B36" s="44" t="s">
        <v>33</v>
      </c>
      <c r="C36" s="41">
        <f>[5]С1!F21</f>
        <v>20.818139999999996</v>
      </c>
    </row>
    <row r="37" spans="1:3" ht="14.25" x14ac:dyDescent="0.2">
      <c r="A37" s="42" t="s">
        <v>34</v>
      </c>
      <c r="B37" s="45" t="s">
        <v>35</v>
      </c>
      <c r="C37" s="41">
        <f>[5]С1!F22</f>
        <v>1.0369999999999999</v>
      </c>
    </row>
    <row r="38" spans="1:3" ht="53.25" thickBot="1" x14ac:dyDescent="0.25">
      <c r="A38" s="27" t="s">
        <v>36</v>
      </c>
      <c r="B38" s="46" t="s">
        <v>37</v>
      </c>
      <c r="C38" s="47">
        <f>[5]С1!F23</f>
        <v>1.0469999999999999</v>
      </c>
    </row>
    <row r="39" spans="1:3" ht="13.5" thickBot="1" x14ac:dyDescent="0.25">
      <c r="A39" s="48"/>
      <c r="B39" s="49"/>
      <c r="C39" s="50"/>
    </row>
    <row r="40" spans="1:3" ht="30" customHeight="1" x14ac:dyDescent="0.2">
      <c r="A40" s="51" t="s">
        <v>38</v>
      </c>
      <c r="B40" s="142" t="s">
        <v>39</v>
      </c>
      <c r="C40" s="142"/>
    </row>
    <row r="41" spans="1:3" ht="25.5" x14ac:dyDescent="0.2">
      <c r="A41" s="22" t="s">
        <v>40</v>
      </c>
      <c r="B41" s="37" t="s">
        <v>41</v>
      </c>
      <c r="C41" s="52" t="str">
        <f>[5]С2.1!E12</f>
        <v>V</v>
      </c>
    </row>
    <row r="42" spans="1:3" ht="25.5" x14ac:dyDescent="0.2">
      <c r="A42" s="22" t="s">
        <v>42</v>
      </c>
      <c r="B42" s="34" t="s">
        <v>43</v>
      </c>
      <c r="C42" s="52" t="str">
        <f>[5]С2.1!E13</f>
        <v>6 и менее баллов</v>
      </c>
    </row>
    <row r="43" spans="1:3" ht="25.5" x14ac:dyDescent="0.2">
      <c r="A43" s="22" t="s">
        <v>44</v>
      </c>
      <c r="B43" s="34" t="s">
        <v>45</v>
      </c>
      <c r="C43" s="52" t="str">
        <f>[5]С2.1!E14</f>
        <v>от 200 до 500</v>
      </c>
    </row>
    <row r="44" spans="1:3" ht="25.5" x14ac:dyDescent="0.2">
      <c r="A44" s="22" t="s">
        <v>46</v>
      </c>
      <c r="B44" s="34" t="s">
        <v>47</v>
      </c>
      <c r="C44" s="53" t="str">
        <f>[5]С2.1!E15</f>
        <v>нет</v>
      </c>
    </row>
    <row r="45" spans="1:3" ht="30" x14ac:dyDescent="0.2">
      <c r="A45" s="22" t="s">
        <v>48</v>
      </c>
      <c r="B45" s="34" t="s">
        <v>49</v>
      </c>
      <c r="C45" s="35">
        <f>[5]С2!F18</f>
        <v>32402.627334033532</v>
      </c>
    </row>
    <row r="46" spans="1:3" ht="30" x14ac:dyDescent="0.2">
      <c r="A46" s="22" t="s">
        <v>50</v>
      </c>
      <c r="B46" s="54" t="s">
        <v>51</v>
      </c>
      <c r="C46" s="35">
        <f>IF([5]С2!F19&gt;0,[5]С2!F19,[5]С2!F20)</f>
        <v>23441.524932855718</v>
      </c>
    </row>
    <row r="47" spans="1:3" ht="25.5" x14ac:dyDescent="0.2">
      <c r="A47" s="22" t="s">
        <v>52</v>
      </c>
      <c r="B47" s="55" t="s">
        <v>53</v>
      </c>
      <c r="C47" s="35">
        <f>[5]С2.1!E19</f>
        <v>-37</v>
      </c>
    </row>
    <row r="48" spans="1:3" ht="25.5" x14ac:dyDescent="0.2">
      <c r="A48" s="22" t="s">
        <v>54</v>
      </c>
      <c r="B48" s="55" t="s">
        <v>55</v>
      </c>
      <c r="C48" s="35" t="str">
        <f>[5]С2.1!E22</f>
        <v>нет</v>
      </c>
    </row>
    <row r="49" spans="1:3" ht="38.25" x14ac:dyDescent="0.2">
      <c r="A49" s="22" t="s">
        <v>56</v>
      </c>
      <c r="B49" s="56" t="s">
        <v>57</v>
      </c>
      <c r="C49" s="35">
        <f>[5]С2.2!E10</f>
        <v>1287</v>
      </c>
    </row>
    <row r="50" spans="1:3" ht="25.5" x14ac:dyDescent="0.2">
      <c r="A50" s="22" t="s">
        <v>58</v>
      </c>
      <c r="B50" s="57" t="s">
        <v>59</v>
      </c>
      <c r="C50" s="35">
        <f>[5]С2.2!E12</f>
        <v>5.97</v>
      </c>
    </row>
    <row r="51" spans="1:3" ht="52.5" x14ac:dyDescent="0.2">
      <c r="A51" s="22" t="s">
        <v>60</v>
      </c>
      <c r="B51" s="58" t="s">
        <v>61</v>
      </c>
      <c r="C51" s="35">
        <f>[5]С2.2!E13</f>
        <v>1</v>
      </c>
    </row>
    <row r="52" spans="1:3" ht="27.75" x14ac:dyDescent="0.2">
      <c r="A52" s="22" t="s">
        <v>62</v>
      </c>
      <c r="B52" s="57" t="s">
        <v>63</v>
      </c>
      <c r="C52" s="35">
        <f>[5]С2.2!E14</f>
        <v>12104</v>
      </c>
    </row>
    <row r="53" spans="1:3" ht="25.5" x14ac:dyDescent="0.2">
      <c r="A53" s="22" t="s">
        <v>64</v>
      </c>
      <c r="B53" s="58" t="s">
        <v>65</v>
      </c>
      <c r="C53" s="36">
        <f>[5]С2.2!E15</f>
        <v>4.8000000000000001E-2</v>
      </c>
    </row>
    <row r="54" spans="1:3" x14ac:dyDescent="0.2">
      <c r="A54" s="22" t="s">
        <v>66</v>
      </c>
      <c r="B54" s="58" t="s">
        <v>67</v>
      </c>
      <c r="C54" s="35">
        <f>[5]С2.2!E16</f>
        <v>1</v>
      </c>
    </row>
    <row r="55" spans="1:3" ht="15.75" x14ac:dyDescent="0.2">
      <c r="A55" s="22" t="s">
        <v>68</v>
      </c>
      <c r="B55" s="59" t="s">
        <v>69</v>
      </c>
      <c r="C55" s="35">
        <f>[5]С2!F21</f>
        <v>1</v>
      </c>
    </row>
    <row r="56" spans="1:3" ht="30" x14ac:dyDescent="0.2">
      <c r="A56" s="60" t="s">
        <v>70</v>
      </c>
      <c r="B56" s="34" t="s">
        <v>71</v>
      </c>
      <c r="C56" s="35">
        <f>[5]С2!F13</f>
        <v>169640.22915965237</v>
      </c>
    </row>
    <row r="57" spans="1:3" ht="30" x14ac:dyDescent="0.2">
      <c r="A57" s="60" t="s">
        <v>72</v>
      </c>
      <c r="B57" s="59" t="s">
        <v>73</v>
      </c>
      <c r="C57" s="35">
        <f>[5]С2!F14</f>
        <v>113455</v>
      </c>
    </row>
    <row r="58" spans="1:3" ht="15.75" x14ac:dyDescent="0.2">
      <c r="A58" s="60" t="s">
        <v>74</v>
      </c>
      <c r="B58" s="61" t="s">
        <v>75</v>
      </c>
      <c r="C58" s="41">
        <f>[5]С2!F15</f>
        <v>1.071</v>
      </c>
    </row>
    <row r="59" spans="1:3" ht="15.75" x14ac:dyDescent="0.2">
      <c r="A59" s="60" t="s">
        <v>76</v>
      </c>
      <c r="B59" s="61" t="s">
        <v>77</v>
      </c>
      <c r="C59" s="41">
        <f>[5]С2!F16</f>
        <v>1</v>
      </c>
    </row>
    <row r="60" spans="1:3" ht="17.25" x14ac:dyDescent="0.2">
      <c r="A60" s="60" t="s">
        <v>78</v>
      </c>
      <c r="B60" s="59" t="s">
        <v>79</v>
      </c>
      <c r="C60" s="35">
        <f>[5]С2!F17</f>
        <v>1.01</v>
      </c>
    </row>
    <row r="61" spans="1:3" s="64" customFormat="1" ht="14.25" x14ac:dyDescent="0.2">
      <c r="A61" s="60" t="s">
        <v>80</v>
      </c>
      <c r="B61" s="62" t="s">
        <v>81</v>
      </c>
      <c r="C61" s="63">
        <f>[5]С2!F33</f>
        <v>10</v>
      </c>
    </row>
    <row r="62" spans="1:3" ht="30" x14ac:dyDescent="0.2">
      <c r="A62" s="60" t="s">
        <v>82</v>
      </c>
      <c r="B62" s="65" t="s">
        <v>83</v>
      </c>
      <c r="C62" s="35">
        <f>[5]С2!F26</f>
        <v>1598.6279958476514</v>
      </c>
    </row>
    <row r="63" spans="1:3" ht="17.25" x14ac:dyDescent="0.2">
      <c r="A63" s="60" t="s">
        <v>84</v>
      </c>
      <c r="B63" s="54" t="s">
        <v>85</v>
      </c>
      <c r="C63" s="35">
        <f>[5]С2!F27</f>
        <v>0.27536184199999997</v>
      </c>
    </row>
    <row r="64" spans="1:3" ht="17.25" x14ac:dyDescent="0.2">
      <c r="A64" s="60" t="s">
        <v>86</v>
      </c>
      <c r="B64" s="59" t="s">
        <v>87</v>
      </c>
      <c r="C64" s="63">
        <f>[5]С2!F28</f>
        <v>4200</v>
      </c>
    </row>
    <row r="65" spans="1:3" ht="42.75" x14ac:dyDescent="0.2">
      <c r="A65" s="60" t="s">
        <v>88</v>
      </c>
      <c r="B65" s="34" t="s">
        <v>89</v>
      </c>
      <c r="C65" s="35">
        <f>[5]С2!F22</f>
        <v>35717.748653137714</v>
      </c>
    </row>
    <row r="66" spans="1:3" ht="30" x14ac:dyDescent="0.2">
      <c r="A66" s="60" t="s">
        <v>90</v>
      </c>
      <c r="B66" s="61" t="s">
        <v>91</v>
      </c>
      <c r="C66" s="35">
        <f>[5]С2!F23</f>
        <v>1990</v>
      </c>
    </row>
    <row r="67" spans="1:3" ht="30" x14ac:dyDescent="0.2">
      <c r="A67" s="60" t="s">
        <v>92</v>
      </c>
      <c r="B67" s="54" t="s">
        <v>93</v>
      </c>
      <c r="C67" s="35">
        <f>[5]С2.1!E27</f>
        <v>14307.876789999998</v>
      </c>
    </row>
    <row r="68" spans="1:3" ht="38.25" x14ac:dyDescent="0.2">
      <c r="A68" s="60" t="s">
        <v>94</v>
      </c>
      <c r="B68" s="66" t="s">
        <v>95</v>
      </c>
      <c r="C68" s="53">
        <f>[5]С2.3!E21</f>
        <v>0</v>
      </c>
    </row>
    <row r="69" spans="1:3" ht="25.5" x14ac:dyDescent="0.2">
      <c r="A69" s="60" t="s">
        <v>96</v>
      </c>
      <c r="B69" s="67" t="s">
        <v>97</v>
      </c>
      <c r="C69" s="68">
        <f>[5]С2.3!E11</f>
        <v>9.89</v>
      </c>
    </row>
    <row r="70" spans="1:3" ht="25.5" x14ac:dyDescent="0.2">
      <c r="A70" s="60" t="s">
        <v>98</v>
      </c>
      <c r="B70" s="67" t="s">
        <v>99</v>
      </c>
      <c r="C70" s="63">
        <f>[5]С2.3!E13</f>
        <v>300</v>
      </c>
    </row>
    <row r="71" spans="1:3" ht="25.5" x14ac:dyDescent="0.2">
      <c r="A71" s="60" t="s">
        <v>100</v>
      </c>
      <c r="B71" s="66" t="s">
        <v>101</v>
      </c>
      <c r="C71" s="69">
        <f>IF([5]С2.3!E22&gt;0,[5]С2.3!E22,[5]С2.3!E14)</f>
        <v>61211</v>
      </c>
    </row>
    <row r="72" spans="1:3" ht="38.25" x14ac:dyDescent="0.2">
      <c r="A72" s="60" t="s">
        <v>102</v>
      </c>
      <c r="B72" s="66" t="s">
        <v>103</v>
      </c>
      <c r="C72" s="69">
        <f>IF([5]С2.3!E23&gt;0,[5]С2.3!E23,[5]С2.3!E15)</f>
        <v>45675</v>
      </c>
    </row>
    <row r="73" spans="1:3" ht="30" x14ac:dyDescent="0.2">
      <c r="A73" s="60" t="s">
        <v>104</v>
      </c>
      <c r="B73" s="54" t="s">
        <v>105</v>
      </c>
      <c r="C73" s="35">
        <f>[5]С2.1!E28</f>
        <v>9541.9567200000001</v>
      </c>
    </row>
    <row r="74" spans="1:3" ht="38.25" x14ac:dyDescent="0.2">
      <c r="A74" s="60" t="s">
        <v>106</v>
      </c>
      <c r="B74" s="66" t="s">
        <v>107</v>
      </c>
      <c r="C74" s="53">
        <f>[5]С2.3!E25</f>
        <v>0</v>
      </c>
    </row>
    <row r="75" spans="1:3" ht="25.5" x14ac:dyDescent="0.2">
      <c r="A75" s="60" t="s">
        <v>108</v>
      </c>
      <c r="B75" s="67" t="s">
        <v>109</v>
      </c>
      <c r="C75" s="68">
        <f>[5]С2.3!E12</f>
        <v>0.56000000000000005</v>
      </c>
    </row>
    <row r="76" spans="1:3" ht="25.5" x14ac:dyDescent="0.2">
      <c r="A76" s="60" t="s">
        <v>110</v>
      </c>
      <c r="B76" s="67" t="s">
        <v>99</v>
      </c>
      <c r="C76" s="63">
        <f>[5]С2.3!E13</f>
        <v>300</v>
      </c>
    </row>
    <row r="77" spans="1:3" ht="25.5" x14ac:dyDescent="0.2">
      <c r="A77" s="60" t="s">
        <v>111</v>
      </c>
      <c r="B77" s="70" t="s">
        <v>112</v>
      </c>
      <c r="C77" s="69">
        <f>IF([5]С2.3!E26&gt;0,[5]С2.3!E26,[5]С2.3!E16)</f>
        <v>65637</v>
      </c>
    </row>
    <row r="78" spans="1:3" ht="38.25" x14ac:dyDescent="0.2">
      <c r="A78" s="60" t="s">
        <v>113</v>
      </c>
      <c r="B78" s="70" t="s">
        <v>114</v>
      </c>
      <c r="C78" s="69">
        <f>IF([5]С2.3!E27&gt;0,[5]С2.3!E27,[5]С2.3!E17)</f>
        <v>31684</v>
      </c>
    </row>
    <row r="79" spans="1:3" ht="17.25" x14ac:dyDescent="0.2">
      <c r="A79" s="60" t="s">
        <v>115</v>
      </c>
      <c r="B79" s="34" t="s">
        <v>116</v>
      </c>
      <c r="C79" s="36">
        <f>[5]С2!F29</f>
        <v>0.128978033685065</v>
      </c>
    </row>
    <row r="80" spans="1:3" ht="30" x14ac:dyDescent="0.2">
      <c r="A80" s="60" t="s">
        <v>117</v>
      </c>
      <c r="B80" s="54" t="s">
        <v>118</v>
      </c>
      <c r="C80" s="71">
        <f>[5]С2!F30</f>
        <v>0.11668498168498169</v>
      </c>
    </row>
    <row r="81" spans="1:3" ht="17.25" x14ac:dyDescent="0.2">
      <c r="A81" s="60" t="s">
        <v>119</v>
      </c>
      <c r="B81" s="72" t="s">
        <v>120</v>
      </c>
      <c r="C81" s="36">
        <f>[5]С2!F31</f>
        <v>0.13880000000000001</v>
      </c>
    </row>
    <row r="82" spans="1:3" s="64" customFormat="1" ht="18" thickBot="1" x14ac:dyDescent="0.25">
      <c r="A82" s="73" t="s">
        <v>121</v>
      </c>
      <c r="B82" s="74" t="s">
        <v>122</v>
      </c>
      <c r="C82" s="75">
        <f>[5]С2!F32</f>
        <v>0.12640000000000001</v>
      </c>
    </row>
    <row r="83" spans="1:3" ht="13.5" thickBot="1" x14ac:dyDescent="0.25">
      <c r="A83" s="48"/>
      <c r="B83" s="76"/>
      <c r="C83" s="15"/>
    </row>
    <row r="84" spans="1:3" s="64" customFormat="1" ht="30" customHeight="1" x14ac:dyDescent="0.2">
      <c r="A84" s="77" t="s">
        <v>123</v>
      </c>
      <c r="B84" s="142" t="s">
        <v>124</v>
      </c>
      <c r="C84" s="142"/>
    </row>
    <row r="85" spans="1:3" s="64" customFormat="1" ht="30" x14ac:dyDescent="0.2">
      <c r="A85" s="78" t="s">
        <v>125</v>
      </c>
      <c r="B85" s="34" t="s">
        <v>126</v>
      </c>
      <c r="C85" s="35">
        <f>[5]С3!F14</f>
        <v>7020.1696866647444</v>
      </c>
    </row>
    <row r="86" spans="1:3" s="64" customFormat="1" ht="42.75" x14ac:dyDescent="0.2">
      <c r="A86" s="78" t="s">
        <v>127</v>
      </c>
      <c r="B86" s="54" t="s">
        <v>128</v>
      </c>
      <c r="C86" s="79">
        <f>[5]С3!F15</f>
        <v>0.2</v>
      </c>
    </row>
    <row r="87" spans="1:3" s="64" customFormat="1" ht="14.25" x14ac:dyDescent="0.2">
      <c r="A87" s="78" t="s">
        <v>129</v>
      </c>
      <c r="B87" s="80" t="s">
        <v>130</v>
      </c>
      <c r="C87" s="63">
        <f>[5]С3!F18</f>
        <v>15</v>
      </c>
    </row>
    <row r="88" spans="1:3" s="64" customFormat="1" ht="17.25" x14ac:dyDescent="0.2">
      <c r="A88" s="78" t="s">
        <v>131</v>
      </c>
      <c r="B88" s="34" t="s">
        <v>132</v>
      </c>
      <c r="C88" s="35">
        <f>[5]С3!F19</f>
        <v>3487.1555421534131</v>
      </c>
    </row>
    <row r="89" spans="1:3" s="64" customFormat="1" ht="55.5" x14ac:dyDescent="0.2">
      <c r="A89" s="78" t="s">
        <v>133</v>
      </c>
      <c r="B89" s="54" t="s">
        <v>134</v>
      </c>
      <c r="C89" s="81">
        <f>[5]С3!F20</f>
        <v>2.1999999999999999E-2</v>
      </c>
    </row>
    <row r="90" spans="1:3" s="64" customFormat="1" ht="14.25" x14ac:dyDescent="0.2">
      <c r="A90" s="78" t="s">
        <v>135</v>
      </c>
      <c r="B90" s="59" t="s">
        <v>81</v>
      </c>
      <c r="C90" s="63">
        <f>[5]С3!F21</f>
        <v>10</v>
      </c>
    </row>
    <row r="91" spans="1:3" s="64" customFormat="1" ht="17.25" x14ac:dyDescent="0.2">
      <c r="A91" s="78" t="s">
        <v>136</v>
      </c>
      <c r="B91" s="34" t="s">
        <v>137</v>
      </c>
      <c r="C91" s="35">
        <f>[5]С3!F22</f>
        <v>4.795883987542954</v>
      </c>
    </row>
    <row r="92" spans="1:3" s="64" customFormat="1" ht="55.5" x14ac:dyDescent="0.2">
      <c r="A92" s="78" t="s">
        <v>138</v>
      </c>
      <c r="B92" s="54" t="s">
        <v>139</v>
      </c>
      <c r="C92" s="81">
        <f>[5]С3!F23</f>
        <v>3.0000000000000001E-3</v>
      </c>
    </row>
    <row r="93" spans="1:3" s="64" customFormat="1" ht="27.75" thickBot="1" x14ac:dyDescent="0.25">
      <c r="A93" s="82" t="s">
        <v>140</v>
      </c>
      <c r="B93" s="83" t="s">
        <v>141</v>
      </c>
      <c r="C93" s="84">
        <f>[5]С3!F24</f>
        <v>1598.6279958476514</v>
      </c>
    </row>
    <row r="94" spans="1:3" ht="13.5" thickBot="1" x14ac:dyDescent="0.25">
      <c r="A94" s="48"/>
      <c r="B94" s="76"/>
      <c r="C94" s="15"/>
    </row>
    <row r="95" spans="1:3" ht="30" customHeight="1" x14ac:dyDescent="0.2">
      <c r="A95" s="85" t="s">
        <v>142</v>
      </c>
      <c r="B95" s="142" t="s">
        <v>143</v>
      </c>
      <c r="C95" s="142"/>
    </row>
    <row r="96" spans="1:3" ht="30" x14ac:dyDescent="0.2">
      <c r="A96" s="60" t="s">
        <v>144</v>
      </c>
      <c r="B96" s="34" t="s">
        <v>145</v>
      </c>
      <c r="C96" s="35">
        <f>[5]С4!F16</f>
        <v>1652.5</v>
      </c>
    </row>
    <row r="97" spans="1:3" ht="30" x14ac:dyDescent="0.2">
      <c r="A97" s="60" t="s">
        <v>146</v>
      </c>
      <c r="B97" s="59" t="s">
        <v>147</v>
      </c>
      <c r="C97" s="35">
        <f>[5]С4!F17</f>
        <v>73547</v>
      </c>
    </row>
    <row r="98" spans="1:3" ht="33" x14ac:dyDescent="0.2">
      <c r="A98" s="60" t="s">
        <v>148</v>
      </c>
      <c r="B98" s="59" t="s">
        <v>149</v>
      </c>
      <c r="C98" s="41">
        <f>[5]С4!F18</f>
        <v>0.02</v>
      </c>
    </row>
    <row r="99" spans="1:3" ht="30" x14ac:dyDescent="0.2">
      <c r="A99" s="60" t="s">
        <v>150</v>
      </c>
      <c r="B99" s="59" t="s">
        <v>151</v>
      </c>
      <c r="C99" s="35">
        <f>[5]С4!F19</f>
        <v>12104</v>
      </c>
    </row>
    <row r="100" spans="1:3" ht="28.5" x14ac:dyDescent="0.2">
      <c r="A100" s="60" t="s">
        <v>152</v>
      </c>
      <c r="B100" s="59" t="s">
        <v>153</v>
      </c>
      <c r="C100" s="41">
        <f>[5]С4!F20</f>
        <v>1.4999999999999999E-2</v>
      </c>
    </row>
    <row r="101" spans="1:3" ht="30" x14ac:dyDescent="0.2">
      <c r="A101" s="60" t="s">
        <v>154</v>
      </c>
      <c r="B101" s="34" t="s">
        <v>155</v>
      </c>
      <c r="C101" s="35">
        <f>[5]С4!F21</f>
        <v>1933.1949342509995</v>
      </c>
    </row>
    <row r="102" spans="1:3" ht="24" customHeight="1" x14ac:dyDescent="0.2">
      <c r="A102" s="60" t="s">
        <v>156</v>
      </c>
      <c r="B102" s="54" t="s">
        <v>157</v>
      </c>
      <c r="C102" s="86">
        <f>IF([5]С4.2!F8="да",[5]С4.2!D21,[5]С4.2!D15)</f>
        <v>0</v>
      </c>
    </row>
    <row r="103" spans="1:3" ht="68.25" x14ac:dyDescent="0.2">
      <c r="A103" s="60" t="s">
        <v>158</v>
      </c>
      <c r="B103" s="54" t="s">
        <v>159</v>
      </c>
      <c r="C103" s="35">
        <f>[5]С4!F22</f>
        <v>3.6112641666666665</v>
      </c>
    </row>
    <row r="104" spans="1:3" ht="30" x14ac:dyDescent="0.2">
      <c r="A104" s="60" t="s">
        <v>160</v>
      </c>
      <c r="B104" s="59" t="s">
        <v>161</v>
      </c>
      <c r="C104" s="35">
        <f>[5]С4!F23</f>
        <v>180</v>
      </c>
    </row>
    <row r="105" spans="1:3" ht="14.25" x14ac:dyDescent="0.2">
      <c r="A105" s="60" t="s">
        <v>162</v>
      </c>
      <c r="B105" s="54" t="s">
        <v>163</v>
      </c>
      <c r="C105" s="35">
        <f>[5]С4!F24</f>
        <v>8497.1999999999989</v>
      </c>
    </row>
    <row r="106" spans="1:3" ht="14.25" x14ac:dyDescent="0.2">
      <c r="A106" s="60" t="s">
        <v>164</v>
      </c>
      <c r="B106" s="59" t="s">
        <v>165</v>
      </c>
      <c r="C106" s="41">
        <f>[5]С4!F25</f>
        <v>0.35</v>
      </c>
    </row>
    <row r="107" spans="1:3" ht="17.25" x14ac:dyDescent="0.2">
      <c r="A107" s="60" t="s">
        <v>166</v>
      </c>
      <c r="B107" s="34" t="s">
        <v>167</v>
      </c>
      <c r="C107" s="35">
        <f>[5]С4!F26</f>
        <v>76.910225000000011</v>
      </c>
    </row>
    <row r="108" spans="1:3" ht="25.5" x14ac:dyDescent="0.2">
      <c r="A108" s="60" t="s">
        <v>168</v>
      </c>
      <c r="B108" s="54" t="s">
        <v>95</v>
      </c>
      <c r="C108" s="86">
        <f>[5]С4.3!E16</f>
        <v>0</v>
      </c>
    </row>
    <row r="109" spans="1:3" ht="25.5" x14ac:dyDescent="0.2">
      <c r="A109" s="60" t="s">
        <v>169</v>
      </c>
      <c r="B109" s="54" t="s">
        <v>170</v>
      </c>
      <c r="C109" s="35">
        <f>[5]С4.3!E17</f>
        <v>19.541666666666668</v>
      </c>
    </row>
    <row r="110" spans="1:3" ht="38.25" x14ac:dyDescent="0.2">
      <c r="A110" s="60" t="s">
        <v>171</v>
      </c>
      <c r="B110" s="54" t="s">
        <v>107</v>
      </c>
      <c r="C110" s="86">
        <f>[5]С4.3!E18</f>
        <v>0</v>
      </c>
    </row>
    <row r="111" spans="1:3" x14ac:dyDescent="0.2">
      <c r="A111" s="60" t="s">
        <v>172</v>
      </c>
      <c r="B111" s="54" t="s">
        <v>173</v>
      </c>
      <c r="C111" s="35">
        <f>[5]С4.3!E19</f>
        <v>41.06666666666667</v>
      </c>
    </row>
    <row r="112" spans="1:3" x14ac:dyDescent="0.2">
      <c r="A112" s="60" t="s">
        <v>174</v>
      </c>
      <c r="B112" s="59" t="s">
        <v>175</v>
      </c>
      <c r="C112" s="35">
        <f>[5]С4.3!E11</f>
        <v>1871</v>
      </c>
    </row>
    <row r="113" spans="1:3" x14ac:dyDescent="0.2">
      <c r="A113" s="60" t="s">
        <v>176</v>
      </c>
      <c r="B113" s="59" t="s">
        <v>177</v>
      </c>
      <c r="C113" s="53">
        <f>[5]С4.3!E12</f>
        <v>1636</v>
      </c>
    </row>
    <row r="114" spans="1:3" x14ac:dyDescent="0.2">
      <c r="A114" s="60" t="s">
        <v>178</v>
      </c>
      <c r="B114" s="59" t="s">
        <v>179</v>
      </c>
      <c r="C114" s="53">
        <f>[5]С4.3!E13</f>
        <v>204</v>
      </c>
    </row>
    <row r="115" spans="1:3" ht="30" x14ac:dyDescent="0.2">
      <c r="A115" s="60" t="s">
        <v>180</v>
      </c>
      <c r="B115" s="34" t="s">
        <v>181</v>
      </c>
      <c r="C115" s="35">
        <f>[5]С4!F27</f>
        <v>1413.5806587229636</v>
      </c>
    </row>
    <row r="116" spans="1:3" ht="25.5" x14ac:dyDescent="0.2">
      <c r="A116" s="60" t="s">
        <v>182</v>
      </c>
      <c r="B116" s="54" t="s">
        <v>183</v>
      </c>
      <c r="C116" s="35">
        <f>[5]С4!F28</f>
        <v>1085.6994306627985</v>
      </c>
    </row>
    <row r="117" spans="1:3" ht="42.75" x14ac:dyDescent="0.2">
      <c r="A117" s="60" t="s">
        <v>184</v>
      </c>
      <c r="B117" s="54" t="s">
        <v>185</v>
      </c>
      <c r="C117" s="35">
        <f>[5]С4!F29</f>
        <v>327.8812280601652</v>
      </c>
    </row>
    <row r="118" spans="1:3" ht="30" x14ac:dyDescent="0.2">
      <c r="A118" s="60" t="s">
        <v>186</v>
      </c>
      <c r="B118" s="40" t="s">
        <v>187</v>
      </c>
      <c r="C118" s="35">
        <f>[5]С4!F30</f>
        <v>2116.8579001624312</v>
      </c>
    </row>
    <row r="119" spans="1:3" ht="42.75" x14ac:dyDescent="0.2">
      <c r="A119" s="60" t="s">
        <v>188</v>
      </c>
      <c r="B119" s="87" t="s">
        <v>189</v>
      </c>
      <c r="C119" s="35">
        <f>[5]С4!F33</f>
        <v>1374.0280021926758</v>
      </c>
    </row>
    <row r="120" spans="1:3" ht="30" x14ac:dyDescent="0.2">
      <c r="A120" s="60" t="s">
        <v>190</v>
      </c>
      <c r="B120" s="88" t="s">
        <v>191</v>
      </c>
      <c r="C120" s="35">
        <f>[5]С4!F35</f>
        <v>17.040680999999999</v>
      </c>
    </row>
    <row r="121" spans="1:3" ht="14.25" x14ac:dyDescent="0.2">
      <c r="A121" s="60" t="s">
        <v>192</v>
      </c>
      <c r="B121" s="57" t="s">
        <v>193</v>
      </c>
      <c r="C121" s="35">
        <f>[5]С4!F36</f>
        <v>14319.9</v>
      </c>
    </row>
    <row r="122" spans="1:3" ht="28.5" thickBot="1" x14ac:dyDescent="0.25">
      <c r="A122" s="73" t="s">
        <v>194</v>
      </c>
      <c r="B122" s="89" t="s">
        <v>195</v>
      </c>
      <c r="C122" s="84">
        <f>[5]С4!F37</f>
        <v>1.19</v>
      </c>
    </row>
    <row r="123" spans="1:3" s="90" customFormat="1" ht="13.5" thickBot="1" x14ac:dyDescent="0.25">
      <c r="A123" s="48"/>
      <c r="B123" s="76"/>
      <c r="C123" s="15"/>
    </row>
    <row r="124" spans="1:3" s="64" customFormat="1" ht="30" customHeight="1" x14ac:dyDescent="0.2">
      <c r="A124" s="77" t="s">
        <v>196</v>
      </c>
      <c r="B124" s="142" t="s">
        <v>197</v>
      </c>
      <c r="C124" s="142"/>
    </row>
    <row r="125" spans="1:3" ht="16.5" thickBot="1" x14ac:dyDescent="0.25">
      <c r="A125" s="27" t="s">
        <v>198</v>
      </c>
      <c r="B125" s="91" t="s">
        <v>199</v>
      </c>
      <c r="C125" s="84">
        <f>[5]С5!F17</f>
        <v>0.02</v>
      </c>
    </row>
    <row r="126" spans="1:3" s="90" customFormat="1" ht="13.5" thickBot="1" x14ac:dyDescent="0.25">
      <c r="A126" s="48"/>
      <c r="B126" s="76"/>
      <c r="C126" s="15"/>
    </row>
    <row r="127" spans="1:3" ht="42.75" customHeight="1" x14ac:dyDescent="0.2">
      <c r="A127" s="85" t="s">
        <v>200</v>
      </c>
      <c r="B127" s="143" t="s">
        <v>201</v>
      </c>
      <c r="C127" s="143"/>
    </row>
    <row r="128" spans="1:3" ht="68.25" x14ac:dyDescent="0.2">
      <c r="A128" s="60" t="s">
        <v>202</v>
      </c>
      <c r="B128" s="92" t="s">
        <v>203</v>
      </c>
      <c r="C128" s="35" t="s">
        <v>204</v>
      </c>
    </row>
    <row r="129" spans="1:4" ht="42.75" hidden="1" x14ac:dyDescent="0.2">
      <c r="A129" s="60" t="s">
        <v>205</v>
      </c>
      <c r="B129" s="87" t="s">
        <v>206</v>
      </c>
      <c r="C129" s="93"/>
    </row>
    <row r="130" spans="1:4" ht="69" thickBot="1" x14ac:dyDescent="0.25">
      <c r="A130" s="73" t="s">
        <v>207</v>
      </c>
      <c r="B130" s="94" t="s">
        <v>208</v>
      </c>
      <c r="C130" s="95" t="s">
        <v>204</v>
      </c>
    </row>
    <row r="131" spans="1:4" ht="62.25" hidden="1" customHeight="1" x14ac:dyDescent="0.2">
      <c r="A131" s="96" t="s">
        <v>209</v>
      </c>
      <c r="B131" s="97" t="s">
        <v>210</v>
      </c>
      <c r="C131" s="98"/>
    </row>
    <row r="132" spans="1:4" ht="68.25" hidden="1" x14ac:dyDescent="0.2">
      <c r="A132" s="60" t="s">
        <v>211</v>
      </c>
      <c r="B132" s="87" t="s">
        <v>212</v>
      </c>
      <c r="C132" s="36"/>
    </row>
    <row r="133" spans="1:4" ht="69" hidden="1" thickBot="1" x14ac:dyDescent="0.25">
      <c r="A133" s="73" t="s">
        <v>213</v>
      </c>
      <c r="B133" s="99" t="s">
        <v>214</v>
      </c>
      <c r="C133" s="75"/>
    </row>
    <row r="134" spans="1:4" s="90" customFormat="1" ht="13.5" thickBot="1" x14ac:dyDescent="0.25">
      <c r="A134" s="48"/>
      <c r="B134" s="76"/>
      <c r="C134" s="15"/>
    </row>
    <row r="135" spans="1:4" ht="26.25" customHeight="1" x14ac:dyDescent="0.2">
      <c r="A135" s="85" t="s">
        <v>215</v>
      </c>
      <c r="B135" s="100" t="s">
        <v>216</v>
      </c>
      <c r="C135" s="101">
        <f>[5]С2!F37</f>
        <v>20.818139999999996</v>
      </c>
    </row>
    <row r="136" spans="1:4" ht="14.25" x14ac:dyDescent="0.2">
      <c r="A136" s="60" t="s">
        <v>217</v>
      </c>
      <c r="B136" s="102" t="s">
        <v>218</v>
      </c>
      <c r="C136" s="35">
        <f>[5]С2!F38</f>
        <v>7</v>
      </c>
    </row>
    <row r="137" spans="1:4" ht="17.25" x14ac:dyDescent="0.2">
      <c r="A137" s="60" t="s">
        <v>219</v>
      </c>
      <c r="B137" s="102" t="s">
        <v>220</v>
      </c>
      <c r="C137" s="35">
        <f>[5]С2!F40</f>
        <v>0.97</v>
      </c>
    </row>
    <row r="138" spans="1:4" ht="15" thickBot="1" x14ac:dyDescent="0.25">
      <c r="A138" s="73" t="s">
        <v>221</v>
      </c>
      <c r="B138" s="103" t="s">
        <v>222</v>
      </c>
      <c r="C138" s="47">
        <f>[5]С2!F42</f>
        <v>0.35</v>
      </c>
    </row>
    <row r="139" spans="1:4" s="90" customFormat="1" ht="13.5" thickBot="1" x14ac:dyDescent="0.25">
      <c r="A139" s="48"/>
      <c r="B139" s="76"/>
      <c r="C139" s="15"/>
    </row>
    <row r="140" spans="1:4" ht="30" x14ac:dyDescent="0.2">
      <c r="A140" s="85" t="s">
        <v>223</v>
      </c>
      <c r="B140" s="104" t="s">
        <v>224</v>
      </c>
      <c r="C140" s="105">
        <f>[5]С2!F35</f>
        <v>1.3822747209000001</v>
      </c>
      <c r="D140" s="90"/>
    </row>
    <row r="141" spans="1:4" ht="22.7" customHeight="1" thickBot="1" x14ac:dyDescent="0.25">
      <c r="A141" s="73" t="s">
        <v>225</v>
      </c>
      <c r="B141" s="141" t="s">
        <v>226</v>
      </c>
      <c r="C141" s="141"/>
      <c r="D141" s="90"/>
    </row>
    <row r="142" spans="1:4" ht="13.5" thickBot="1" x14ac:dyDescent="0.25">
      <c r="A142" s="106"/>
      <c r="B142" s="107" t="s">
        <v>0</v>
      </c>
      <c r="C142" s="108"/>
      <c r="D142" s="90"/>
    </row>
    <row r="143" spans="1:4" x14ac:dyDescent="0.2">
      <c r="A143" s="106"/>
      <c r="B143" s="109">
        <v>2020</v>
      </c>
      <c r="C143" s="110">
        <f>[5]С2.5!$E$11</f>
        <v>-2.9000000000000026E-2</v>
      </c>
      <c r="D143" s="90"/>
    </row>
    <row r="144" spans="1:4" x14ac:dyDescent="0.2">
      <c r="A144" s="106"/>
      <c r="B144" s="111">
        <f>B143+1</f>
        <v>2021</v>
      </c>
      <c r="C144" s="112">
        <f>[5]С2.5!$F$11</f>
        <v>0.245</v>
      </c>
      <c r="D144" s="90"/>
    </row>
    <row r="145" spans="1:4" x14ac:dyDescent="0.2">
      <c r="A145" s="106"/>
      <c r="B145" s="111">
        <f t="shared" ref="B145:B208" si="0">B144+1</f>
        <v>2022</v>
      </c>
      <c r="C145" s="112">
        <f>[5]С2.5!$G$11</f>
        <v>0.121</v>
      </c>
      <c r="D145" s="90"/>
    </row>
    <row r="146" spans="1:4" ht="13.5" thickBot="1" x14ac:dyDescent="0.25">
      <c r="A146" s="106"/>
      <c r="B146" s="113">
        <f t="shared" si="0"/>
        <v>2023</v>
      </c>
      <c r="C146" s="114">
        <f>[5]С2.5!$H$11</f>
        <v>0.02</v>
      </c>
      <c r="D146" s="90"/>
    </row>
    <row r="147" spans="1:4" hidden="1" x14ac:dyDescent="0.2">
      <c r="A147" s="106"/>
      <c r="B147" s="115">
        <f t="shared" si="0"/>
        <v>2024</v>
      </c>
      <c r="C147" s="116">
        <f>[5]С2.5!$I$11</f>
        <v>-2.93E-2</v>
      </c>
      <c r="D147" s="90"/>
    </row>
    <row r="148" spans="1:4" hidden="1" x14ac:dyDescent="0.2">
      <c r="A148" s="106"/>
      <c r="B148" s="111">
        <f t="shared" si="0"/>
        <v>2025</v>
      </c>
      <c r="C148" s="112">
        <f>[5]С2.5!$J$11</f>
        <v>0.21215960863291</v>
      </c>
      <c r="D148" s="90"/>
    </row>
    <row r="149" spans="1:4" hidden="1" x14ac:dyDescent="0.2">
      <c r="A149" s="106"/>
      <c r="B149" s="111">
        <f t="shared" si="0"/>
        <v>2026</v>
      </c>
      <c r="C149" s="112">
        <f>[5]С2.5!$K$11</f>
        <v>3.5813361771260002E-2</v>
      </c>
      <c r="D149" s="90"/>
    </row>
    <row r="150" spans="1:4" hidden="1" x14ac:dyDescent="0.2">
      <c r="A150" s="106"/>
      <c r="B150" s="111">
        <f t="shared" si="0"/>
        <v>2027</v>
      </c>
      <c r="C150" s="112">
        <f>[5]С2.5!$L$11</f>
        <v>3.2682303599220003E-2</v>
      </c>
      <c r="D150" s="90"/>
    </row>
    <row r="151" spans="1:4" hidden="1" x14ac:dyDescent="0.2">
      <c r="A151" s="106"/>
      <c r="B151" s="111">
        <f t="shared" si="0"/>
        <v>2028</v>
      </c>
      <c r="C151" s="112">
        <f>[5]С2.5!$M$11</f>
        <v>0</v>
      </c>
      <c r="D151" s="90"/>
    </row>
    <row r="152" spans="1:4" hidden="1" x14ac:dyDescent="0.2">
      <c r="A152" s="106"/>
      <c r="B152" s="111">
        <f t="shared" si="0"/>
        <v>2029</v>
      </c>
      <c r="C152" s="112">
        <f>[5]С2.5!$N$11</f>
        <v>0</v>
      </c>
      <c r="D152" s="90"/>
    </row>
    <row r="153" spans="1:4" hidden="1" x14ac:dyDescent="0.2">
      <c r="A153" s="106"/>
      <c r="B153" s="111">
        <f t="shared" si="0"/>
        <v>2030</v>
      </c>
      <c r="C153" s="112">
        <f>[5]С2.5!$O$11</f>
        <v>0</v>
      </c>
      <c r="D153" s="90"/>
    </row>
    <row r="154" spans="1:4" hidden="1" x14ac:dyDescent="0.2">
      <c r="A154" s="106"/>
      <c r="B154" s="111">
        <f t="shared" si="0"/>
        <v>2031</v>
      </c>
      <c r="C154" s="112">
        <f>[5]С2.5!$P$11</f>
        <v>0</v>
      </c>
      <c r="D154" s="90"/>
    </row>
    <row r="155" spans="1:4" hidden="1" x14ac:dyDescent="0.2">
      <c r="A155" s="90"/>
      <c r="B155" s="111">
        <f t="shared" si="0"/>
        <v>2032</v>
      </c>
      <c r="C155" s="112">
        <f>[5]С2.5!$Q$11</f>
        <v>0</v>
      </c>
      <c r="D155" s="90"/>
    </row>
    <row r="156" spans="1:4" hidden="1" x14ac:dyDescent="0.2">
      <c r="A156" s="90"/>
      <c r="B156" s="111">
        <f t="shared" si="0"/>
        <v>2033</v>
      </c>
      <c r="C156" s="112">
        <f>[5]С2.5!$R$11</f>
        <v>0</v>
      </c>
      <c r="D156" s="90"/>
    </row>
    <row r="157" spans="1:4" hidden="1" x14ac:dyDescent="0.2">
      <c r="B157" s="111">
        <f t="shared" si="0"/>
        <v>2034</v>
      </c>
      <c r="C157" s="112">
        <f>[5]С2.5!$S$11</f>
        <v>0</v>
      </c>
    </row>
    <row r="158" spans="1:4" hidden="1" x14ac:dyDescent="0.2">
      <c r="B158" s="111">
        <f t="shared" si="0"/>
        <v>2035</v>
      </c>
      <c r="C158" s="112">
        <f>[5]С2.5!$T$11</f>
        <v>0</v>
      </c>
    </row>
    <row r="159" spans="1:4" hidden="1" x14ac:dyDescent="0.2">
      <c r="B159" s="111">
        <f t="shared" si="0"/>
        <v>2036</v>
      </c>
      <c r="C159" s="112">
        <f>[5]С2.5!$U$11</f>
        <v>0</v>
      </c>
    </row>
    <row r="160" spans="1:4" hidden="1" x14ac:dyDescent="0.2">
      <c r="B160" s="111">
        <f t="shared" si="0"/>
        <v>2037</v>
      </c>
      <c r="C160" s="112">
        <f>[5]С2.5!$V$11</f>
        <v>0</v>
      </c>
    </row>
    <row r="161" spans="2:3" hidden="1" x14ac:dyDescent="0.2">
      <c r="B161" s="111">
        <f t="shared" si="0"/>
        <v>2038</v>
      </c>
      <c r="C161" s="112">
        <f>[5]С2.5!$W$11</f>
        <v>0</v>
      </c>
    </row>
    <row r="162" spans="2:3" hidden="1" x14ac:dyDescent="0.2">
      <c r="B162" s="111">
        <f t="shared" si="0"/>
        <v>2039</v>
      </c>
      <c r="C162" s="112">
        <f>[5]С2.5!$X$11</f>
        <v>0</v>
      </c>
    </row>
    <row r="163" spans="2:3" hidden="1" x14ac:dyDescent="0.2">
      <c r="B163" s="111">
        <f t="shared" si="0"/>
        <v>2040</v>
      </c>
      <c r="C163" s="112">
        <f>[5]С2.5!$Y$11</f>
        <v>0</v>
      </c>
    </row>
    <row r="164" spans="2:3" hidden="1" x14ac:dyDescent="0.2">
      <c r="B164" s="111">
        <f t="shared" si="0"/>
        <v>2041</v>
      </c>
      <c r="C164" s="112">
        <f>[5]С2.5!$Z$11</f>
        <v>0</v>
      </c>
    </row>
    <row r="165" spans="2:3" hidden="1" x14ac:dyDescent="0.2">
      <c r="B165" s="111">
        <f t="shared" si="0"/>
        <v>2042</v>
      </c>
      <c r="C165" s="112">
        <f>[5]С2.5!$AA$11</f>
        <v>0</v>
      </c>
    </row>
    <row r="166" spans="2:3" hidden="1" x14ac:dyDescent="0.2">
      <c r="B166" s="111">
        <f t="shared" si="0"/>
        <v>2043</v>
      </c>
      <c r="C166" s="112">
        <f>[5]С2.5!$AB$11</f>
        <v>0</v>
      </c>
    </row>
    <row r="167" spans="2:3" hidden="1" x14ac:dyDescent="0.2">
      <c r="B167" s="111">
        <f t="shared" si="0"/>
        <v>2044</v>
      </c>
      <c r="C167" s="112">
        <f>[5]С2.5!$AC$11</f>
        <v>0</v>
      </c>
    </row>
    <row r="168" spans="2:3" hidden="1" x14ac:dyDescent="0.2">
      <c r="B168" s="111">
        <f t="shared" si="0"/>
        <v>2045</v>
      </c>
      <c r="C168" s="112">
        <f>[5]С2.5!$AD$11</f>
        <v>0</v>
      </c>
    </row>
    <row r="169" spans="2:3" hidden="1" x14ac:dyDescent="0.2">
      <c r="B169" s="111">
        <f t="shared" si="0"/>
        <v>2046</v>
      </c>
      <c r="C169" s="112">
        <f>[5]С2.5!$AE$11</f>
        <v>0</v>
      </c>
    </row>
    <row r="170" spans="2:3" hidden="1" x14ac:dyDescent="0.2">
      <c r="B170" s="111">
        <f t="shared" si="0"/>
        <v>2047</v>
      </c>
      <c r="C170" s="112">
        <f>[5]С2.5!$AF$11</f>
        <v>0</v>
      </c>
    </row>
    <row r="171" spans="2:3" hidden="1" x14ac:dyDescent="0.2">
      <c r="B171" s="111">
        <f t="shared" si="0"/>
        <v>2048</v>
      </c>
      <c r="C171" s="112">
        <f>[5]С2.5!$AG$11</f>
        <v>0</v>
      </c>
    </row>
    <row r="172" spans="2:3" hidden="1" x14ac:dyDescent="0.2">
      <c r="B172" s="111">
        <f t="shared" si="0"/>
        <v>2049</v>
      </c>
      <c r="C172" s="112">
        <f>[5]С2.5!$AH$11</f>
        <v>0</v>
      </c>
    </row>
    <row r="173" spans="2:3" hidden="1" x14ac:dyDescent="0.2">
      <c r="B173" s="111">
        <f t="shared" si="0"/>
        <v>2050</v>
      </c>
      <c r="C173" s="112">
        <f>[5]С2.5!$AI$11</f>
        <v>0</v>
      </c>
    </row>
    <row r="174" spans="2:3" hidden="1" x14ac:dyDescent="0.2">
      <c r="B174" s="111">
        <f t="shared" si="0"/>
        <v>2051</v>
      </c>
      <c r="C174" s="112">
        <f>[5]С2.5!$AJ$11</f>
        <v>0</v>
      </c>
    </row>
    <row r="175" spans="2:3" hidden="1" x14ac:dyDescent="0.2">
      <c r="B175" s="111">
        <f t="shared" si="0"/>
        <v>2052</v>
      </c>
      <c r="C175" s="112">
        <f>[5]С2.5!$AK$11</f>
        <v>0</v>
      </c>
    </row>
    <row r="176" spans="2:3" hidden="1" x14ac:dyDescent="0.2">
      <c r="B176" s="111">
        <f t="shared" si="0"/>
        <v>2053</v>
      </c>
      <c r="C176" s="112">
        <f>[5]С2.5!$AL$11</f>
        <v>0</v>
      </c>
    </row>
    <row r="177" spans="2:3" hidden="1" x14ac:dyDescent="0.2">
      <c r="B177" s="111">
        <f t="shared" si="0"/>
        <v>2054</v>
      </c>
      <c r="C177" s="112">
        <f>[5]С2.5!$AM$11</f>
        <v>0</v>
      </c>
    </row>
    <row r="178" spans="2:3" hidden="1" x14ac:dyDescent="0.2">
      <c r="B178" s="111">
        <f t="shared" si="0"/>
        <v>2055</v>
      </c>
      <c r="C178" s="112">
        <f>[5]С2.5!$AN$11</f>
        <v>0</v>
      </c>
    </row>
    <row r="179" spans="2:3" hidden="1" x14ac:dyDescent="0.2">
      <c r="B179" s="111">
        <f t="shared" si="0"/>
        <v>2056</v>
      </c>
      <c r="C179" s="112">
        <f>[5]С2.5!$AO$11</f>
        <v>0</v>
      </c>
    </row>
    <row r="180" spans="2:3" hidden="1" x14ac:dyDescent="0.2">
      <c r="B180" s="111">
        <f t="shared" si="0"/>
        <v>2057</v>
      </c>
      <c r="C180" s="112">
        <f>[5]С2.5!$AP$11</f>
        <v>0</v>
      </c>
    </row>
    <row r="181" spans="2:3" hidden="1" x14ac:dyDescent="0.2">
      <c r="B181" s="111">
        <f t="shared" si="0"/>
        <v>2058</v>
      </c>
      <c r="C181" s="112">
        <f>[5]С2.5!$AQ$11</f>
        <v>0</v>
      </c>
    </row>
    <row r="182" spans="2:3" hidden="1" x14ac:dyDescent="0.2">
      <c r="B182" s="111">
        <f t="shared" si="0"/>
        <v>2059</v>
      </c>
      <c r="C182" s="112">
        <f>[5]С2.5!$AR$11</f>
        <v>0</v>
      </c>
    </row>
    <row r="183" spans="2:3" hidden="1" x14ac:dyDescent="0.2">
      <c r="B183" s="111">
        <f t="shared" si="0"/>
        <v>2060</v>
      </c>
      <c r="C183" s="112">
        <f>[5]С2.5!$AS$11</f>
        <v>0</v>
      </c>
    </row>
    <row r="184" spans="2:3" hidden="1" x14ac:dyDescent="0.2">
      <c r="B184" s="111">
        <f t="shared" si="0"/>
        <v>2061</v>
      </c>
      <c r="C184" s="112">
        <f>[5]С2.5!$AT$11</f>
        <v>0</v>
      </c>
    </row>
    <row r="185" spans="2:3" hidden="1" x14ac:dyDescent="0.2">
      <c r="B185" s="111">
        <f t="shared" si="0"/>
        <v>2062</v>
      </c>
      <c r="C185" s="112">
        <f>[5]С2.5!$AU$11</f>
        <v>0</v>
      </c>
    </row>
    <row r="186" spans="2:3" hidden="1" x14ac:dyDescent="0.2">
      <c r="B186" s="111">
        <f t="shared" si="0"/>
        <v>2063</v>
      </c>
      <c r="C186" s="112">
        <f>[5]С2.5!$AV$11</f>
        <v>0</v>
      </c>
    </row>
    <row r="187" spans="2:3" hidden="1" x14ac:dyDescent="0.2">
      <c r="B187" s="111">
        <f t="shared" si="0"/>
        <v>2064</v>
      </c>
      <c r="C187" s="112">
        <f>[5]С2.5!$AW$11</f>
        <v>0</v>
      </c>
    </row>
    <row r="188" spans="2:3" hidden="1" x14ac:dyDescent="0.2">
      <c r="B188" s="111">
        <f t="shared" si="0"/>
        <v>2065</v>
      </c>
      <c r="C188" s="112">
        <f>[5]С2.5!$AX$11</f>
        <v>0</v>
      </c>
    </row>
    <row r="189" spans="2:3" hidden="1" x14ac:dyDescent="0.2">
      <c r="B189" s="111">
        <f t="shared" si="0"/>
        <v>2066</v>
      </c>
      <c r="C189" s="112">
        <f>[5]С2.5!$AY$11</f>
        <v>0</v>
      </c>
    </row>
    <row r="190" spans="2:3" hidden="1" x14ac:dyDescent="0.2">
      <c r="B190" s="111">
        <f t="shared" si="0"/>
        <v>2067</v>
      </c>
      <c r="C190" s="112">
        <f>[5]С2.5!$AZ$11</f>
        <v>0</v>
      </c>
    </row>
    <row r="191" spans="2:3" hidden="1" x14ac:dyDescent="0.2">
      <c r="B191" s="111">
        <f t="shared" si="0"/>
        <v>2068</v>
      </c>
      <c r="C191" s="112">
        <f>[5]С2.5!$BA$11</f>
        <v>0</v>
      </c>
    </row>
    <row r="192" spans="2:3" hidden="1" x14ac:dyDescent="0.2">
      <c r="B192" s="111">
        <f t="shared" si="0"/>
        <v>2069</v>
      </c>
      <c r="C192" s="112">
        <f>[5]С2.5!$BB$11</f>
        <v>0</v>
      </c>
    </row>
    <row r="193" spans="2:3" hidden="1" x14ac:dyDescent="0.2">
      <c r="B193" s="111">
        <f t="shared" si="0"/>
        <v>2070</v>
      </c>
      <c r="C193" s="112">
        <f>[5]С2.5!$BC$11</f>
        <v>0</v>
      </c>
    </row>
    <row r="194" spans="2:3" hidden="1" x14ac:dyDescent="0.2">
      <c r="B194" s="111">
        <f t="shared" si="0"/>
        <v>2071</v>
      </c>
      <c r="C194" s="112">
        <f>[5]С2.5!$BD$11</f>
        <v>0</v>
      </c>
    </row>
    <row r="195" spans="2:3" hidden="1" x14ac:dyDescent="0.2">
      <c r="B195" s="111">
        <f t="shared" si="0"/>
        <v>2072</v>
      </c>
      <c r="C195" s="112">
        <f>[5]С2.5!$BE$11</f>
        <v>0</v>
      </c>
    </row>
    <row r="196" spans="2:3" hidden="1" x14ac:dyDescent="0.2">
      <c r="B196" s="111">
        <f t="shared" si="0"/>
        <v>2073</v>
      </c>
      <c r="C196" s="112">
        <f>[5]С2.5!$BF$11</f>
        <v>0</v>
      </c>
    </row>
    <row r="197" spans="2:3" hidden="1" x14ac:dyDescent="0.2">
      <c r="B197" s="111">
        <f t="shared" si="0"/>
        <v>2074</v>
      </c>
      <c r="C197" s="112">
        <f>[5]С2.5!$BG$11</f>
        <v>0</v>
      </c>
    </row>
    <row r="198" spans="2:3" hidden="1" x14ac:dyDescent="0.2">
      <c r="B198" s="111">
        <f t="shared" si="0"/>
        <v>2075</v>
      </c>
      <c r="C198" s="112">
        <f>[5]С2.5!$BH$11</f>
        <v>0</v>
      </c>
    </row>
    <row r="199" spans="2:3" hidden="1" x14ac:dyDescent="0.2">
      <c r="B199" s="111">
        <f t="shared" si="0"/>
        <v>2076</v>
      </c>
      <c r="C199" s="112">
        <f>[5]С2.5!$BI$11</f>
        <v>0</v>
      </c>
    </row>
    <row r="200" spans="2:3" hidden="1" x14ac:dyDescent="0.2">
      <c r="B200" s="111">
        <f t="shared" si="0"/>
        <v>2077</v>
      </c>
      <c r="C200" s="112">
        <f>[5]С2.5!$BJ$11</f>
        <v>0</v>
      </c>
    </row>
    <row r="201" spans="2:3" hidden="1" x14ac:dyDescent="0.2">
      <c r="B201" s="111">
        <f t="shared" si="0"/>
        <v>2078</v>
      </c>
      <c r="C201" s="112">
        <f>[5]С2.5!$BK$11</f>
        <v>0</v>
      </c>
    </row>
    <row r="202" spans="2:3" hidden="1" x14ac:dyDescent="0.2">
      <c r="B202" s="111">
        <f t="shared" si="0"/>
        <v>2079</v>
      </c>
      <c r="C202" s="112">
        <f>[5]С2.5!$BL$11</f>
        <v>0</v>
      </c>
    </row>
    <row r="203" spans="2:3" hidden="1" x14ac:dyDescent="0.2">
      <c r="B203" s="111">
        <f t="shared" si="0"/>
        <v>2080</v>
      </c>
      <c r="C203" s="112">
        <f>[5]С2.5!$BM$11</f>
        <v>0</v>
      </c>
    </row>
    <row r="204" spans="2:3" hidden="1" x14ac:dyDescent="0.2">
      <c r="B204" s="111">
        <f t="shared" si="0"/>
        <v>2081</v>
      </c>
      <c r="C204" s="112">
        <f>[5]С2.5!$BN$11</f>
        <v>0</v>
      </c>
    </row>
    <row r="205" spans="2:3" hidden="1" x14ac:dyDescent="0.2">
      <c r="B205" s="111">
        <f t="shared" si="0"/>
        <v>2082</v>
      </c>
      <c r="C205" s="112">
        <f>[5]С2.5!$BO$11</f>
        <v>0</v>
      </c>
    </row>
    <row r="206" spans="2:3" hidden="1" x14ac:dyDescent="0.2">
      <c r="B206" s="111">
        <f t="shared" si="0"/>
        <v>2083</v>
      </c>
      <c r="C206" s="112">
        <f>[5]С2.5!$BP$11</f>
        <v>0</v>
      </c>
    </row>
    <row r="207" spans="2:3" hidden="1" x14ac:dyDescent="0.2">
      <c r="B207" s="111">
        <f t="shared" si="0"/>
        <v>2084</v>
      </c>
      <c r="C207" s="112">
        <f>[5]С2.5!$BQ$11</f>
        <v>0</v>
      </c>
    </row>
    <row r="208" spans="2:3" hidden="1" x14ac:dyDescent="0.2">
      <c r="B208" s="111">
        <f t="shared" si="0"/>
        <v>2085</v>
      </c>
      <c r="C208" s="112">
        <f>[5]С2.5!$BR$11</f>
        <v>0</v>
      </c>
    </row>
    <row r="209" spans="2:3" hidden="1" x14ac:dyDescent="0.2">
      <c r="B209" s="111">
        <f t="shared" ref="B209:B223" si="1">B208+1</f>
        <v>2086</v>
      </c>
      <c r="C209" s="112">
        <f>[5]С2.5!$BS$11</f>
        <v>0</v>
      </c>
    </row>
    <row r="210" spans="2:3" hidden="1" x14ac:dyDescent="0.2">
      <c r="B210" s="111">
        <f t="shared" si="1"/>
        <v>2087</v>
      </c>
      <c r="C210" s="112">
        <f>[5]С2.5!$BT$11</f>
        <v>0</v>
      </c>
    </row>
    <row r="211" spans="2:3" hidden="1" x14ac:dyDescent="0.2">
      <c r="B211" s="111">
        <f t="shared" si="1"/>
        <v>2088</v>
      </c>
      <c r="C211" s="112">
        <f>[5]С2.5!$BU$11</f>
        <v>0</v>
      </c>
    </row>
    <row r="212" spans="2:3" hidden="1" x14ac:dyDescent="0.2">
      <c r="B212" s="111">
        <f t="shared" si="1"/>
        <v>2089</v>
      </c>
      <c r="C212" s="112">
        <f>[5]С2.5!$BV$11</f>
        <v>0</v>
      </c>
    </row>
    <row r="213" spans="2:3" hidden="1" x14ac:dyDescent="0.2">
      <c r="B213" s="111">
        <f t="shared" si="1"/>
        <v>2090</v>
      </c>
      <c r="C213" s="112">
        <f>[5]С2.5!$BW$11</f>
        <v>0</v>
      </c>
    </row>
    <row r="214" spans="2:3" hidden="1" x14ac:dyDescent="0.2">
      <c r="B214" s="111">
        <f t="shared" si="1"/>
        <v>2091</v>
      </c>
      <c r="C214" s="112">
        <f>[5]С2.5!$BX$11</f>
        <v>0</v>
      </c>
    </row>
    <row r="215" spans="2:3" hidden="1" x14ac:dyDescent="0.2">
      <c r="B215" s="111">
        <f t="shared" si="1"/>
        <v>2092</v>
      </c>
      <c r="C215" s="112">
        <f>[5]С2.5!$BY$11</f>
        <v>0</v>
      </c>
    </row>
    <row r="216" spans="2:3" hidden="1" x14ac:dyDescent="0.2">
      <c r="B216" s="111">
        <f t="shared" si="1"/>
        <v>2093</v>
      </c>
      <c r="C216" s="112">
        <f>[5]С2.5!$BZ$11</f>
        <v>0</v>
      </c>
    </row>
    <row r="217" spans="2:3" hidden="1" x14ac:dyDescent="0.2">
      <c r="B217" s="111">
        <f t="shared" si="1"/>
        <v>2094</v>
      </c>
      <c r="C217" s="112">
        <f>[5]С2.5!$CA$11</f>
        <v>0</v>
      </c>
    </row>
    <row r="218" spans="2:3" hidden="1" x14ac:dyDescent="0.2">
      <c r="B218" s="111">
        <f t="shared" si="1"/>
        <v>2095</v>
      </c>
      <c r="C218" s="112">
        <f>[5]С2.5!$CB$11</f>
        <v>0</v>
      </c>
    </row>
    <row r="219" spans="2:3" hidden="1" x14ac:dyDescent="0.2">
      <c r="B219" s="111">
        <f t="shared" si="1"/>
        <v>2096</v>
      </c>
      <c r="C219" s="112">
        <f>[5]С2.5!$CC$11</f>
        <v>0</v>
      </c>
    </row>
    <row r="220" spans="2:3" hidden="1" x14ac:dyDescent="0.2">
      <c r="B220" s="111">
        <f t="shared" si="1"/>
        <v>2097</v>
      </c>
      <c r="C220" s="112">
        <f>[5]С2.5!$CD$11</f>
        <v>0</v>
      </c>
    </row>
    <row r="221" spans="2:3" hidden="1" x14ac:dyDescent="0.2">
      <c r="B221" s="111">
        <f t="shared" si="1"/>
        <v>2098</v>
      </c>
      <c r="C221" s="112">
        <f>[5]С2.5!$CE$11</f>
        <v>0</v>
      </c>
    </row>
    <row r="222" spans="2:3" hidden="1" x14ac:dyDescent="0.2">
      <c r="B222" s="111">
        <f t="shared" si="1"/>
        <v>2099</v>
      </c>
      <c r="C222" s="112">
        <f>[5]С2.5!$CF$11</f>
        <v>0</v>
      </c>
    </row>
    <row r="223" spans="2:3" ht="13.5" hidden="1" thickBot="1" x14ac:dyDescent="0.25">
      <c r="B223" s="113">
        <f t="shared" si="1"/>
        <v>2100</v>
      </c>
      <c r="C223" s="114">
        <f>[5]С2.5!$CG$11</f>
        <v>0</v>
      </c>
    </row>
    <row r="224" spans="2:3" hidden="1" x14ac:dyDescent="0.2">
      <c r="C224" s="117"/>
    </row>
    <row r="225" spans="3:3" hidden="1" x14ac:dyDescent="0.2">
      <c r="C225" s="117"/>
    </row>
    <row r="226" spans="3:3" x14ac:dyDescent="0.2">
      <c r="C226" s="117"/>
    </row>
  </sheetData>
  <mergeCells count="9">
    <mergeCell ref="B1:C1"/>
    <mergeCell ref="A14:C14"/>
    <mergeCell ref="B27:C27"/>
    <mergeCell ref="B141:C141"/>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6]!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mc:AlternateContent xmlns:mc="http://schemas.openxmlformats.org/markup-compatibility/2006">
          <mc:Choice Requires="x14">
            <control shapeId="4098" r:id="rId5" name="Button 2">
              <controlPr defaultSize="0" print="0" autoFill="0" autoPict="0" macro="[5]!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226"/>
  <sheetViews>
    <sheetView zoomScale="85" zoomScaleNormal="85" workbookViewId="0">
      <pane ySplit="8" topLeftCell="A9" activePane="bottomLeft" state="frozen"/>
      <selection pane="bottomLeft" activeCell="C17" sqref="C17"/>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44" t="s">
        <v>1</v>
      </c>
      <c r="C1" s="144"/>
    </row>
    <row r="2" spans="1:3" x14ac:dyDescent="0.2">
      <c r="A2" s="3"/>
      <c r="B2" s="4" t="s">
        <v>2</v>
      </c>
      <c r="C2" s="5">
        <f ca="1">TODAY()</f>
        <v>44944</v>
      </c>
    </row>
    <row r="3" spans="1:3" x14ac:dyDescent="0.2">
      <c r="A3" s="3"/>
      <c r="B3" s="6" t="s">
        <v>3</v>
      </c>
    </row>
    <row r="4" spans="1:3" ht="25.5" x14ac:dyDescent="0.2">
      <c r="A4" s="8"/>
      <c r="B4" s="9" t="str">
        <f>[7]И1!D13</f>
        <v>Субъект Российской Федерации</v>
      </c>
      <c r="C4" s="10" t="str">
        <f>[7]И1!E13</f>
        <v>Новосибирская область</v>
      </c>
    </row>
    <row r="5" spans="1:3" ht="38.25" x14ac:dyDescent="0.2">
      <c r="A5" s="8"/>
      <c r="B5" s="9" t="str">
        <f>[7]И1!D14</f>
        <v>Тип муниципального образования (выберите из списка)</v>
      </c>
      <c r="C5" s="10" t="str">
        <f>[7]И1!E14</f>
        <v>село Большой Изырак, Маслянинский муниципальный район</v>
      </c>
    </row>
    <row r="6" spans="1:3" x14ac:dyDescent="0.2">
      <c r="A6" s="8"/>
      <c r="B6" s="9" t="str">
        <f>IF([7]И1!E15="","",[7]И1!D15)</f>
        <v/>
      </c>
      <c r="C6" s="10" t="str">
        <f>IF([7]И1!E15="","",[7]И1!E15)</f>
        <v/>
      </c>
    </row>
    <row r="7" spans="1:3" x14ac:dyDescent="0.2">
      <c r="A7" s="8"/>
      <c r="B7" s="9" t="str">
        <f>[7]И1!D16</f>
        <v>Код ОКТМО</v>
      </c>
      <c r="C7" s="11" t="str">
        <f>[7]И1!E16</f>
        <v>50636410101</v>
      </c>
    </row>
    <row r="8" spans="1:3" x14ac:dyDescent="0.2">
      <c r="A8" s="8"/>
      <c r="B8" s="12" t="str">
        <f>[7]И1!D17</f>
        <v>Система теплоснабжения</v>
      </c>
      <c r="C8" s="13">
        <f>[7]И1!E17</f>
        <v>0</v>
      </c>
    </row>
    <row r="9" spans="1:3" x14ac:dyDescent="0.2">
      <c r="A9" s="8"/>
      <c r="B9" s="9" t="str">
        <f>[7]И1!D8</f>
        <v>Период регулирования (i)-й</v>
      </c>
      <c r="C9" s="14">
        <f>[7]И1!E8</f>
        <v>2023</v>
      </c>
    </row>
    <row r="10" spans="1:3" x14ac:dyDescent="0.2">
      <c r="A10" s="8"/>
      <c r="B10" s="9" t="str">
        <f>[7]И1!D9</f>
        <v>Период регулирования (i-1)-й</v>
      </c>
      <c r="C10" s="14">
        <f>[7]И1!E9</f>
        <v>2022</v>
      </c>
    </row>
    <row r="11" spans="1:3" x14ac:dyDescent="0.2">
      <c r="A11" s="8"/>
      <c r="B11" s="9" t="str">
        <f>[7]И1!D10</f>
        <v>Период регулирования (i-2)-й</v>
      </c>
      <c r="C11" s="14">
        <f>[7]И1!E10</f>
        <v>2021</v>
      </c>
    </row>
    <row r="12" spans="1:3" x14ac:dyDescent="0.2">
      <c r="A12" s="8"/>
      <c r="B12" s="9" t="str">
        <f>[7]И1!D11</f>
        <v>Базовый год (б)</v>
      </c>
      <c r="C12" s="14">
        <f>[7]И1!E11</f>
        <v>2019</v>
      </c>
    </row>
    <row r="13" spans="1:3" ht="38.25" x14ac:dyDescent="0.2">
      <c r="A13" s="8"/>
      <c r="B13" s="9" t="str">
        <f>[7]И1!D18</f>
        <v>Вид топлива, использование которого преобладает в системе теплоснабжения</v>
      </c>
      <c r="C13" s="15" t="str">
        <f>[7]С1.1!E13</f>
        <v>уголь (вид угля не указан в топливном балансе)</v>
      </c>
    </row>
    <row r="14" spans="1:3" ht="31.7" customHeight="1" thickBot="1" x14ac:dyDescent="0.25">
      <c r="A14" s="145" t="s">
        <v>4</v>
      </c>
      <c r="B14" s="145"/>
      <c r="C14" s="145"/>
    </row>
    <row r="15" spans="1:3" x14ac:dyDescent="0.2">
      <c r="A15" s="16" t="s">
        <v>5</v>
      </c>
      <c r="B15" s="17" t="s">
        <v>6</v>
      </c>
      <c r="C15" s="18" t="s">
        <v>7</v>
      </c>
    </row>
    <row r="16" spans="1:3" x14ac:dyDescent="0.2">
      <c r="A16" s="19">
        <v>1</v>
      </c>
      <c r="B16" s="20">
        <v>2</v>
      </c>
      <c r="C16" s="21">
        <v>3</v>
      </c>
    </row>
    <row r="17" spans="1:3" x14ac:dyDescent="0.2">
      <c r="A17" s="22">
        <v>1</v>
      </c>
      <c r="B17" s="23" t="s">
        <v>8</v>
      </c>
      <c r="C17" s="24">
        <f>SUM(C18:C22)</f>
        <v>4066.6827842043308</v>
      </c>
    </row>
    <row r="18" spans="1:3" ht="42.75" x14ac:dyDescent="0.2">
      <c r="A18" s="22" t="s">
        <v>9</v>
      </c>
      <c r="B18" s="25" t="s">
        <v>10</v>
      </c>
      <c r="C18" s="26">
        <f>[7]С1!F12</f>
        <v>931.18468604281509</v>
      </c>
    </row>
    <row r="19" spans="1:3" ht="42.75" x14ac:dyDescent="0.2">
      <c r="A19" s="22" t="s">
        <v>11</v>
      </c>
      <c r="B19" s="25" t="s">
        <v>12</v>
      </c>
      <c r="C19" s="26">
        <f>[7]С2!F12</f>
        <v>2110.2454761302993</v>
      </c>
    </row>
    <row r="20" spans="1:3" ht="30" x14ac:dyDescent="0.2">
      <c r="A20" s="22" t="s">
        <v>13</v>
      </c>
      <c r="B20" s="25" t="s">
        <v>14</v>
      </c>
      <c r="C20" s="26">
        <f>[7]С3!F12</f>
        <v>504.95006339690781</v>
      </c>
    </row>
    <row r="21" spans="1:3" ht="42.75" x14ac:dyDescent="0.2">
      <c r="A21" s="22" t="s">
        <v>15</v>
      </c>
      <c r="B21" s="25" t="s">
        <v>16</v>
      </c>
      <c r="C21" s="26">
        <f>[7]С4!F12</f>
        <v>440.56368051265514</v>
      </c>
    </row>
    <row r="22" spans="1:3" ht="30" x14ac:dyDescent="0.2">
      <c r="A22" s="22" t="s">
        <v>17</v>
      </c>
      <c r="B22" s="25" t="s">
        <v>18</v>
      </c>
      <c r="C22" s="26">
        <f>[7]С5!F12</f>
        <v>79.738878121653542</v>
      </c>
    </row>
    <row r="23" spans="1:3" ht="43.5" thickBot="1" x14ac:dyDescent="0.25">
      <c r="A23" s="27" t="s">
        <v>19</v>
      </c>
      <c r="B23" s="28" t="s">
        <v>20</v>
      </c>
      <c r="C23" s="29" t="str">
        <f>[7]С6!F12</f>
        <v>-</v>
      </c>
    </row>
    <row r="24" spans="1:3" ht="13.5" thickBot="1" x14ac:dyDescent="0.25">
      <c r="A24" s="3"/>
    </row>
    <row r="25" spans="1:3" x14ac:dyDescent="0.2">
      <c r="A25" s="16" t="s">
        <v>5</v>
      </c>
      <c r="B25" s="30" t="s">
        <v>6</v>
      </c>
      <c r="C25" s="31" t="s">
        <v>7</v>
      </c>
    </row>
    <row r="26" spans="1:3" x14ac:dyDescent="0.2">
      <c r="A26" s="19">
        <v>1</v>
      </c>
      <c r="B26" s="32">
        <v>2</v>
      </c>
      <c r="C26" s="33">
        <v>3</v>
      </c>
    </row>
    <row r="27" spans="1:3" ht="30" customHeight="1" x14ac:dyDescent="0.2">
      <c r="A27" s="22">
        <v>1</v>
      </c>
      <c r="B27" s="146" t="s">
        <v>21</v>
      </c>
      <c r="C27" s="146"/>
    </row>
    <row r="28" spans="1:3" x14ac:dyDescent="0.2">
      <c r="A28" s="22" t="s">
        <v>9</v>
      </c>
      <c r="B28" s="34" t="s">
        <v>22</v>
      </c>
      <c r="C28" s="35">
        <f>[7]С1.1!E16</f>
        <v>5100</v>
      </c>
    </row>
    <row r="29" spans="1:3" ht="42.75" x14ac:dyDescent="0.2">
      <c r="A29" s="22" t="s">
        <v>11</v>
      </c>
      <c r="B29" s="34" t="s">
        <v>23</v>
      </c>
      <c r="C29" s="35">
        <f>[7]С1.1!E27</f>
        <v>2503.8000000000002</v>
      </c>
    </row>
    <row r="30" spans="1:3" ht="17.25" x14ac:dyDescent="0.2">
      <c r="A30" s="22" t="s">
        <v>13</v>
      </c>
      <c r="B30" s="34" t="s">
        <v>24</v>
      </c>
      <c r="C30" s="36">
        <f>[7]С1.1!E19</f>
        <v>0.59499999999999997</v>
      </c>
    </row>
    <row r="31" spans="1:3" ht="17.25" x14ac:dyDescent="0.2">
      <c r="A31" s="22" t="s">
        <v>15</v>
      </c>
      <c r="B31" s="34" t="s">
        <v>25</v>
      </c>
      <c r="C31" s="36">
        <f>[7]С1.1!E20</f>
        <v>-0.113</v>
      </c>
    </row>
    <row r="32" spans="1:3" ht="30" x14ac:dyDescent="0.2">
      <c r="A32" s="22" t="s">
        <v>17</v>
      </c>
      <c r="B32" s="37" t="s">
        <v>26</v>
      </c>
      <c r="C32" s="38">
        <f>[7]С1!F13</f>
        <v>176.4</v>
      </c>
    </row>
    <row r="33" spans="1:3" x14ac:dyDescent="0.2">
      <c r="A33" s="22" t="s">
        <v>19</v>
      </c>
      <c r="B33" s="37" t="s">
        <v>27</v>
      </c>
      <c r="C33" s="39">
        <f>[7]С1!F16</f>
        <v>7000</v>
      </c>
    </row>
    <row r="34" spans="1:3" ht="14.25" x14ac:dyDescent="0.2">
      <c r="A34" s="22" t="s">
        <v>28</v>
      </c>
      <c r="B34" s="40" t="s">
        <v>29</v>
      </c>
      <c r="C34" s="41">
        <f>[7]С1!F17</f>
        <v>0.72857142857142854</v>
      </c>
    </row>
    <row r="35" spans="1:3" ht="15.75" x14ac:dyDescent="0.2">
      <c r="A35" s="42" t="s">
        <v>30</v>
      </c>
      <c r="B35" s="43" t="s">
        <v>31</v>
      </c>
      <c r="C35" s="41">
        <f>[7]С1!F20</f>
        <v>21.588411179999994</v>
      </c>
    </row>
    <row r="36" spans="1:3" ht="15.75" x14ac:dyDescent="0.2">
      <c r="A36" s="42" t="s">
        <v>32</v>
      </c>
      <c r="B36" s="44" t="s">
        <v>33</v>
      </c>
      <c r="C36" s="41">
        <f>[7]С1!F21</f>
        <v>20.818139999999996</v>
      </c>
    </row>
    <row r="37" spans="1:3" ht="14.25" x14ac:dyDescent="0.2">
      <c r="A37" s="42" t="s">
        <v>34</v>
      </c>
      <c r="B37" s="45" t="s">
        <v>35</v>
      </c>
      <c r="C37" s="41">
        <f>[7]С1!F22</f>
        <v>1.0369999999999999</v>
      </c>
    </row>
    <row r="38" spans="1:3" ht="53.25" thickBot="1" x14ac:dyDescent="0.25">
      <c r="A38" s="27" t="s">
        <v>36</v>
      </c>
      <c r="B38" s="46" t="s">
        <v>37</v>
      </c>
      <c r="C38" s="47">
        <f>[7]С1!F23</f>
        <v>1.0469999999999999</v>
      </c>
    </row>
    <row r="39" spans="1:3" ht="13.5" thickBot="1" x14ac:dyDescent="0.25">
      <c r="A39" s="48"/>
      <c r="B39" s="49"/>
      <c r="C39" s="50"/>
    </row>
    <row r="40" spans="1:3" ht="30" customHeight="1" x14ac:dyDescent="0.2">
      <c r="A40" s="51" t="s">
        <v>38</v>
      </c>
      <c r="B40" s="142" t="s">
        <v>39</v>
      </c>
      <c r="C40" s="142"/>
    </row>
    <row r="41" spans="1:3" ht="25.5" x14ac:dyDescent="0.2">
      <c r="A41" s="22" t="s">
        <v>40</v>
      </c>
      <c r="B41" s="37" t="s">
        <v>41</v>
      </c>
      <c r="C41" s="52" t="str">
        <f>[7]С2.1!E12</f>
        <v>V</v>
      </c>
    </row>
    <row r="42" spans="1:3" ht="25.5" x14ac:dyDescent="0.2">
      <c r="A42" s="22" t="s">
        <v>42</v>
      </c>
      <c r="B42" s="34" t="s">
        <v>43</v>
      </c>
      <c r="C42" s="52" t="str">
        <f>[7]С2.1!E13</f>
        <v>6 и менее баллов</v>
      </c>
    </row>
    <row r="43" spans="1:3" ht="25.5" x14ac:dyDescent="0.2">
      <c r="A43" s="22" t="s">
        <v>44</v>
      </c>
      <c r="B43" s="34" t="s">
        <v>45</v>
      </c>
      <c r="C43" s="52" t="str">
        <f>[7]С2.1!E14</f>
        <v>от 200 до 500</v>
      </c>
    </row>
    <row r="44" spans="1:3" ht="25.5" x14ac:dyDescent="0.2">
      <c r="A44" s="22" t="s">
        <v>46</v>
      </c>
      <c r="B44" s="34" t="s">
        <v>47</v>
      </c>
      <c r="C44" s="53" t="str">
        <f>[7]С2.1!E15</f>
        <v>нет</v>
      </c>
    </row>
    <row r="45" spans="1:3" ht="30" x14ac:dyDescent="0.2">
      <c r="A45" s="22" t="s">
        <v>48</v>
      </c>
      <c r="B45" s="34" t="s">
        <v>49</v>
      </c>
      <c r="C45" s="35">
        <f>[7]С2!F18</f>
        <v>32402.627334033532</v>
      </c>
    </row>
    <row r="46" spans="1:3" ht="30" x14ac:dyDescent="0.2">
      <c r="A46" s="22" t="s">
        <v>50</v>
      </c>
      <c r="B46" s="54" t="s">
        <v>51</v>
      </c>
      <c r="C46" s="35">
        <f>IF([7]С2!F19&gt;0,[7]С2!F19,[7]С2!F20)</f>
        <v>23441.524932855718</v>
      </c>
    </row>
    <row r="47" spans="1:3" ht="25.5" x14ac:dyDescent="0.2">
      <c r="A47" s="22" t="s">
        <v>52</v>
      </c>
      <c r="B47" s="55" t="s">
        <v>53</v>
      </c>
      <c r="C47" s="35">
        <f>[7]С2.1!E19</f>
        <v>-37</v>
      </c>
    </row>
    <row r="48" spans="1:3" ht="25.5" x14ac:dyDescent="0.2">
      <c r="A48" s="22" t="s">
        <v>54</v>
      </c>
      <c r="B48" s="55" t="s">
        <v>55</v>
      </c>
      <c r="C48" s="35" t="str">
        <f>[7]С2.1!E22</f>
        <v>нет</v>
      </c>
    </row>
    <row r="49" spans="1:3" ht="38.25" x14ac:dyDescent="0.2">
      <c r="A49" s="22" t="s">
        <v>56</v>
      </c>
      <c r="B49" s="56" t="s">
        <v>57</v>
      </c>
      <c r="C49" s="35">
        <f>[7]С2.2!E10</f>
        <v>1287</v>
      </c>
    </row>
    <row r="50" spans="1:3" ht="25.5" x14ac:dyDescent="0.2">
      <c r="A50" s="22" t="s">
        <v>58</v>
      </c>
      <c r="B50" s="57" t="s">
        <v>59</v>
      </c>
      <c r="C50" s="35">
        <f>[7]С2.2!E12</f>
        <v>5.97</v>
      </c>
    </row>
    <row r="51" spans="1:3" ht="52.5" x14ac:dyDescent="0.2">
      <c r="A51" s="22" t="s">
        <v>60</v>
      </c>
      <c r="B51" s="58" t="s">
        <v>61</v>
      </c>
      <c r="C51" s="35">
        <f>[7]С2.2!E13</f>
        <v>1</v>
      </c>
    </row>
    <row r="52" spans="1:3" ht="27.75" x14ac:dyDescent="0.2">
      <c r="A52" s="22" t="s">
        <v>62</v>
      </c>
      <c r="B52" s="57" t="s">
        <v>63</v>
      </c>
      <c r="C52" s="35">
        <f>[7]С2.2!E14</f>
        <v>12104</v>
      </c>
    </row>
    <row r="53" spans="1:3" ht="25.5" x14ac:dyDescent="0.2">
      <c r="A53" s="22" t="s">
        <v>64</v>
      </c>
      <c r="B53" s="58" t="s">
        <v>65</v>
      </c>
      <c r="C53" s="36">
        <f>[7]С2.2!E15</f>
        <v>4.8000000000000001E-2</v>
      </c>
    </row>
    <row r="54" spans="1:3" x14ac:dyDescent="0.2">
      <c r="A54" s="22" t="s">
        <v>66</v>
      </c>
      <c r="B54" s="58" t="s">
        <v>67</v>
      </c>
      <c r="C54" s="35">
        <f>[7]С2.2!E16</f>
        <v>1</v>
      </c>
    </row>
    <row r="55" spans="1:3" ht="15.75" x14ac:dyDescent="0.2">
      <c r="A55" s="22" t="s">
        <v>68</v>
      </c>
      <c r="B55" s="59" t="s">
        <v>69</v>
      </c>
      <c r="C55" s="35">
        <f>[7]С2!F21</f>
        <v>1</v>
      </c>
    </row>
    <row r="56" spans="1:3" ht="30" x14ac:dyDescent="0.2">
      <c r="A56" s="60" t="s">
        <v>70</v>
      </c>
      <c r="B56" s="34" t="s">
        <v>71</v>
      </c>
      <c r="C56" s="35">
        <f>[7]С2!F13</f>
        <v>169640.22915965237</v>
      </c>
    </row>
    <row r="57" spans="1:3" ht="30" x14ac:dyDescent="0.2">
      <c r="A57" s="60" t="s">
        <v>72</v>
      </c>
      <c r="B57" s="59" t="s">
        <v>73</v>
      </c>
      <c r="C57" s="35">
        <f>[7]С2!F14</f>
        <v>113455</v>
      </c>
    </row>
    <row r="58" spans="1:3" ht="15.75" x14ac:dyDescent="0.2">
      <c r="A58" s="60" t="s">
        <v>74</v>
      </c>
      <c r="B58" s="61" t="s">
        <v>75</v>
      </c>
      <c r="C58" s="41">
        <f>[7]С2!F15</f>
        <v>1.071</v>
      </c>
    </row>
    <row r="59" spans="1:3" ht="15.75" x14ac:dyDescent="0.2">
      <c r="A59" s="60" t="s">
        <v>76</v>
      </c>
      <c r="B59" s="61" t="s">
        <v>77</v>
      </c>
      <c r="C59" s="41">
        <f>[7]С2!F16</f>
        <v>1</v>
      </c>
    </row>
    <row r="60" spans="1:3" ht="17.25" x14ac:dyDescent="0.2">
      <c r="A60" s="60" t="s">
        <v>78</v>
      </c>
      <c r="B60" s="59" t="s">
        <v>79</v>
      </c>
      <c r="C60" s="35">
        <f>[7]С2!F17</f>
        <v>1.01</v>
      </c>
    </row>
    <row r="61" spans="1:3" s="64" customFormat="1" ht="14.25" x14ac:dyDescent="0.2">
      <c r="A61" s="60" t="s">
        <v>80</v>
      </c>
      <c r="B61" s="62" t="s">
        <v>81</v>
      </c>
      <c r="C61" s="63">
        <f>[7]С2!F33</f>
        <v>10</v>
      </c>
    </row>
    <row r="62" spans="1:3" ht="30" x14ac:dyDescent="0.2">
      <c r="A62" s="60" t="s">
        <v>82</v>
      </c>
      <c r="B62" s="65" t="s">
        <v>83</v>
      </c>
      <c r="C62" s="35">
        <f>[7]С2!F26</f>
        <v>1598.6279958476514</v>
      </c>
    </row>
    <row r="63" spans="1:3" ht="17.25" x14ac:dyDescent="0.2">
      <c r="A63" s="60" t="s">
        <v>84</v>
      </c>
      <c r="B63" s="54" t="s">
        <v>85</v>
      </c>
      <c r="C63" s="35">
        <f>[7]С2!F27</f>
        <v>0.27536184199999997</v>
      </c>
    </row>
    <row r="64" spans="1:3" ht="17.25" x14ac:dyDescent="0.2">
      <c r="A64" s="60" t="s">
        <v>86</v>
      </c>
      <c r="B64" s="59" t="s">
        <v>87</v>
      </c>
      <c r="C64" s="63">
        <f>[7]С2!F28</f>
        <v>4200</v>
      </c>
    </row>
    <row r="65" spans="1:3" ht="42.75" x14ac:dyDescent="0.2">
      <c r="A65" s="60" t="s">
        <v>88</v>
      </c>
      <c r="B65" s="34" t="s">
        <v>89</v>
      </c>
      <c r="C65" s="35">
        <f>[7]С2!F22</f>
        <v>35717.748653137714</v>
      </c>
    </row>
    <row r="66" spans="1:3" ht="30" x14ac:dyDescent="0.2">
      <c r="A66" s="60" t="s">
        <v>90</v>
      </c>
      <c r="B66" s="61" t="s">
        <v>91</v>
      </c>
      <c r="C66" s="35">
        <f>[7]С2!F23</f>
        <v>1990</v>
      </c>
    </row>
    <row r="67" spans="1:3" ht="30" x14ac:dyDescent="0.2">
      <c r="A67" s="60" t="s">
        <v>92</v>
      </c>
      <c r="B67" s="54" t="s">
        <v>93</v>
      </c>
      <c r="C67" s="35">
        <f>[7]С2.1!E27</f>
        <v>14307.876789999998</v>
      </c>
    </row>
    <row r="68" spans="1:3" ht="38.25" x14ac:dyDescent="0.2">
      <c r="A68" s="60" t="s">
        <v>94</v>
      </c>
      <c r="B68" s="66" t="s">
        <v>95</v>
      </c>
      <c r="C68" s="53">
        <f>[7]С2.3!E21</f>
        <v>0</v>
      </c>
    </row>
    <row r="69" spans="1:3" ht="25.5" x14ac:dyDescent="0.2">
      <c r="A69" s="60" t="s">
        <v>96</v>
      </c>
      <c r="B69" s="67" t="s">
        <v>97</v>
      </c>
      <c r="C69" s="68">
        <f>[7]С2.3!E11</f>
        <v>9.89</v>
      </c>
    </row>
    <row r="70" spans="1:3" ht="25.5" x14ac:dyDescent="0.2">
      <c r="A70" s="60" t="s">
        <v>98</v>
      </c>
      <c r="B70" s="67" t="s">
        <v>99</v>
      </c>
      <c r="C70" s="63">
        <f>[7]С2.3!E13</f>
        <v>300</v>
      </c>
    </row>
    <row r="71" spans="1:3" ht="25.5" x14ac:dyDescent="0.2">
      <c r="A71" s="60" t="s">
        <v>100</v>
      </c>
      <c r="B71" s="66" t="s">
        <v>101</v>
      </c>
      <c r="C71" s="69">
        <f>IF([7]С2.3!E22&gt;0,[7]С2.3!E22,[7]С2.3!E14)</f>
        <v>61211</v>
      </c>
    </row>
    <row r="72" spans="1:3" ht="38.25" x14ac:dyDescent="0.2">
      <c r="A72" s="60" t="s">
        <v>102</v>
      </c>
      <c r="B72" s="66" t="s">
        <v>103</v>
      </c>
      <c r="C72" s="69">
        <f>IF([7]С2.3!E23&gt;0,[7]С2.3!E23,[7]С2.3!E15)</f>
        <v>45675</v>
      </c>
    </row>
    <row r="73" spans="1:3" ht="30" x14ac:dyDescent="0.2">
      <c r="A73" s="60" t="s">
        <v>104</v>
      </c>
      <c r="B73" s="54" t="s">
        <v>105</v>
      </c>
      <c r="C73" s="35">
        <f>[7]С2.1!E28</f>
        <v>9541.9567200000001</v>
      </c>
    </row>
    <row r="74" spans="1:3" ht="38.25" x14ac:dyDescent="0.2">
      <c r="A74" s="60" t="s">
        <v>106</v>
      </c>
      <c r="B74" s="66" t="s">
        <v>107</v>
      </c>
      <c r="C74" s="53">
        <f>[7]С2.3!E25</f>
        <v>0</v>
      </c>
    </row>
    <row r="75" spans="1:3" ht="25.5" x14ac:dyDescent="0.2">
      <c r="A75" s="60" t="s">
        <v>108</v>
      </c>
      <c r="B75" s="67" t="s">
        <v>109</v>
      </c>
      <c r="C75" s="68">
        <f>[7]С2.3!E12</f>
        <v>0.56000000000000005</v>
      </c>
    </row>
    <row r="76" spans="1:3" ht="25.5" x14ac:dyDescent="0.2">
      <c r="A76" s="60" t="s">
        <v>110</v>
      </c>
      <c r="B76" s="67" t="s">
        <v>99</v>
      </c>
      <c r="C76" s="63">
        <f>[7]С2.3!E13</f>
        <v>300</v>
      </c>
    </row>
    <row r="77" spans="1:3" ht="25.5" x14ac:dyDescent="0.2">
      <c r="A77" s="60" t="s">
        <v>111</v>
      </c>
      <c r="B77" s="70" t="s">
        <v>112</v>
      </c>
      <c r="C77" s="69">
        <f>IF([7]С2.3!E26&gt;0,[7]С2.3!E26,[7]С2.3!E16)</f>
        <v>65637</v>
      </c>
    </row>
    <row r="78" spans="1:3" ht="38.25" x14ac:dyDescent="0.2">
      <c r="A78" s="60" t="s">
        <v>113</v>
      </c>
      <c r="B78" s="70" t="s">
        <v>114</v>
      </c>
      <c r="C78" s="69">
        <f>IF([7]С2.3!E27&gt;0,[7]С2.3!E27,[7]С2.3!E17)</f>
        <v>31684</v>
      </c>
    </row>
    <row r="79" spans="1:3" ht="17.25" x14ac:dyDescent="0.2">
      <c r="A79" s="60" t="s">
        <v>115</v>
      </c>
      <c r="B79" s="34" t="s">
        <v>116</v>
      </c>
      <c r="C79" s="36">
        <f>[7]С2!F29</f>
        <v>0.128978033685065</v>
      </c>
    </row>
    <row r="80" spans="1:3" ht="30" x14ac:dyDescent="0.2">
      <c r="A80" s="60" t="s">
        <v>117</v>
      </c>
      <c r="B80" s="54" t="s">
        <v>118</v>
      </c>
      <c r="C80" s="71">
        <f>[7]С2!F30</f>
        <v>0.11668498168498169</v>
      </c>
    </row>
    <row r="81" spans="1:3" ht="17.25" x14ac:dyDescent="0.2">
      <c r="A81" s="60" t="s">
        <v>119</v>
      </c>
      <c r="B81" s="72" t="s">
        <v>120</v>
      </c>
      <c r="C81" s="36">
        <f>[7]С2!F31</f>
        <v>0.13880000000000001</v>
      </c>
    </row>
    <row r="82" spans="1:3" s="64" customFormat="1" ht="18" thickBot="1" x14ac:dyDescent="0.25">
      <c r="A82" s="73" t="s">
        <v>121</v>
      </c>
      <c r="B82" s="74" t="s">
        <v>122</v>
      </c>
      <c r="C82" s="75">
        <f>[7]С2!F32</f>
        <v>0.12640000000000001</v>
      </c>
    </row>
    <row r="83" spans="1:3" ht="13.5" thickBot="1" x14ac:dyDescent="0.25">
      <c r="A83" s="48"/>
      <c r="B83" s="76"/>
      <c r="C83" s="15"/>
    </row>
    <row r="84" spans="1:3" s="64" customFormat="1" ht="30" customHeight="1" x14ac:dyDescent="0.2">
      <c r="A84" s="77" t="s">
        <v>123</v>
      </c>
      <c r="B84" s="142" t="s">
        <v>124</v>
      </c>
      <c r="C84" s="142"/>
    </row>
    <row r="85" spans="1:3" s="64" customFormat="1" ht="30" x14ac:dyDescent="0.2">
      <c r="A85" s="78" t="s">
        <v>125</v>
      </c>
      <c r="B85" s="34" t="s">
        <v>126</v>
      </c>
      <c r="C85" s="35">
        <f>[7]С3!F14</f>
        <v>7020.1696866647444</v>
      </c>
    </row>
    <row r="86" spans="1:3" s="64" customFormat="1" ht="42.75" x14ac:dyDescent="0.2">
      <c r="A86" s="78" t="s">
        <v>127</v>
      </c>
      <c r="B86" s="54" t="s">
        <v>128</v>
      </c>
      <c r="C86" s="79">
        <f>[7]С3!F15</f>
        <v>0.2</v>
      </c>
    </row>
    <row r="87" spans="1:3" s="64" customFormat="1" ht="14.25" x14ac:dyDescent="0.2">
      <c r="A87" s="78" t="s">
        <v>129</v>
      </c>
      <c r="B87" s="80" t="s">
        <v>130</v>
      </c>
      <c r="C87" s="63">
        <f>[7]С3!F18</f>
        <v>15</v>
      </c>
    </row>
    <row r="88" spans="1:3" s="64" customFormat="1" ht="17.25" x14ac:dyDescent="0.2">
      <c r="A88" s="78" t="s">
        <v>131</v>
      </c>
      <c r="B88" s="34" t="s">
        <v>132</v>
      </c>
      <c r="C88" s="35">
        <f>[7]С3!F19</f>
        <v>3487.1555421534131</v>
      </c>
    </row>
    <row r="89" spans="1:3" s="64" customFormat="1" ht="55.5" x14ac:dyDescent="0.2">
      <c r="A89" s="78" t="s">
        <v>133</v>
      </c>
      <c r="B89" s="54" t="s">
        <v>134</v>
      </c>
      <c r="C89" s="81">
        <f>[7]С3!F20</f>
        <v>2.1999999999999999E-2</v>
      </c>
    </row>
    <row r="90" spans="1:3" s="64" customFormat="1" ht="14.25" x14ac:dyDescent="0.2">
      <c r="A90" s="78" t="s">
        <v>135</v>
      </c>
      <c r="B90" s="59" t="s">
        <v>81</v>
      </c>
      <c r="C90" s="63">
        <f>[7]С3!F21</f>
        <v>10</v>
      </c>
    </row>
    <row r="91" spans="1:3" s="64" customFormat="1" ht="17.25" x14ac:dyDescent="0.2">
      <c r="A91" s="78" t="s">
        <v>136</v>
      </c>
      <c r="B91" s="34" t="s">
        <v>137</v>
      </c>
      <c r="C91" s="35">
        <f>[7]С3!F22</f>
        <v>4.795883987542954</v>
      </c>
    </row>
    <row r="92" spans="1:3" s="64" customFormat="1" ht="55.5" x14ac:dyDescent="0.2">
      <c r="A92" s="78" t="s">
        <v>138</v>
      </c>
      <c r="B92" s="54" t="s">
        <v>139</v>
      </c>
      <c r="C92" s="81">
        <f>[7]С3!F23</f>
        <v>3.0000000000000001E-3</v>
      </c>
    </row>
    <row r="93" spans="1:3" s="64" customFormat="1" ht="27.75" thickBot="1" x14ac:dyDescent="0.25">
      <c r="A93" s="82" t="s">
        <v>140</v>
      </c>
      <c r="B93" s="83" t="s">
        <v>141</v>
      </c>
      <c r="C93" s="84">
        <f>[7]С3!F24</f>
        <v>1598.6279958476514</v>
      </c>
    </row>
    <row r="94" spans="1:3" ht="13.5" thickBot="1" x14ac:dyDescent="0.25">
      <c r="A94" s="48"/>
      <c r="B94" s="76"/>
      <c r="C94" s="15"/>
    </row>
    <row r="95" spans="1:3" ht="30" customHeight="1" x14ac:dyDescent="0.2">
      <c r="A95" s="85" t="s">
        <v>142</v>
      </c>
      <c r="B95" s="142" t="s">
        <v>143</v>
      </c>
      <c r="C95" s="142"/>
    </row>
    <row r="96" spans="1:3" ht="30" x14ac:dyDescent="0.2">
      <c r="A96" s="60" t="s">
        <v>144</v>
      </c>
      <c r="B96" s="34" t="s">
        <v>145</v>
      </c>
      <c r="C96" s="35">
        <f>[7]С4!F16</f>
        <v>1652.5</v>
      </c>
    </row>
    <row r="97" spans="1:3" ht="30" x14ac:dyDescent="0.2">
      <c r="A97" s="60" t="s">
        <v>146</v>
      </c>
      <c r="B97" s="59" t="s">
        <v>147</v>
      </c>
      <c r="C97" s="35">
        <f>[7]С4!F17</f>
        <v>73547</v>
      </c>
    </row>
    <row r="98" spans="1:3" ht="33" x14ac:dyDescent="0.2">
      <c r="A98" s="60" t="s">
        <v>148</v>
      </c>
      <c r="B98" s="59" t="s">
        <v>149</v>
      </c>
      <c r="C98" s="41">
        <f>[7]С4!F18</f>
        <v>0.02</v>
      </c>
    </row>
    <row r="99" spans="1:3" ht="30" x14ac:dyDescent="0.2">
      <c r="A99" s="60" t="s">
        <v>150</v>
      </c>
      <c r="B99" s="59" t="s">
        <v>151</v>
      </c>
      <c r="C99" s="35">
        <f>[7]С4!F19</f>
        <v>12104</v>
      </c>
    </row>
    <row r="100" spans="1:3" ht="28.5" x14ac:dyDescent="0.2">
      <c r="A100" s="60" t="s">
        <v>152</v>
      </c>
      <c r="B100" s="59" t="s">
        <v>153</v>
      </c>
      <c r="C100" s="41">
        <f>[7]С4!F20</f>
        <v>1.4999999999999999E-2</v>
      </c>
    </row>
    <row r="101" spans="1:3" ht="30" x14ac:dyDescent="0.2">
      <c r="A101" s="60" t="s">
        <v>154</v>
      </c>
      <c r="B101" s="34" t="s">
        <v>155</v>
      </c>
      <c r="C101" s="35">
        <f>[7]С4!F21</f>
        <v>1933.1949342509995</v>
      </c>
    </row>
    <row r="102" spans="1:3" ht="24" customHeight="1" x14ac:dyDescent="0.2">
      <c r="A102" s="60" t="s">
        <v>156</v>
      </c>
      <c r="B102" s="54" t="s">
        <v>157</v>
      </c>
      <c r="C102" s="86">
        <f>IF([7]С4.2!F8="да",[7]С4.2!D21,[7]С4.2!D15)</f>
        <v>0</v>
      </c>
    </row>
    <row r="103" spans="1:3" ht="68.25" x14ac:dyDescent="0.2">
      <c r="A103" s="60" t="s">
        <v>158</v>
      </c>
      <c r="B103" s="54" t="s">
        <v>159</v>
      </c>
      <c r="C103" s="35">
        <f>[7]С4!F22</f>
        <v>3.6112641666666665</v>
      </c>
    </row>
    <row r="104" spans="1:3" ht="30" x14ac:dyDescent="0.2">
      <c r="A104" s="60" t="s">
        <v>160</v>
      </c>
      <c r="B104" s="59" t="s">
        <v>161</v>
      </c>
      <c r="C104" s="35">
        <f>[7]С4!F23</f>
        <v>180</v>
      </c>
    </row>
    <row r="105" spans="1:3" ht="14.25" x14ac:dyDescent="0.2">
      <c r="A105" s="60" t="s">
        <v>162</v>
      </c>
      <c r="B105" s="54" t="s">
        <v>163</v>
      </c>
      <c r="C105" s="35">
        <f>[7]С4!F24</f>
        <v>8497.1999999999989</v>
      </c>
    </row>
    <row r="106" spans="1:3" ht="14.25" x14ac:dyDescent="0.2">
      <c r="A106" s="60" t="s">
        <v>164</v>
      </c>
      <c r="B106" s="59" t="s">
        <v>165</v>
      </c>
      <c r="C106" s="41">
        <f>[7]С4!F25</f>
        <v>0.35</v>
      </c>
    </row>
    <row r="107" spans="1:3" ht="17.25" x14ac:dyDescent="0.2">
      <c r="A107" s="60" t="s">
        <v>166</v>
      </c>
      <c r="B107" s="34" t="s">
        <v>167</v>
      </c>
      <c r="C107" s="35">
        <f>[7]С4!F26</f>
        <v>103.21272500000002</v>
      </c>
    </row>
    <row r="108" spans="1:3" ht="25.5" x14ac:dyDescent="0.2">
      <c r="A108" s="60" t="s">
        <v>168</v>
      </c>
      <c r="B108" s="54" t="s">
        <v>95</v>
      </c>
      <c r="C108" s="86">
        <f>[7]С4.3!E16</f>
        <v>0</v>
      </c>
    </row>
    <row r="109" spans="1:3" ht="25.5" x14ac:dyDescent="0.2">
      <c r="A109" s="60" t="s">
        <v>169</v>
      </c>
      <c r="B109" s="54" t="s">
        <v>170</v>
      </c>
      <c r="C109" s="35">
        <f>[7]С4.3!E17</f>
        <v>27.041666666666671</v>
      </c>
    </row>
    <row r="110" spans="1:3" ht="38.25" x14ac:dyDescent="0.2">
      <c r="A110" s="60" t="s">
        <v>171</v>
      </c>
      <c r="B110" s="54" t="s">
        <v>107</v>
      </c>
      <c r="C110" s="86">
        <f>[7]С4.3!E18</f>
        <v>0</v>
      </c>
    </row>
    <row r="111" spans="1:3" x14ac:dyDescent="0.2">
      <c r="A111" s="60" t="s">
        <v>172</v>
      </c>
      <c r="B111" s="54" t="s">
        <v>173</v>
      </c>
      <c r="C111" s="35">
        <f>[7]С4.3!E19</f>
        <v>41.06666666666667</v>
      </c>
    </row>
    <row r="112" spans="1:3" x14ac:dyDescent="0.2">
      <c r="A112" s="60" t="s">
        <v>174</v>
      </c>
      <c r="B112" s="59" t="s">
        <v>175</v>
      </c>
      <c r="C112" s="35">
        <f>[7]С4.3!E11</f>
        <v>1871</v>
      </c>
    </row>
    <row r="113" spans="1:3" x14ac:dyDescent="0.2">
      <c r="A113" s="60" t="s">
        <v>176</v>
      </c>
      <c r="B113" s="59" t="s">
        <v>177</v>
      </c>
      <c r="C113" s="53">
        <f>[7]С4.3!E12</f>
        <v>1636</v>
      </c>
    </row>
    <row r="114" spans="1:3" x14ac:dyDescent="0.2">
      <c r="A114" s="60" t="s">
        <v>178</v>
      </c>
      <c r="B114" s="59" t="s">
        <v>179</v>
      </c>
      <c r="C114" s="53">
        <f>[7]С4.3!E13</f>
        <v>204</v>
      </c>
    </row>
    <row r="115" spans="1:3" ht="30" x14ac:dyDescent="0.2">
      <c r="A115" s="60" t="s">
        <v>180</v>
      </c>
      <c r="B115" s="34" t="s">
        <v>181</v>
      </c>
      <c r="C115" s="35">
        <f>[7]С4!F27</f>
        <v>1413.5806587229636</v>
      </c>
    </row>
    <row r="116" spans="1:3" ht="25.5" x14ac:dyDescent="0.2">
      <c r="A116" s="60" t="s">
        <v>182</v>
      </c>
      <c r="B116" s="54" t="s">
        <v>183</v>
      </c>
      <c r="C116" s="35">
        <f>[7]С4!F28</f>
        <v>1085.6994306627985</v>
      </c>
    </row>
    <row r="117" spans="1:3" ht="42.75" x14ac:dyDescent="0.2">
      <c r="A117" s="60" t="s">
        <v>184</v>
      </c>
      <c r="B117" s="54" t="s">
        <v>185</v>
      </c>
      <c r="C117" s="35">
        <f>[7]С4!F29</f>
        <v>327.8812280601652</v>
      </c>
    </row>
    <row r="118" spans="1:3" ht="30" x14ac:dyDescent="0.2">
      <c r="A118" s="60" t="s">
        <v>186</v>
      </c>
      <c r="B118" s="40" t="s">
        <v>187</v>
      </c>
      <c r="C118" s="35">
        <f>[7]С4!F30</f>
        <v>2118.6757642047546</v>
      </c>
    </row>
    <row r="119" spans="1:3" ht="42.75" x14ac:dyDescent="0.2">
      <c r="A119" s="60" t="s">
        <v>188</v>
      </c>
      <c r="B119" s="87" t="s">
        <v>189</v>
      </c>
      <c r="C119" s="35">
        <f>[7]С4!F33</f>
        <v>1374.0280021926758</v>
      </c>
    </row>
    <row r="120" spans="1:3" ht="30" x14ac:dyDescent="0.2">
      <c r="A120" s="60" t="s">
        <v>190</v>
      </c>
      <c r="B120" s="88" t="s">
        <v>191</v>
      </c>
      <c r="C120" s="35">
        <f>[7]С4!F35</f>
        <v>17.040680999999999</v>
      </c>
    </row>
    <row r="121" spans="1:3" ht="14.25" x14ac:dyDescent="0.2">
      <c r="A121" s="60" t="s">
        <v>192</v>
      </c>
      <c r="B121" s="57" t="s">
        <v>193</v>
      </c>
      <c r="C121" s="35">
        <f>[7]С4!F36</f>
        <v>14319.9</v>
      </c>
    </row>
    <row r="122" spans="1:3" ht="28.5" thickBot="1" x14ac:dyDescent="0.25">
      <c r="A122" s="73" t="s">
        <v>194</v>
      </c>
      <c r="B122" s="89" t="s">
        <v>195</v>
      </c>
      <c r="C122" s="84">
        <f>[7]С4!F37</f>
        <v>1.19</v>
      </c>
    </row>
    <row r="123" spans="1:3" s="90" customFormat="1" ht="13.5" thickBot="1" x14ac:dyDescent="0.25">
      <c r="A123" s="48"/>
      <c r="B123" s="76"/>
      <c r="C123" s="15"/>
    </row>
    <row r="124" spans="1:3" s="64" customFormat="1" ht="30" customHeight="1" x14ac:dyDescent="0.2">
      <c r="A124" s="77" t="s">
        <v>196</v>
      </c>
      <c r="B124" s="142" t="s">
        <v>197</v>
      </c>
      <c r="C124" s="142"/>
    </row>
    <row r="125" spans="1:3" ht="16.5" thickBot="1" x14ac:dyDescent="0.25">
      <c r="A125" s="27" t="s">
        <v>198</v>
      </c>
      <c r="B125" s="91" t="s">
        <v>199</v>
      </c>
      <c r="C125" s="84">
        <f>[7]С5!F17</f>
        <v>0.02</v>
      </c>
    </row>
    <row r="126" spans="1:3" s="90" customFormat="1" ht="13.5" thickBot="1" x14ac:dyDescent="0.25">
      <c r="A126" s="48"/>
      <c r="B126" s="76"/>
      <c r="C126" s="15"/>
    </row>
    <row r="127" spans="1:3" ht="42.75" customHeight="1" x14ac:dyDescent="0.2">
      <c r="A127" s="85" t="s">
        <v>200</v>
      </c>
      <c r="B127" s="143" t="s">
        <v>201</v>
      </c>
      <c r="C127" s="143"/>
    </row>
    <row r="128" spans="1:3" ht="68.25" x14ac:dyDescent="0.2">
      <c r="A128" s="60" t="s">
        <v>202</v>
      </c>
      <c r="B128" s="92" t="s">
        <v>203</v>
      </c>
      <c r="C128" s="35" t="s">
        <v>204</v>
      </c>
    </row>
    <row r="129" spans="1:4" ht="42.75" hidden="1" x14ac:dyDescent="0.2">
      <c r="A129" s="60" t="s">
        <v>205</v>
      </c>
      <c r="B129" s="87" t="s">
        <v>206</v>
      </c>
      <c r="C129" s="93"/>
    </row>
    <row r="130" spans="1:4" ht="69" thickBot="1" x14ac:dyDescent="0.25">
      <c r="A130" s="73" t="s">
        <v>207</v>
      </c>
      <c r="B130" s="94" t="s">
        <v>208</v>
      </c>
      <c r="C130" s="95" t="s">
        <v>204</v>
      </c>
    </row>
    <row r="131" spans="1:4" ht="62.25" hidden="1" customHeight="1" x14ac:dyDescent="0.2">
      <c r="A131" s="96" t="s">
        <v>209</v>
      </c>
      <c r="B131" s="97" t="s">
        <v>210</v>
      </c>
      <c r="C131" s="98"/>
    </row>
    <row r="132" spans="1:4" ht="68.25" hidden="1" x14ac:dyDescent="0.2">
      <c r="A132" s="60" t="s">
        <v>211</v>
      </c>
      <c r="B132" s="87" t="s">
        <v>212</v>
      </c>
      <c r="C132" s="36"/>
    </row>
    <row r="133" spans="1:4" ht="69" hidden="1" thickBot="1" x14ac:dyDescent="0.25">
      <c r="A133" s="73" t="s">
        <v>213</v>
      </c>
      <c r="B133" s="99" t="s">
        <v>214</v>
      </c>
      <c r="C133" s="75"/>
    </row>
    <row r="134" spans="1:4" s="90" customFormat="1" ht="13.5" thickBot="1" x14ac:dyDescent="0.25">
      <c r="A134" s="48"/>
      <c r="B134" s="76"/>
      <c r="C134" s="15"/>
    </row>
    <row r="135" spans="1:4" ht="26.25" customHeight="1" x14ac:dyDescent="0.2">
      <c r="A135" s="85" t="s">
        <v>215</v>
      </c>
      <c r="B135" s="100" t="s">
        <v>216</v>
      </c>
      <c r="C135" s="101">
        <f>[7]С2!F37</f>
        <v>20.818139999999996</v>
      </c>
    </row>
    <row r="136" spans="1:4" ht="14.25" x14ac:dyDescent="0.2">
      <c r="A136" s="60" t="s">
        <v>217</v>
      </c>
      <c r="B136" s="102" t="s">
        <v>218</v>
      </c>
      <c r="C136" s="35">
        <f>[7]С2!F38</f>
        <v>7</v>
      </c>
    </row>
    <row r="137" spans="1:4" ht="17.25" x14ac:dyDescent="0.2">
      <c r="A137" s="60" t="s">
        <v>219</v>
      </c>
      <c r="B137" s="102" t="s">
        <v>220</v>
      </c>
      <c r="C137" s="35">
        <f>[7]С2!F40</f>
        <v>0.97</v>
      </c>
    </row>
    <row r="138" spans="1:4" ht="15" thickBot="1" x14ac:dyDescent="0.25">
      <c r="A138" s="73" t="s">
        <v>221</v>
      </c>
      <c r="B138" s="103" t="s">
        <v>222</v>
      </c>
      <c r="C138" s="47">
        <f>[7]С2!F42</f>
        <v>0.35</v>
      </c>
    </row>
    <row r="139" spans="1:4" s="90" customFormat="1" ht="13.5" thickBot="1" x14ac:dyDescent="0.25">
      <c r="A139" s="48"/>
      <c r="B139" s="76"/>
      <c r="C139" s="15"/>
    </row>
    <row r="140" spans="1:4" ht="30" x14ac:dyDescent="0.2">
      <c r="A140" s="85" t="s">
        <v>223</v>
      </c>
      <c r="B140" s="104" t="s">
        <v>224</v>
      </c>
      <c r="C140" s="105">
        <f>[7]С2!F35</f>
        <v>1.3822747209000001</v>
      </c>
      <c r="D140" s="90"/>
    </row>
    <row r="141" spans="1:4" ht="22.7" customHeight="1" thickBot="1" x14ac:dyDescent="0.25">
      <c r="A141" s="73" t="s">
        <v>225</v>
      </c>
      <c r="B141" s="141" t="s">
        <v>226</v>
      </c>
      <c r="C141" s="141"/>
      <c r="D141" s="90"/>
    </row>
    <row r="142" spans="1:4" ht="13.5" thickBot="1" x14ac:dyDescent="0.25">
      <c r="A142" s="106"/>
      <c r="B142" s="107" t="s">
        <v>0</v>
      </c>
      <c r="C142" s="108"/>
      <c r="D142" s="90"/>
    </row>
    <row r="143" spans="1:4" x14ac:dyDescent="0.2">
      <c r="A143" s="106"/>
      <c r="B143" s="109">
        <v>2020</v>
      </c>
      <c r="C143" s="110">
        <f>[7]С2.5!$E$11</f>
        <v>-2.9000000000000026E-2</v>
      </c>
      <c r="D143" s="90"/>
    </row>
    <row r="144" spans="1:4" x14ac:dyDescent="0.2">
      <c r="A144" s="106"/>
      <c r="B144" s="111">
        <f>B143+1</f>
        <v>2021</v>
      </c>
      <c r="C144" s="112">
        <f>[7]С2.5!$F$11</f>
        <v>0.245</v>
      </c>
      <c r="D144" s="90"/>
    </row>
    <row r="145" spans="1:4" x14ac:dyDescent="0.2">
      <c r="A145" s="106"/>
      <c r="B145" s="111">
        <f t="shared" ref="B145:B208" si="0">B144+1</f>
        <v>2022</v>
      </c>
      <c r="C145" s="112">
        <f>[7]С2.5!$G$11</f>
        <v>0.121</v>
      </c>
      <c r="D145" s="90"/>
    </row>
    <row r="146" spans="1:4" ht="13.5" thickBot="1" x14ac:dyDescent="0.25">
      <c r="A146" s="106"/>
      <c r="B146" s="113">
        <f t="shared" si="0"/>
        <v>2023</v>
      </c>
      <c r="C146" s="114">
        <f>[7]С2.5!$H$11</f>
        <v>0.02</v>
      </c>
      <c r="D146" s="90"/>
    </row>
    <row r="147" spans="1:4" hidden="1" x14ac:dyDescent="0.2">
      <c r="A147" s="106"/>
      <c r="B147" s="115">
        <f t="shared" si="0"/>
        <v>2024</v>
      </c>
      <c r="C147" s="116">
        <f>[7]С2.5!$I$11</f>
        <v>-2.93E-2</v>
      </c>
      <c r="D147" s="90"/>
    </row>
    <row r="148" spans="1:4" hidden="1" x14ac:dyDescent="0.2">
      <c r="A148" s="106"/>
      <c r="B148" s="111">
        <f t="shared" si="0"/>
        <v>2025</v>
      </c>
      <c r="C148" s="112">
        <f>[7]С2.5!$J$11</f>
        <v>0.21215960863291</v>
      </c>
      <c r="D148" s="90"/>
    </row>
    <row r="149" spans="1:4" hidden="1" x14ac:dyDescent="0.2">
      <c r="A149" s="106"/>
      <c r="B149" s="111">
        <f t="shared" si="0"/>
        <v>2026</v>
      </c>
      <c r="C149" s="112">
        <f>[7]С2.5!$K$11</f>
        <v>3.5813361771260002E-2</v>
      </c>
      <c r="D149" s="90"/>
    </row>
    <row r="150" spans="1:4" hidden="1" x14ac:dyDescent="0.2">
      <c r="A150" s="106"/>
      <c r="B150" s="111">
        <f t="shared" si="0"/>
        <v>2027</v>
      </c>
      <c r="C150" s="112">
        <f>[7]С2.5!$L$11</f>
        <v>3.2682303599220003E-2</v>
      </c>
      <c r="D150" s="90"/>
    </row>
    <row r="151" spans="1:4" hidden="1" x14ac:dyDescent="0.2">
      <c r="A151" s="106"/>
      <c r="B151" s="111">
        <f t="shared" si="0"/>
        <v>2028</v>
      </c>
      <c r="C151" s="112">
        <f>[7]С2.5!$M$11</f>
        <v>0</v>
      </c>
      <c r="D151" s="90"/>
    </row>
    <row r="152" spans="1:4" hidden="1" x14ac:dyDescent="0.2">
      <c r="A152" s="106"/>
      <c r="B152" s="111">
        <f t="shared" si="0"/>
        <v>2029</v>
      </c>
      <c r="C152" s="112">
        <f>[7]С2.5!$N$11</f>
        <v>0</v>
      </c>
      <c r="D152" s="90"/>
    </row>
    <row r="153" spans="1:4" hidden="1" x14ac:dyDescent="0.2">
      <c r="A153" s="106"/>
      <c r="B153" s="111">
        <f t="shared" si="0"/>
        <v>2030</v>
      </c>
      <c r="C153" s="112">
        <f>[7]С2.5!$O$11</f>
        <v>0</v>
      </c>
      <c r="D153" s="90"/>
    </row>
    <row r="154" spans="1:4" hidden="1" x14ac:dyDescent="0.2">
      <c r="A154" s="106"/>
      <c r="B154" s="111">
        <f t="shared" si="0"/>
        <v>2031</v>
      </c>
      <c r="C154" s="112">
        <f>[7]С2.5!$P$11</f>
        <v>0</v>
      </c>
      <c r="D154" s="90"/>
    </row>
    <row r="155" spans="1:4" hidden="1" x14ac:dyDescent="0.2">
      <c r="A155" s="90"/>
      <c r="B155" s="111">
        <f t="shared" si="0"/>
        <v>2032</v>
      </c>
      <c r="C155" s="112">
        <f>[7]С2.5!$Q$11</f>
        <v>0</v>
      </c>
      <c r="D155" s="90"/>
    </row>
    <row r="156" spans="1:4" hidden="1" x14ac:dyDescent="0.2">
      <c r="A156" s="90"/>
      <c r="B156" s="111">
        <f t="shared" si="0"/>
        <v>2033</v>
      </c>
      <c r="C156" s="112">
        <f>[7]С2.5!$R$11</f>
        <v>0</v>
      </c>
      <c r="D156" s="90"/>
    </row>
    <row r="157" spans="1:4" hidden="1" x14ac:dyDescent="0.2">
      <c r="B157" s="111">
        <f t="shared" si="0"/>
        <v>2034</v>
      </c>
      <c r="C157" s="112">
        <f>[7]С2.5!$S$11</f>
        <v>0</v>
      </c>
    </row>
    <row r="158" spans="1:4" hidden="1" x14ac:dyDescent="0.2">
      <c r="B158" s="111">
        <f t="shared" si="0"/>
        <v>2035</v>
      </c>
      <c r="C158" s="112">
        <f>[7]С2.5!$T$11</f>
        <v>0</v>
      </c>
    </row>
    <row r="159" spans="1:4" hidden="1" x14ac:dyDescent="0.2">
      <c r="B159" s="111">
        <f t="shared" si="0"/>
        <v>2036</v>
      </c>
      <c r="C159" s="112">
        <f>[7]С2.5!$U$11</f>
        <v>0</v>
      </c>
    </row>
    <row r="160" spans="1:4" hidden="1" x14ac:dyDescent="0.2">
      <c r="B160" s="111">
        <f t="shared" si="0"/>
        <v>2037</v>
      </c>
      <c r="C160" s="112">
        <f>[7]С2.5!$V$11</f>
        <v>0</v>
      </c>
    </row>
    <row r="161" spans="2:3" hidden="1" x14ac:dyDescent="0.2">
      <c r="B161" s="111">
        <f t="shared" si="0"/>
        <v>2038</v>
      </c>
      <c r="C161" s="112">
        <f>[7]С2.5!$W$11</f>
        <v>0</v>
      </c>
    </row>
    <row r="162" spans="2:3" hidden="1" x14ac:dyDescent="0.2">
      <c r="B162" s="111">
        <f t="shared" si="0"/>
        <v>2039</v>
      </c>
      <c r="C162" s="112">
        <f>[7]С2.5!$X$11</f>
        <v>0</v>
      </c>
    </row>
    <row r="163" spans="2:3" hidden="1" x14ac:dyDescent="0.2">
      <c r="B163" s="111">
        <f t="shared" si="0"/>
        <v>2040</v>
      </c>
      <c r="C163" s="112">
        <f>[7]С2.5!$Y$11</f>
        <v>0</v>
      </c>
    </row>
    <row r="164" spans="2:3" hidden="1" x14ac:dyDescent="0.2">
      <c r="B164" s="111">
        <f t="shared" si="0"/>
        <v>2041</v>
      </c>
      <c r="C164" s="112">
        <f>[7]С2.5!$Z$11</f>
        <v>0</v>
      </c>
    </row>
    <row r="165" spans="2:3" hidden="1" x14ac:dyDescent="0.2">
      <c r="B165" s="111">
        <f t="shared" si="0"/>
        <v>2042</v>
      </c>
      <c r="C165" s="112">
        <f>[7]С2.5!$AA$11</f>
        <v>0</v>
      </c>
    </row>
    <row r="166" spans="2:3" hidden="1" x14ac:dyDescent="0.2">
      <c r="B166" s="111">
        <f t="shared" si="0"/>
        <v>2043</v>
      </c>
      <c r="C166" s="112">
        <f>[7]С2.5!$AB$11</f>
        <v>0</v>
      </c>
    </row>
    <row r="167" spans="2:3" hidden="1" x14ac:dyDescent="0.2">
      <c r="B167" s="111">
        <f t="shared" si="0"/>
        <v>2044</v>
      </c>
      <c r="C167" s="112">
        <f>[7]С2.5!$AC$11</f>
        <v>0</v>
      </c>
    </row>
    <row r="168" spans="2:3" hidden="1" x14ac:dyDescent="0.2">
      <c r="B168" s="111">
        <f t="shared" si="0"/>
        <v>2045</v>
      </c>
      <c r="C168" s="112">
        <f>[7]С2.5!$AD$11</f>
        <v>0</v>
      </c>
    </row>
    <row r="169" spans="2:3" hidden="1" x14ac:dyDescent="0.2">
      <c r="B169" s="111">
        <f t="shared" si="0"/>
        <v>2046</v>
      </c>
      <c r="C169" s="112">
        <f>[7]С2.5!$AE$11</f>
        <v>0</v>
      </c>
    </row>
    <row r="170" spans="2:3" hidden="1" x14ac:dyDescent="0.2">
      <c r="B170" s="111">
        <f t="shared" si="0"/>
        <v>2047</v>
      </c>
      <c r="C170" s="112">
        <f>[7]С2.5!$AF$11</f>
        <v>0</v>
      </c>
    </row>
    <row r="171" spans="2:3" hidden="1" x14ac:dyDescent="0.2">
      <c r="B171" s="111">
        <f t="shared" si="0"/>
        <v>2048</v>
      </c>
      <c r="C171" s="112">
        <f>[7]С2.5!$AG$11</f>
        <v>0</v>
      </c>
    </row>
    <row r="172" spans="2:3" hidden="1" x14ac:dyDescent="0.2">
      <c r="B172" s="111">
        <f t="shared" si="0"/>
        <v>2049</v>
      </c>
      <c r="C172" s="112">
        <f>[7]С2.5!$AH$11</f>
        <v>0</v>
      </c>
    </row>
    <row r="173" spans="2:3" hidden="1" x14ac:dyDescent="0.2">
      <c r="B173" s="111">
        <f t="shared" si="0"/>
        <v>2050</v>
      </c>
      <c r="C173" s="112">
        <f>[7]С2.5!$AI$11</f>
        <v>0</v>
      </c>
    </row>
    <row r="174" spans="2:3" hidden="1" x14ac:dyDescent="0.2">
      <c r="B174" s="111">
        <f t="shared" si="0"/>
        <v>2051</v>
      </c>
      <c r="C174" s="112">
        <f>[7]С2.5!$AJ$11</f>
        <v>0</v>
      </c>
    </row>
    <row r="175" spans="2:3" hidden="1" x14ac:dyDescent="0.2">
      <c r="B175" s="111">
        <f t="shared" si="0"/>
        <v>2052</v>
      </c>
      <c r="C175" s="112">
        <f>[7]С2.5!$AK$11</f>
        <v>0</v>
      </c>
    </row>
    <row r="176" spans="2:3" hidden="1" x14ac:dyDescent="0.2">
      <c r="B176" s="111">
        <f t="shared" si="0"/>
        <v>2053</v>
      </c>
      <c r="C176" s="112">
        <f>[7]С2.5!$AL$11</f>
        <v>0</v>
      </c>
    </row>
    <row r="177" spans="2:3" hidden="1" x14ac:dyDescent="0.2">
      <c r="B177" s="111">
        <f t="shared" si="0"/>
        <v>2054</v>
      </c>
      <c r="C177" s="112">
        <f>[7]С2.5!$AM$11</f>
        <v>0</v>
      </c>
    </row>
    <row r="178" spans="2:3" hidden="1" x14ac:dyDescent="0.2">
      <c r="B178" s="111">
        <f t="shared" si="0"/>
        <v>2055</v>
      </c>
      <c r="C178" s="112">
        <f>[7]С2.5!$AN$11</f>
        <v>0</v>
      </c>
    </row>
    <row r="179" spans="2:3" hidden="1" x14ac:dyDescent="0.2">
      <c r="B179" s="111">
        <f t="shared" si="0"/>
        <v>2056</v>
      </c>
      <c r="C179" s="112">
        <f>[7]С2.5!$AO$11</f>
        <v>0</v>
      </c>
    </row>
    <row r="180" spans="2:3" hidden="1" x14ac:dyDescent="0.2">
      <c r="B180" s="111">
        <f t="shared" si="0"/>
        <v>2057</v>
      </c>
      <c r="C180" s="112">
        <f>[7]С2.5!$AP$11</f>
        <v>0</v>
      </c>
    </row>
    <row r="181" spans="2:3" hidden="1" x14ac:dyDescent="0.2">
      <c r="B181" s="111">
        <f t="shared" si="0"/>
        <v>2058</v>
      </c>
      <c r="C181" s="112">
        <f>[7]С2.5!$AQ$11</f>
        <v>0</v>
      </c>
    </row>
    <row r="182" spans="2:3" hidden="1" x14ac:dyDescent="0.2">
      <c r="B182" s="111">
        <f t="shared" si="0"/>
        <v>2059</v>
      </c>
      <c r="C182" s="112">
        <f>[7]С2.5!$AR$11</f>
        <v>0</v>
      </c>
    </row>
    <row r="183" spans="2:3" hidden="1" x14ac:dyDescent="0.2">
      <c r="B183" s="111">
        <f t="shared" si="0"/>
        <v>2060</v>
      </c>
      <c r="C183" s="112">
        <f>[7]С2.5!$AS$11</f>
        <v>0</v>
      </c>
    </row>
    <row r="184" spans="2:3" hidden="1" x14ac:dyDescent="0.2">
      <c r="B184" s="111">
        <f t="shared" si="0"/>
        <v>2061</v>
      </c>
      <c r="C184" s="112">
        <f>[7]С2.5!$AT$11</f>
        <v>0</v>
      </c>
    </row>
    <row r="185" spans="2:3" hidden="1" x14ac:dyDescent="0.2">
      <c r="B185" s="111">
        <f t="shared" si="0"/>
        <v>2062</v>
      </c>
      <c r="C185" s="112">
        <f>[7]С2.5!$AU$11</f>
        <v>0</v>
      </c>
    </row>
    <row r="186" spans="2:3" hidden="1" x14ac:dyDescent="0.2">
      <c r="B186" s="111">
        <f t="shared" si="0"/>
        <v>2063</v>
      </c>
      <c r="C186" s="112">
        <f>[7]С2.5!$AV$11</f>
        <v>0</v>
      </c>
    </row>
    <row r="187" spans="2:3" hidden="1" x14ac:dyDescent="0.2">
      <c r="B187" s="111">
        <f t="shared" si="0"/>
        <v>2064</v>
      </c>
      <c r="C187" s="112">
        <f>[7]С2.5!$AW$11</f>
        <v>0</v>
      </c>
    </row>
    <row r="188" spans="2:3" hidden="1" x14ac:dyDescent="0.2">
      <c r="B188" s="111">
        <f t="shared" si="0"/>
        <v>2065</v>
      </c>
      <c r="C188" s="112">
        <f>[7]С2.5!$AX$11</f>
        <v>0</v>
      </c>
    </row>
    <row r="189" spans="2:3" hidden="1" x14ac:dyDescent="0.2">
      <c r="B189" s="111">
        <f t="shared" si="0"/>
        <v>2066</v>
      </c>
      <c r="C189" s="112">
        <f>[7]С2.5!$AY$11</f>
        <v>0</v>
      </c>
    </row>
    <row r="190" spans="2:3" hidden="1" x14ac:dyDescent="0.2">
      <c r="B190" s="111">
        <f t="shared" si="0"/>
        <v>2067</v>
      </c>
      <c r="C190" s="112">
        <f>[7]С2.5!$AZ$11</f>
        <v>0</v>
      </c>
    </row>
    <row r="191" spans="2:3" hidden="1" x14ac:dyDescent="0.2">
      <c r="B191" s="111">
        <f t="shared" si="0"/>
        <v>2068</v>
      </c>
      <c r="C191" s="112">
        <f>[7]С2.5!$BA$11</f>
        <v>0</v>
      </c>
    </row>
    <row r="192" spans="2:3" hidden="1" x14ac:dyDescent="0.2">
      <c r="B192" s="111">
        <f t="shared" si="0"/>
        <v>2069</v>
      </c>
      <c r="C192" s="112">
        <f>[7]С2.5!$BB$11</f>
        <v>0</v>
      </c>
    </row>
    <row r="193" spans="2:3" hidden="1" x14ac:dyDescent="0.2">
      <c r="B193" s="111">
        <f t="shared" si="0"/>
        <v>2070</v>
      </c>
      <c r="C193" s="112">
        <f>[7]С2.5!$BC$11</f>
        <v>0</v>
      </c>
    </row>
    <row r="194" spans="2:3" hidden="1" x14ac:dyDescent="0.2">
      <c r="B194" s="111">
        <f t="shared" si="0"/>
        <v>2071</v>
      </c>
      <c r="C194" s="112">
        <f>[7]С2.5!$BD$11</f>
        <v>0</v>
      </c>
    </row>
    <row r="195" spans="2:3" hidden="1" x14ac:dyDescent="0.2">
      <c r="B195" s="111">
        <f t="shared" si="0"/>
        <v>2072</v>
      </c>
      <c r="C195" s="112">
        <f>[7]С2.5!$BE$11</f>
        <v>0</v>
      </c>
    </row>
    <row r="196" spans="2:3" hidden="1" x14ac:dyDescent="0.2">
      <c r="B196" s="111">
        <f t="shared" si="0"/>
        <v>2073</v>
      </c>
      <c r="C196" s="112">
        <f>[7]С2.5!$BF$11</f>
        <v>0</v>
      </c>
    </row>
    <row r="197" spans="2:3" hidden="1" x14ac:dyDescent="0.2">
      <c r="B197" s="111">
        <f t="shared" si="0"/>
        <v>2074</v>
      </c>
      <c r="C197" s="112">
        <f>[7]С2.5!$BG$11</f>
        <v>0</v>
      </c>
    </row>
    <row r="198" spans="2:3" hidden="1" x14ac:dyDescent="0.2">
      <c r="B198" s="111">
        <f t="shared" si="0"/>
        <v>2075</v>
      </c>
      <c r="C198" s="112">
        <f>[7]С2.5!$BH$11</f>
        <v>0</v>
      </c>
    </row>
    <row r="199" spans="2:3" hidden="1" x14ac:dyDescent="0.2">
      <c r="B199" s="111">
        <f t="shared" si="0"/>
        <v>2076</v>
      </c>
      <c r="C199" s="112">
        <f>[7]С2.5!$BI$11</f>
        <v>0</v>
      </c>
    </row>
    <row r="200" spans="2:3" hidden="1" x14ac:dyDescent="0.2">
      <c r="B200" s="111">
        <f t="shared" si="0"/>
        <v>2077</v>
      </c>
      <c r="C200" s="112">
        <f>[7]С2.5!$BJ$11</f>
        <v>0</v>
      </c>
    </row>
    <row r="201" spans="2:3" hidden="1" x14ac:dyDescent="0.2">
      <c r="B201" s="111">
        <f t="shared" si="0"/>
        <v>2078</v>
      </c>
      <c r="C201" s="112">
        <f>[7]С2.5!$BK$11</f>
        <v>0</v>
      </c>
    </row>
    <row r="202" spans="2:3" hidden="1" x14ac:dyDescent="0.2">
      <c r="B202" s="111">
        <f t="shared" si="0"/>
        <v>2079</v>
      </c>
      <c r="C202" s="112">
        <f>[7]С2.5!$BL$11</f>
        <v>0</v>
      </c>
    </row>
    <row r="203" spans="2:3" hidden="1" x14ac:dyDescent="0.2">
      <c r="B203" s="111">
        <f t="shared" si="0"/>
        <v>2080</v>
      </c>
      <c r="C203" s="112">
        <f>[7]С2.5!$BM$11</f>
        <v>0</v>
      </c>
    </row>
    <row r="204" spans="2:3" hidden="1" x14ac:dyDescent="0.2">
      <c r="B204" s="111">
        <f t="shared" si="0"/>
        <v>2081</v>
      </c>
      <c r="C204" s="112">
        <f>[7]С2.5!$BN$11</f>
        <v>0</v>
      </c>
    </row>
    <row r="205" spans="2:3" hidden="1" x14ac:dyDescent="0.2">
      <c r="B205" s="111">
        <f t="shared" si="0"/>
        <v>2082</v>
      </c>
      <c r="C205" s="112">
        <f>[7]С2.5!$BO$11</f>
        <v>0</v>
      </c>
    </row>
    <row r="206" spans="2:3" hidden="1" x14ac:dyDescent="0.2">
      <c r="B206" s="111">
        <f t="shared" si="0"/>
        <v>2083</v>
      </c>
      <c r="C206" s="112">
        <f>[7]С2.5!$BP$11</f>
        <v>0</v>
      </c>
    </row>
    <row r="207" spans="2:3" hidden="1" x14ac:dyDescent="0.2">
      <c r="B207" s="111">
        <f t="shared" si="0"/>
        <v>2084</v>
      </c>
      <c r="C207" s="112">
        <f>[7]С2.5!$BQ$11</f>
        <v>0</v>
      </c>
    </row>
    <row r="208" spans="2:3" hidden="1" x14ac:dyDescent="0.2">
      <c r="B208" s="111">
        <f t="shared" si="0"/>
        <v>2085</v>
      </c>
      <c r="C208" s="112">
        <f>[7]С2.5!$BR$11</f>
        <v>0</v>
      </c>
    </row>
    <row r="209" spans="2:3" hidden="1" x14ac:dyDescent="0.2">
      <c r="B209" s="111">
        <f t="shared" ref="B209:B223" si="1">B208+1</f>
        <v>2086</v>
      </c>
      <c r="C209" s="112">
        <f>[7]С2.5!$BS$11</f>
        <v>0</v>
      </c>
    </row>
    <row r="210" spans="2:3" hidden="1" x14ac:dyDescent="0.2">
      <c r="B210" s="111">
        <f t="shared" si="1"/>
        <v>2087</v>
      </c>
      <c r="C210" s="112">
        <f>[7]С2.5!$BT$11</f>
        <v>0</v>
      </c>
    </row>
    <row r="211" spans="2:3" hidden="1" x14ac:dyDescent="0.2">
      <c r="B211" s="111">
        <f t="shared" si="1"/>
        <v>2088</v>
      </c>
      <c r="C211" s="112">
        <f>[7]С2.5!$BU$11</f>
        <v>0</v>
      </c>
    </row>
    <row r="212" spans="2:3" hidden="1" x14ac:dyDescent="0.2">
      <c r="B212" s="111">
        <f t="shared" si="1"/>
        <v>2089</v>
      </c>
      <c r="C212" s="112">
        <f>[7]С2.5!$BV$11</f>
        <v>0</v>
      </c>
    </row>
    <row r="213" spans="2:3" hidden="1" x14ac:dyDescent="0.2">
      <c r="B213" s="111">
        <f t="shared" si="1"/>
        <v>2090</v>
      </c>
      <c r="C213" s="112">
        <f>[7]С2.5!$BW$11</f>
        <v>0</v>
      </c>
    </row>
    <row r="214" spans="2:3" hidden="1" x14ac:dyDescent="0.2">
      <c r="B214" s="111">
        <f t="shared" si="1"/>
        <v>2091</v>
      </c>
      <c r="C214" s="112">
        <f>[7]С2.5!$BX$11</f>
        <v>0</v>
      </c>
    </row>
    <row r="215" spans="2:3" hidden="1" x14ac:dyDescent="0.2">
      <c r="B215" s="111">
        <f t="shared" si="1"/>
        <v>2092</v>
      </c>
      <c r="C215" s="112">
        <f>[7]С2.5!$BY$11</f>
        <v>0</v>
      </c>
    </row>
    <row r="216" spans="2:3" hidden="1" x14ac:dyDescent="0.2">
      <c r="B216" s="111">
        <f t="shared" si="1"/>
        <v>2093</v>
      </c>
      <c r="C216" s="112">
        <f>[7]С2.5!$BZ$11</f>
        <v>0</v>
      </c>
    </row>
    <row r="217" spans="2:3" hidden="1" x14ac:dyDescent="0.2">
      <c r="B217" s="111">
        <f t="shared" si="1"/>
        <v>2094</v>
      </c>
      <c r="C217" s="112">
        <f>[7]С2.5!$CA$11</f>
        <v>0</v>
      </c>
    </row>
    <row r="218" spans="2:3" hidden="1" x14ac:dyDescent="0.2">
      <c r="B218" s="111">
        <f t="shared" si="1"/>
        <v>2095</v>
      </c>
      <c r="C218" s="112">
        <f>[7]С2.5!$CB$11</f>
        <v>0</v>
      </c>
    </row>
    <row r="219" spans="2:3" hidden="1" x14ac:dyDescent="0.2">
      <c r="B219" s="111">
        <f t="shared" si="1"/>
        <v>2096</v>
      </c>
      <c r="C219" s="112">
        <f>[7]С2.5!$CC$11</f>
        <v>0</v>
      </c>
    </row>
    <row r="220" spans="2:3" hidden="1" x14ac:dyDescent="0.2">
      <c r="B220" s="111">
        <f t="shared" si="1"/>
        <v>2097</v>
      </c>
      <c r="C220" s="112">
        <f>[7]С2.5!$CD$11</f>
        <v>0</v>
      </c>
    </row>
    <row r="221" spans="2:3" hidden="1" x14ac:dyDescent="0.2">
      <c r="B221" s="111">
        <f t="shared" si="1"/>
        <v>2098</v>
      </c>
      <c r="C221" s="112">
        <f>[7]С2.5!$CE$11</f>
        <v>0</v>
      </c>
    </row>
    <row r="222" spans="2:3" hidden="1" x14ac:dyDescent="0.2">
      <c r="B222" s="111">
        <f t="shared" si="1"/>
        <v>2099</v>
      </c>
      <c r="C222" s="112">
        <f>[7]С2.5!$CF$11</f>
        <v>0</v>
      </c>
    </row>
    <row r="223" spans="2:3" ht="13.5" hidden="1" thickBot="1" x14ac:dyDescent="0.25">
      <c r="B223" s="113">
        <f t="shared" si="1"/>
        <v>2100</v>
      </c>
      <c r="C223" s="114">
        <f>[7]С2.5!$CG$11</f>
        <v>0</v>
      </c>
    </row>
    <row r="224" spans="2:3" hidden="1" x14ac:dyDescent="0.2">
      <c r="C224" s="117"/>
    </row>
    <row r="225" spans="3:3" hidden="1" x14ac:dyDescent="0.2">
      <c r="C225" s="117"/>
    </row>
    <row r="226" spans="3:3" x14ac:dyDescent="0.2">
      <c r="C226" s="117"/>
    </row>
  </sheetData>
  <mergeCells count="9">
    <mergeCell ref="B1:C1"/>
    <mergeCell ref="A14:C14"/>
    <mergeCell ref="B27:C27"/>
    <mergeCell ref="B141:C141"/>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6]!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mc:AlternateContent xmlns:mc="http://schemas.openxmlformats.org/markup-compatibility/2006">
          <mc:Choice Requires="x14">
            <control shapeId="5122" r:id="rId5" name="Button 2">
              <controlPr defaultSize="0" print="0" autoFill="0" autoPict="0" macro="[7]!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226"/>
  <sheetViews>
    <sheetView zoomScale="85" zoomScaleNormal="85" workbookViewId="0">
      <pane ySplit="8" topLeftCell="A9" activePane="bottomLeft" state="frozen"/>
      <selection pane="bottomLeft" activeCell="C17" sqref="C17"/>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44" t="s">
        <v>1</v>
      </c>
      <c r="C1" s="144"/>
    </row>
    <row r="2" spans="1:3" x14ac:dyDescent="0.2">
      <c r="A2" s="3"/>
      <c r="B2" s="4" t="s">
        <v>2</v>
      </c>
      <c r="C2" s="5">
        <f ca="1">TODAY()</f>
        <v>44944</v>
      </c>
    </row>
    <row r="3" spans="1:3" x14ac:dyDescent="0.2">
      <c r="A3" s="3"/>
      <c r="B3" s="6" t="s">
        <v>3</v>
      </c>
    </row>
    <row r="4" spans="1:3" ht="25.5" x14ac:dyDescent="0.2">
      <c r="A4" s="8"/>
      <c r="B4" s="9" t="str">
        <f>[8]И1!D13</f>
        <v>Субъект Российской Федерации</v>
      </c>
      <c r="C4" s="10" t="str">
        <f>[8]И1!E13</f>
        <v>Новосибирская область</v>
      </c>
    </row>
    <row r="5" spans="1:3" ht="38.25" x14ac:dyDescent="0.2">
      <c r="A5" s="8"/>
      <c r="B5" s="9" t="str">
        <f>[8]И1!D14</f>
        <v>Тип муниципального образования (выберите из списка)</v>
      </c>
      <c r="C5" s="10" t="str">
        <f>[8]И1!E14</f>
        <v>село Борково, Маслянинский муниципальный район</v>
      </c>
    </row>
    <row r="6" spans="1:3" x14ac:dyDescent="0.2">
      <c r="A6" s="8"/>
      <c r="B6" s="9" t="str">
        <f>IF([8]И1!E15="","",[8]И1!D15)</f>
        <v/>
      </c>
      <c r="C6" s="10" t="str">
        <f>IF([8]И1!E15="","",[8]И1!E15)</f>
        <v/>
      </c>
    </row>
    <row r="7" spans="1:3" x14ac:dyDescent="0.2">
      <c r="A7" s="8"/>
      <c r="B7" s="9" t="str">
        <f>[8]И1!D16</f>
        <v>Код ОКТМО</v>
      </c>
      <c r="C7" s="11" t="str">
        <f>[8]И1!E16</f>
        <v>50636413101</v>
      </c>
    </row>
    <row r="8" spans="1:3" x14ac:dyDescent="0.2">
      <c r="A8" s="8"/>
      <c r="B8" s="12" t="str">
        <f>[8]И1!D17</f>
        <v>Система теплоснабжения</v>
      </c>
      <c r="C8" s="13">
        <f>[8]И1!E17</f>
        <v>0</v>
      </c>
    </row>
    <row r="9" spans="1:3" x14ac:dyDescent="0.2">
      <c r="A9" s="8"/>
      <c r="B9" s="9" t="str">
        <f>[8]И1!D8</f>
        <v>Период регулирования (i)-й</v>
      </c>
      <c r="C9" s="14">
        <f>[8]И1!E8</f>
        <v>2023</v>
      </c>
    </row>
    <row r="10" spans="1:3" x14ac:dyDescent="0.2">
      <c r="A10" s="8"/>
      <c r="B10" s="9" t="str">
        <f>[8]И1!D9</f>
        <v>Период регулирования (i-1)-й</v>
      </c>
      <c r="C10" s="14">
        <f>[8]И1!E9</f>
        <v>2022</v>
      </c>
    </row>
    <row r="11" spans="1:3" x14ac:dyDescent="0.2">
      <c r="A11" s="8"/>
      <c r="B11" s="9" t="str">
        <f>[8]И1!D10</f>
        <v>Период регулирования (i-2)-й</v>
      </c>
      <c r="C11" s="14">
        <f>[8]И1!E10</f>
        <v>2021</v>
      </c>
    </row>
    <row r="12" spans="1:3" x14ac:dyDescent="0.2">
      <c r="A12" s="8"/>
      <c r="B12" s="9" t="str">
        <f>[8]И1!D11</f>
        <v>Базовый год (б)</v>
      </c>
      <c r="C12" s="14">
        <f>[8]И1!E11</f>
        <v>2019</v>
      </c>
    </row>
    <row r="13" spans="1:3" ht="38.25" x14ac:dyDescent="0.2">
      <c r="A13" s="8"/>
      <c r="B13" s="9" t="str">
        <f>[8]И1!D18</f>
        <v>Вид топлива, использование которого преобладает в системе теплоснабжения</v>
      </c>
      <c r="C13" s="15" t="str">
        <f>[8]С1.1!E13</f>
        <v>уголь (вид угля не указан в топливном балансе)</v>
      </c>
    </row>
    <row r="14" spans="1:3" ht="31.7" customHeight="1" thickBot="1" x14ac:dyDescent="0.25">
      <c r="A14" s="145" t="s">
        <v>4</v>
      </c>
      <c r="B14" s="145"/>
      <c r="C14" s="145"/>
    </row>
    <row r="15" spans="1:3" x14ac:dyDescent="0.2">
      <c r="A15" s="16" t="s">
        <v>5</v>
      </c>
      <c r="B15" s="17" t="s">
        <v>6</v>
      </c>
      <c r="C15" s="18" t="s">
        <v>7</v>
      </c>
    </row>
    <row r="16" spans="1:3" x14ac:dyDescent="0.2">
      <c r="A16" s="19">
        <v>1</v>
      </c>
      <c r="B16" s="20">
        <v>2</v>
      </c>
      <c r="C16" s="21">
        <v>3</v>
      </c>
    </row>
    <row r="17" spans="1:3" x14ac:dyDescent="0.2">
      <c r="A17" s="22">
        <v>1</v>
      </c>
      <c r="B17" s="23" t="s">
        <v>8</v>
      </c>
      <c r="C17" s="24">
        <f>SUM(C18:C22)</f>
        <v>4065.5044201379187</v>
      </c>
    </row>
    <row r="18" spans="1:3" ht="42.75" x14ac:dyDescent="0.2">
      <c r="A18" s="22" t="s">
        <v>9</v>
      </c>
      <c r="B18" s="25" t="s">
        <v>10</v>
      </c>
      <c r="C18" s="26">
        <f>[8]С1!F12</f>
        <v>931.18468604281509</v>
      </c>
    </row>
    <row r="19" spans="1:3" ht="42.75" x14ac:dyDescent="0.2">
      <c r="A19" s="22" t="s">
        <v>11</v>
      </c>
      <c r="B19" s="25" t="s">
        <v>12</v>
      </c>
      <c r="C19" s="26">
        <f>[8]С2!F12</f>
        <v>2110.2454761302993</v>
      </c>
    </row>
    <row r="20" spans="1:3" ht="30" x14ac:dyDescent="0.2">
      <c r="A20" s="22" t="s">
        <v>13</v>
      </c>
      <c r="B20" s="25" t="s">
        <v>14</v>
      </c>
      <c r="C20" s="26">
        <f>[8]С3!F12</f>
        <v>504.95006339690781</v>
      </c>
    </row>
    <row r="21" spans="1:3" ht="42.75" x14ac:dyDescent="0.2">
      <c r="A21" s="22" t="s">
        <v>15</v>
      </c>
      <c r="B21" s="25" t="s">
        <v>16</v>
      </c>
      <c r="C21" s="26">
        <f>[8]С4!F12</f>
        <v>439.40842162401572</v>
      </c>
    </row>
    <row r="22" spans="1:3" ht="30" x14ac:dyDescent="0.2">
      <c r="A22" s="22" t="s">
        <v>17</v>
      </c>
      <c r="B22" s="25" t="s">
        <v>18</v>
      </c>
      <c r="C22" s="26">
        <f>[8]С5!F12</f>
        <v>79.715772943880765</v>
      </c>
    </row>
    <row r="23" spans="1:3" ht="43.5" thickBot="1" x14ac:dyDescent="0.25">
      <c r="A23" s="27" t="s">
        <v>19</v>
      </c>
      <c r="B23" s="28" t="s">
        <v>20</v>
      </c>
      <c r="C23" s="29" t="str">
        <f>[8]С6!F12</f>
        <v>-</v>
      </c>
    </row>
    <row r="24" spans="1:3" ht="13.5" thickBot="1" x14ac:dyDescent="0.25">
      <c r="A24" s="3"/>
    </row>
    <row r="25" spans="1:3" x14ac:dyDescent="0.2">
      <c r="A25" s="16" t="s">
        <v>5</v>
      </c>
      <c r="B25" s="30" t="s">
        <v>6</v>
      </c>
      <c r="C25" s="31" t="s">
        <v>7</v>
      </c>
    </row>
    <row r="26" spans="1:3" x14ac:dyDescent="0.2">
      <c r="A26" s="19">
        <v>1</v>
      </c>
      <c r="B26" s="32">
        <v>2</v>
      </c>
      <c r="C26" s="33">
        <v>3</v>
      </c>
    </row>
    <row r="27" spans="1:3" ht="30" customHeight="1" x14ac:dyDescent="0.2">
      <c r="A27" s="22">
        <v>1</v>
      </c>
      <c r="B27" s="146" t="s">
        <v>21</v>
      </c>
      <c r="C27" s="146"/>
    </row>
    <row r="28" spans="1:3" x14ac:dyDescent="0.2">
      <c r="A28" s="22" t="s">
        <v>9</v>
      </c>
      <c r="B28" s="34" t="s">
        <v>22</v>
      </c>
      <c r="C28" s="35">
        <f>[8]С1.1!E16</f>
        <v>5100</v>
      </c>
    </row>
    <row r="29" spans="1:3" ht="42.75" x14ac:dyDescent="0.2">
      <c r="A29" s="22" t="s">
        <v>11</v>
      </c>
      <c r="B29" s="34" t="s">
        <v>23</v>
      </c>
      <c r="C29" s="35">
        <f>[8]С1.1!E27</f>
        <v>2503.8000000000002</v>
      </c>
    </row>
    <row r="30" spans="1:3" ht="17.25" x14ac:dyDescent="0.2">
      <c r="A30" s="22" t="s">
        <v>13</v>
      </c>
      <c r="B30" s="34" t="s">
        <v>24</v>
      </c>
      <c r="C30" s="36">
        <f>[8]С1.1!E19</f>
        <v>0.59499999999999997</v>
      </c>
    </row>
    <row r="31" spans="1:3" ht="17.25" x14ac:dyDescent="0.2">
      <c r="A31" s="22" t="s">
        <v>15</v>
      </c>
      <c r="B31" s="34" t="s">
        <v>25</v>
      </c>
      <c r="C31" s="36">
        <f>[8]С1.1!E20</f>
        <v>-0.113</v>
      </c>
    </row>
    <row r="32" spans="1:3" ht="30" x14ac:dyDescent="0.2">
      <c r="A32" s="22" t="s">
        <v>17</v>
      </c>
      <c r="B32" s="37" t="s">
        <v>26</v>
      </c>
      <c r="C32" s="38">
        <f>[8]С1!F13</f>
        <v>176.4</v>
      </c>
    </row>
    <row r="33" spans="1:3" x14ac:dyDescent="0.2">
      <c r="A33" s="22" t="s">
        <v>19</v>
      </c>
      <c r="B33" s="37" t="s">
        <v>27</v>
      </c>
      <c r="C33" s="39">
        <f>[8]С1!F16</f>
        <v>7000</v>
      </c>
    </row>
    <row r="34" spans="1:3" ht="14.25" x14ac:dyDescent="0.2">
      <c r="A34" s="22" t="s">
        <v>28</v>
      </c>
      <c r="B34" s="40" t="s">
        <v>29</v>
      </c>
      <c r="C34" s="41">
        <f>[8]С1!F17</f>
        <v>0.72857142857142854</v>
      </c>
    </row>
    <row r="35" spans="1:3" ht="15.75" x14ac:dyDescent="0.2">
      <c r="A35" s="42" t="s">
        <v>30</v>
      </c>
      <c r="B35" s="43" t="s">
        <v>31</v>
      </c>
      <c r="C35" s="41">
        <f>[8]С1!F20</f>
        <v>21.588411179999994</v>
      </c>
    </row>
    <row r="36" spans="1:3" ht="15.75" x14ac:dyDescent="0.2">
      <c r="A36" s="42" t="s">
        <v>32</v>
      </c>
      <c r="B36" s="44" t="s">
        <v>33</v>
      </c>
      <c r="C36" s="41">
        <f>[8]С1!F21</f>
        <v>20.818139999999996</v>
      </c>
    </row>
    <row r="37" spans="1:3" ht="14.25" x14ac:dyDescent="0.2">
      <c r="A37" s="42" t="s">
        <v>34</v>
      </c>
      <c r="B37" s="45" t="s">
        <v>35</v>
      </c>
      <c r="C37" s="41">
        <f>[8]С1!F22</f>
        <v>1.0369999999999999</v>
      </c>
    </row>
    <row r="38" spans="1:3" ht="53.25" thickBot="1" x14ac:dyDescent="0.25">
      <c r="A38" s="27" t="s">
        <v>36</v>
      </c>
      <c r="B38" s="46" t="s">
        <v>37</v>
      </c>
      <c r="C38" s="47">
        <f>[8]С1!F23</f>
        <v>1.0469999999999999</v>
      </c>
    </row>
    <row r="39" spans="1:3" ht="13.5" thickBot="1" x14ac:dyDescent="0.25">
      <c r="A39" s="48"/>
      <c r="B39" s="49"/>
      <c r="C39" s="50"/>
    </row>
    <row r="40" spans="1:3" ht="30" customHeight="1" x14ac:dyDescent="0.2">
      <c r="A40" s="51" t="s">
        <v>38</v>
      </c>
      <c r="B40" s="142" t="s">
        <v>39</v>
      </c>
      <c r="C40" s="142"/>
    </row>
    <row r="41" spans="1:3" ht="25.5" x14ac:dyDescent="0.2">
      <c r="A41" s="22" t="s">
        <v>40</v>
      </c>
      <c r="B41" s="37" t="s">
        <v>41</v>
      </c>
      <c r="C41" s="52" t="str">
        <f>[8]С2.1!E12</f>
        <v>V</v>
      </c>
    </row>
    <row r="42" spans="1:3" ht="25.5" x14ac:dyDescent="0.2">
      <c r="A42" s="22" t="s">
        <v>42</v>
      </c>
      <c r="B42" s="34" t="s">
        <v>43</v>
      </c>
      <c r="C42" s="52" t="str">
        <f>[8]С2.1!E13</f>
        <v>6 и менее баллов</v>
      </c>
    </row>
    <row r="43" spans="1:3" ht="25.5" x14ac:dyDescent="0.2">
      <c r="A43" s="22" t="s">
        <v>44</v>
      </c>
      <c r="B43" s="34" t="s">
        <v>45</v>
      </c>
      <c r="C43" s="52" t="str">
        <f>[8]С2.1!E14</f>
        <v>от 200 до 500</v>
      </c>
    </row>
    <row r="44" spans="1:3" ht="25.5" x14ac:dyDescent="0.2">
      <c r="A44" s="22" t="s">
        <v>46</v>
      </c>
      <c r="B44" s="34" t="s">
        <v>47</v>
      </c>
      <c r="C44" s="53" t="str">
        <f>[8]С2.1!E15</f>
        <v>нет</v>
      </c>
    </row>
    <row r="45" spans="1:3" ht="30" x14ac:dyDescent="0.2">
      <c r="A45" s="22" t="s">
        <v>48</v>
      </c>
      <c r="B45" s="34" t="s">
        <v>49</v>
      </c>
      <c r="C45" s="35">
        <f>[8]С2!F18</f>
        <v>32402.627334033532</v>
      </c>
    </row>
    <row r="46" spans="1:3" ht="30" x14ac:dyDescent="0.2">
      <c r="A46" s="22" t="s">
        <v>50</v>
      </c>
      <c r="B46" s="54" t="s">
        <v>51</v>
      </c>
      <c r="C46" s="35">
        <f>IF([8]С2!F19&gt;0,[8]С2!F19,[8]С2!F20)</f>
        <v>23441.524932855718</v>
      </c>
    </row>
    <row r="47" spans="1:3" ht="25.5" x14ac:dyDescent="0.2">
      <c r="A47" s="22" t="s">
        <v>52</v>
      </c>
      <c r="B47" s="55" t="s">
        <v>53</v>
      </c>
      <c r="C47" s="35">
        <f>[8]С2.1!E19</f>
        <v>-37</v>
      </c>
    </row>
    <row r="48" spans="1:3" ht="25.5" x14ac:dyDescent="0.2">
      <c r="A48" s="22" t="s">
        <v>54</v>
      </c>
      <c r="B48" s="55" t="s">
        <v>55</v>
      </c>
      <c r="C48" s="35" t="str">
        <f>[8]С2.1!E22</f>
        <v>нет</v>
      </c>
    </row>
    <row r="49" spans="1:3" ht="38.25" x14ac:dyDescent="0.2">
      <c r="A49" s="22" t="s">
        <v>56</v>
      </c>
      <c r="B49" s="56" t="s">
        <v>57</v>
      </c>
      <c r="C49" s="35">
        <f>[8]С2.2!E10</f>
        <v>1287</v>
      </c>
    </row>
    <row r="50" spans="1:3" ht="25.5" x14ac:dyDescent="0.2">
      <c r="A50" s="22" t="s">
        <v>58</v>
      </c>
      <c r="B50" s="57" t="s">
        <v>59</v>
      </c>
      <c r="C50" s="35">
        <f>[8]С2.2!E12</f>
        <v>5.97</v>
      </c>
    </row>
    <row r="51" spans="1:3" ht="52.5" x14ac:dyDescent="0.2">
      <c r="A51" s="22" t="s">
        <v>60</v>
      </c>
      <c r="B51" s="58" t="s">
        <v>61</v>
      </c>
      <c r="C51" s="35">
        <f>[8]С2.2!E13</f>
        <v>1</v>
      </c>
    </row>
    <row r="52" spans="1:3" ht="27.75" x14ac:dyDescent="0.2">
      <c r="A52" s="22" t="s">
        <v>62</v>
      </c>
      <c r="B52" s="57" t="s">
        <v>63</v>
      </c>
      <c r="C52" s="35">
        <f>[8]С2.2!E14</f>
        <v>12104</v>
      </c>
    </row>
    <row r="53" spans="1:3" ht="25.5" x14ac:dyDescent="0.2">
      <c r="A53" s="22" t="s">
        <v>64</v>
      </c>
      <c r="B53" s="58" t="s">
        <v>65</v>
      </c>
      <c r="C53" s="36">
        <f>[8]С2.2!E15</f>
        <v>4.8000000000000001E-2</v>
      </c>
    </row>
    <row r="54" spans="1:3" x14ac:dyDescent="0.2">
      <c r="A54" s="22" t="s">
        <v>66</v>
      </c>
      <c r="B54" s="58" t="s">
        <v>67</v>
      </c>
      <c r="C54" s="35">
        <f>[8]С2.2!E16</f>
        <v>1</v>
      </c>
    </row>
    <row r="55" spans="1:3" ht="15.75" x14ac:dyDescent="0.2">
      <c r="A55" s="22" t="s">
        <v>68</v>
      </c>
      <c r="B55" s="59" t="s">
        <v>69</v>
      </c>
      <c r="C55" s="35">
        <f>[8]С2!F21</f>
        <v>1</v>
      </c>
    </row>
    <row r="56" spans="1:3" ht="30" x14ac:dyDescent="0.2">
      <c r="A56" s="60" t="s">
        <v>70</v>
      </c>
      <c r="B56" s="34" t="s">
        <v>71</v>
      </c>
      <c r="C56" s="35">
        <f>[8]С2!F13</f>
        <v>169640.22915965237</v>
      </c>
    </row>
    <row r="57" spans="1:3" ht="30" x14ac:dyDescent="0.2">
      <c r="A57" s="60" t="s">
        <v>72</v>
      </c>
      <c r="B57" s="59" t="s">
        <v>73</v>
      </c>
      <c r="C57" s="35">
        <f>[8]С2!F14</f>
        <v>113455</v>
      </c>
    </row>
    <row r="58" spans="1:3" ht="15.75" x14ac:dyDescent="0.2">
      <c r="A58" s="60" t="s">
        <v>74</v>
      </c>
      <c r="B58" s="61" t="s">
        <v>75</v>
      </c>
      <c r="C58" s="41">
        <f>[8]С2!F15</f>
        <v>1.071</v>
      </c>
    </row>
    <row r="59" spans="1:3" ht="15.75" x14ac:dyDescent="0.2">
      <c r="A59" s="60" t="s">
        <v>76</v>
      </c>
      <c r="B59" s="61" t="s">
        <v>77</v>
      </c>
      <c r="C59" s="41">
        <f>[8]С2!F16</f>
        <v>1</v>
      </c>
    </row>
    <row r="60" spans="1:3" ht="17.25" x14ac:dyDescent="0.2">
      <c r="A60" s="60" t="s">
        <v>78</v>
      </c>
      <c r="B60" s="59" t="s">
        <v>79</v>
      </c>
      <c r="C60" s="35">
        <f>[8]С2!F17</f>
        <v>1.01</v>
      </c>
    </row>
    <row r="61" spans="1:3" s="64" customFormat="1" ht="14.25" x14ac:dyDescent="0.2">
      <c r="A61" s="60" t="s">
        <v>80</v>
      </c>
      <c r="B61" s="62" t="s">
        <v>81</v>
      </c>
      <c r="C61" s="63">
        <f>[8]С2!F33</f>
        <v>10</v>
      </c>
    </row>
    <row r="62" spans="1:3" ht="30" x14ac:dyDescent="0.2">
      <c r="A62" s="60" t="s">
        <v>82</v>
      </c>
      <c r="B62" s="65" t="s">
        <v>83</v>
      </c>
      <c r="C62" s="35">
        <f>[8]С2!F26</f>
        <v>1598.6279958476514</v>
      </c>
    </row>
    <row r="63" spans="1:3" ht="17.25" x14ac:dyDescent="0.2">
      <c r="A63" s="60" t="s">
        <v>84</v>
      </c>
      <c r="B63" s="54" t="s">
        <v>85</v>
      </c>
      <c r="C63" s="35">
        <f>[8]С2!F27</f>
        <v>0.27536184199999997</v>
      </c>
    </row>
    <row r="64" spans="1:3" ht="17.25" x14ac:dyDescent="0.2">
      <c r="A64" s="60" t="s">
        <v>86</v>
      </c>
      <c r="B64" s="59" t="s">
        <v>87</v>
      </c>
      <c r="C64" s="63">
        <f>[8]С2!F28</f>
        <v>4200</v>
      </c>
    </row>
    <row r="65" spans="1:3" ht="42.75" x14ac:dyDescent="0.2">
      <c r="A65" s="60" t="s">
        <v>88</v>
      </c>
      <c r="B65" s="34" t="s">
        <v>89</v>
      </c>
      <c r="C65" s="35">
        <f>[8]С2!F22</f>
        <v>35717.748653137714</v>
      </c>
    </row>
    <row r="66" spans="1:3" ht="30" x14ac:dyDescent="0.2">
      <c r="A66" s="60" t="s">
        <v>90</v>
      </c>
      <c r="B66" s="61" t="s">
        <v>91</v>
      </c>
      <c r="C66" s="35">
        <f>[8]С2!F23</f>
        <v>1990</v>
      </c>
    </row>
    <row r="67" spans="1:3" ht="30" x14ac:dyDescent="0.2">
      <c r="A67" s="60" t="s">
        <v>92</v>
      </c>
      <c r="B67" s="54" t="s">
        <v>93</v>
      </c>
      <c r="C67" s="35">
        <f>[8]С2.1!E27</f>
        <v>14307.876789999998</v>
      </c>
    </row>
    <row r="68" spans="1:3" ht="38.25" x14ac:dyDescent="0.2">
      <c r="A68" s="60" t="s">
        <v>94</v>
      </c>
      <c r="B68" s="66" t="s">
        <v>95</v>
      </c>
      <c r="C68" s="53">
        <f>[8]С2.3!E21</f>
        <v>0</v>
      </c>
    </row>
    <row r="69" spans="1:3" ht="25.5" x14ac:dyDescent="0.2">
      <c r="A69" s="60" t="s">
        <v>96</v>
      </c>
      <c r="B69" s="67" t="s">
        <v>97</v>
      </c>
      <c r="C69" s="68">
        <f>[8]С2.3!E11</f>
        <v>9.89</v>
      </c>
    </row>
    <row r="70" spans="1:3" ht="25.5" x14ac:dyDescent="0.2">
      <c r="A70" s="60" t="s">
        <v>98</v>
      </c>
      <c r="B70" s="67" t="s">
        <v>99</v>
      </c>
      <c r="C70" s="63">
        <f>[8]С2.3!E13</f>
        <v>300</v>
      </c>
    </row>
    <row r="71" spans="1:3" ht="25.5" x14ac:dyDescent="0.2">
      <c r="A71" s="60" t="s">
        <v>100</v>
      </c>
      <c r="B71" s="66" t="s">
        <v>101</v>
      </c>
      <c r="C71" s="69">
        <f>IF([8]С2.3!E22&gt;0,[8]С2.3!E22,[8]С2.3!E14)</f>
        <v>61211</v>
      </c>
    </row>
    <row r="72" spans="1:3" ht="38.25" x14ac:dyDescent="0.2">
      <c r="A72" s="60" t="s">
        <v>102</v>
      </c>
      <c r="B72" s="66" t="s">
        <v>103</v>
      </c>
      <c r="C72" s="69">
        <f>IF([8]С2.3!E23&gt;0,[8]С2.3!E23,[8]С2.3!E15)</f>
        <v>45675</v>
      </c>
    </row>
    <row r="73" spans="1:3" ht="30" x14ac:dyDescent="0.2">
      <c r="A73" s="60" t="s">
        <v>104</v>
      </c>
      <c r="B73" s="54" t="s">
        <v>105</v>
      </c>
      <c r="C73" s="35">
        <f>[8]С2.1!E28</f>
        <v>9541.9567200000001</v>
      </c>
    </row>
    <row r="74" spans="1:3" ht="38.25" x14ac:dyDescent="0.2">
      <c r="A74" s="60" t="s">
        <v>106</v>
      </c>
      <c r="B74" s="66" t="s">
        <v>107</v>
      </c>
      <c r="C74" s="53">
        <f>[8]С2.3!E25</f>
        <v>0</v>
      </c>
    </row>
    <row r="75" spans="1:3" ht="25.5" x14ac:dyDescent="0.2">
      <c r="A75" s="60" t="s">
        <v>108</v>
      </c>
      <c r="B75" s="67" t="s">
        <v>109</v>
      </c>
      <c r="C75" s="68">
        <f>[8]С2.3!E12</f>
        <v>0.56000000000000005</v>
      </c>
    </row>
    <row r="76" spans="1:3" ht="25.5" x14ac:dyDescent="0.2">
      <c r="A76" s="60" t="s">
        <v>110</v>
      </c>
      <c r="B76" s="67" t="s">
        <v>99</v>
      </c>
      <c r="C76" s="63">
        <f>[8]С2.3!E13</f>
        <v>300</v>
      </c>
    </row>
    <row r="77" spans="1:3" ht="25.5" x14ac:dyDescent="0.2">
      <c r="A77" s="60" t="s">
        <v>111</v>
      </c>
      <c r="B77" s="70" t="s">
        <v>112</v>
      </c>
      <c r="C77" s="69">
        <f>IF([8]С2.3!E26&gt;0,[8]С2.3!E26,[8]С2.3!E16)</f>
        <v>65637</v>
      </c>
    </row>
    <row r="78" spans="1:3" ht="38.25" x14ac:dyDescent="0.2">
      <c r="A78" s="60" t="s">
        <v>113</v>
      </c>
      <c r="B78" s="70" t="s">
        <v>114</v>
      </c>
      <c r="C78" s="69">
        <f>IF([8]С2.3!E27&gt;0,[8]С2.3!E27,[8]С2.3!E17)</f>
        <v>31684</v>
      </c>
    </row>
    <row r="79" spans="1:3" ht="17.25" x14ac:dyDescent="0.2">
      <c r="A79" s="60" t="s">
        <v>115</v>
      </c>
      <c r="B79" s="34" t="s">
        <v>116</v>
      </c>
      <c r="C79" s="36">
        <f>[8]С2!F29</f>
        <v>0.128978033685065</v>
      </c>
    </row>
    <row r="80" spans="1:3" ht="30" x14ac:dyDescent="0.2">
      <c r="A80" s="60" t="s">
        <v>117</v>
      </c>
      <c r="B80" s="54" t="s">
        <v>118</v>
      </c>
      <c r="C80" s="71">
        <f>[8]С2!F30</f>
        <v>0.11668498168498169</v>
      </c>
    </row>
    <row r="81" spans="1:3" ht="17.25" x14ac:dyDescent="0.2">
      <c r="A81" s="60" t="s">
        <v>119</v>
      </c>
      <c r="B81" s="72" t="s">
        <v>120</v>
      </c>
      <c r="C81" s="36">
        <f>[8]С2!F31</f>
        <v>0.13880000000000001</v>
      </c>
    </row>
    <row r="82" spans="1:3" s="64" customFormat="1" ht="18" thickBot="1" x14ac:dyDescent="0.25">
      <c r="A82" s="73" t="s">
        <v>121</v>
      </c>
      <c r="B82" s="74" t="s">
        <v>122</v>
      </c>
      <c r="C82" s="75">
        <f>[8]С2!F32</f>
        <v>0.12640000000000001</v>
      </c>
    </row>
    <row r="83" spans="1:3" ht="13.5" thickBot="1" x14ac:dyDescent="0.25">
      <c r="A83" s="48"/>
      <c r="B83" s="76"/>
      <c r="C83" s="15"/>
    </row>
    <row r="84" spans="1:3" s="64" customFormat="1" ht="30" customHeight="1" x14ac:dyDescent="0.2">
      <c r="A84" s="77" t="s">
        <v>123</v>
      </c>
      <c r="B84" s="142" t="s">
        <v>124</v>
      </c>
      <c r="C84" s="142"/>
    </row>
    <row r="85" spans="1:3" s="64" customFormat="1" ht="30" x14ac:dyDescent="0.2">
      <c r="A85" s="78" t="s">
        <v>125</v>
      </c>
      <c r="B85" s="34" t="s">
        <v>126</v>
      </c>
      <c r="C85" s="35">
        <f>[8]С3!F14</f>
        <v>7020.1696866647444</v>
      </c>
    </row>
    <row r="86" spans="1:3" s="64" customFormat="1" ht="42.75" x14ac:dyDescent="0.2">
      <c r="A86" s="78" t="s">
        <v>127</v>
      </c>
      <c r="B86" s="54" t="s">
        <v>128</v>
      </c>
      <c r="C86" s="79">
        <f>[8]С3!F15</f>
        <v>0.2</v>
      </c>
    </row>
    <row r="87" spans="1:3" s="64" customFormat="1" ht="14.25" x14ac:dyDescent="0.2">
      <c r="A87" s="78" t="s">
        <v>129</v>
      </c>
      <c r="B87" s="80" t="s">
        <v>130</v>
      </c>
      <c r="C87" s="63">
        <f>[8]С3!F18</f>
        <v>15</v>
      </c>
    </row>
    <row r="88" spans="1:3" s="64" customFormat="1" ht="17.25" x14ac:dyDescent="0.2">
      <c r="A88" s="78" t="s">
        <v>131</v>
      </c>
      <c r="B88" s="34" t="s">
        <v>132</v>
      </c>
      <c r="C88" s="35">
        <f>[8]С3!F19</f>
        <v>3487.1555421534131</v>
      </c>
    </row>
    <row r="89" spans="1:3" s="64" customFormat="1" ht="55.5" x14ac:dyDescent="0.2">
      <c r="A89" s="78" t="s">
        <v>133</v>
      </c>
      <c r="B89" s="54" t="s">
        <v>134</v>
      </c>
      <c r="C89" s="81">
        <f>[8]С3!F20</f>
        <v>2.1999999999999999E-2</v>
      </c>
    </row>
    <row r="90" spans="1:3" s="64" customFormat="1" ht="14.25" x14ac:dyDescent="0.2">
      <c r="A90" s="78" t="s">
        <v>135</v>
      </c>
      <c r="B90" s="59" t="s">
        <v>81</v>
      </c>
      <c r="C90" s="63">
        <f>[8]С3!F21</f>
        <v>10</v>
      </c>
    </row>
    <row r="91" spans="1:3" s="64" customFormat="1" ht="17.25" x14ac:dyDescent="0.2">
      <c r="A91" s="78" t="s">
        <v>136</v>
      </c>
      <c r="B91" s="34" t="s">
        <v>137</v>
      </c>
      <c r="C91" s="35">
        <f>[8]С3!F22</f>
        <v>4.795883987542954</v>
      </c>
    </row>
    <row r="92" spans="1:3" s="64" customFormat="1" ht="55.5" x14ac:dyDescent="0.2">
      <c r="A92" s="78" t="s">
        <v>138</v>
      </c>
      <c r="B92" s="54" t="s">
        <v>139</v>
      </c>
      <c r="C92" s="81">
        <f>[8]С3!F23</f>
        <v>3.0000000000000001E-3</v>
      </c>
    </row>
    <row r="93" spans="1:3" s="64" customFormat="1" ht="27.75" thickBot="1" x14ac:dyDescent="0.25">
      <c r="A93" s="82" t="s">
        <v>140</v>
      </c>
      <c r="B93" s="83" t="s">
        <v>141</v>
      </c>
      <c r="C93" s="84">
        <f>[8]С3!F24</f>
        <v>1598.6279958476514</v>
      </c>
    </row>
    <row r="94" spans="1:3" ht="13.5" thickBot="1" x14ac:dyDescent="0.25">
      <c r="A94" s="48"/>
      <c r="B94" s="76"/>
      <c r="C94" s="15"/>
    </row>
    <row r="95" spans="1:3" ht="30" customHeight="1" x14ac:dyDescent="0.2">
      <c r="A95" s="85" t="s">
        <v>142</v>
      </c>
      <c r="B95" s="142" t="s">
        <v>143</v>
      </c>
      <c r="C95" s="142"/>
    </row>
    <row r="96" spans="1:3" ht="30" x14ac:dyDescent="0.2">
      <c r="A96" s="60" t="s">
        <v>144</v>
      </c>
      <c r="B96" s="34" t="s">
        <v>145</v>
      </c>
      <c r="C96" s="35">
        <f>[8]С4!F16</f>
        <v>1652.5</v>
      </c>
    </row>
    <row r="97" spans="1:3" ht="30" x14ac:dyDescent="0.2">
      <c r="A97" s="60" t="s">
        <v>146</v>
      </c>
      <c r="B97" s="59" t="s">
        <v>147</v>
      </c>
      <c r="C97" s="35">
        <f>[8]С4!F17</f>
        <v>73547</v>
      </c>
    </row>
    <row r="98" spans="1:3" ht="33" x14ac:dyDescent="0.2">
      <c r="A98" s="60" t="s">
        <v>148</v>
      </c>
      <c r="B98" s="59" t="s">
        <v>149</v>
      </c>
      <c r="C98" s="41">
        <f>[8]С4!F18</f>
        <v>0.02</v>
      </c>
    </row>
    <row r="99" spans="1:3" ht="30" x14ac:dyDescent="0.2">
      <c r="A99" s="60" t="s">
        <v>150</v>
      </c>
      <c r="B99" s="59" t="s">
        <v>151</v>
      </c>
      <c r="C99" s="35">
        <f>[8]С4!F19</f>
        <v>12104</v>
      </c>
    </row>
    <row r="100" spans="1:3" ht="28.5" x14ac:dyDescent="0.2">
      <c r="A100" s="60" t="s">
        <v>152</v>
      </c>
      <c r="B100" s="59" t="s">
        <v>153</v>
      </c>
      <c r="C100" s="41">
        <f>[8]С4!F20</f>
        <v>1.4999999999999999E-2</v>
      </c>
    </row>
    <row r="101" spans="1:3" ht="30" x14ac:dyDescent="0.2">
      <c r="A101" s="60" t="s">
        <v>154</v>
      </c>
      <c r="B101" s="34" t="s">
        <v>155</v>
      </c>
      <c r="C101" s="35">
        <f>[8]С4!F21</f>
        <v>1933.1949342509995</v>
      </c>
    </row>
    <row r="102" spans="1:3" ht="24" customHeight="1" x14ac:dyDescent="0.2">
      <c r="A102" s="60" t="s">
        <v>156</v>
      </c>
      <c r="B102" s="54" t="s">
        <v>157</v>
      </c>
      <c r="C102" s="86">
        <f>IF([8]С4.2!F8="да",[8]С4.2!D21,[8]С4.2!D15)</f>
        <v>0</v>
      </c>
    </row>
    <row r="103" spans="1:3" ht="68.25" x14ac:dyDescent="0.2">
      <c r="A103" s="60" t="s">
        <v>158</v>
      </c>
      <c r="B103" s="54" t="s">
        <v>159</v>
      </c>
      <c r="C103" s="35">
        <f>[8]С4!F22</f>
        <v>3.6112641666666665</v>
      </c>
    </row>
    <row r="104" spans="1:3" ht="30" x14ac:dyDescent="0.2">
      <c r="A104" s="60" t="s">
        <v>160</v>
      </c>
      <c r="B104" s="59" t="s">
        <v>161</v>
      </c>
      <c r="C104" s="35">
        <f>[8]С4!F23</f>
        <v>180</v>
      </c>
    </row>
    <row r="105" spans="1:3" ht="14.25" x14ac:dyDescent="0.2">
      <c r="A105" s="60" t="s">
        <v>162</v>
      </c>
      <c r="B105" s="54" t="s">
        <v>163</v>
      </c>
      <c r="C105" s="35">
        <f>[8]С4!F24</f>
        <v>8497.1999999999989</v>
      </c>
    </row>
    <row r="106" spans="1:3" ht="14.25" x14ac:dyDescent="0.2">
      <c r="A106" s="60" t="s">
        <v>164</v>
      </c>
      <c r="B106" s="59" t="s">
        <v>165</v>
      </c>
      <c r="C106" s="41">
        <f>[8]С4!F25</f>
        <v>0.35</v>
      </c>
    </row>
    <row r="107" spans="1:3" ht="17.25" x14ac:dyDescent="0.2">
      <c r="A107" s="60" t="s">
        <v>166</v>
      </c>
      <c r="B107" s="34" t="s">
        <v>167</v>
      </c>
      <c r="C107" s="35">
        <f>[8]С4!F26</f>
        <v>86.642150000000029</v>
      </c>
    </row>
    <row r="108" spans="1:3" ht="25.5" x14ac:dyDescent="0.2">
      <c r="A108" s="60" t="s">
        <v>168</v>
      </c>
      <c r="B108" s="54" t="s">
        <v>95</v>
      </c>
      <c r="C108" s="86">
        <f>[8]С4.3!E16</f>
        <v>0</v>
      </c>
    </row>
    <row r="109" spans="1:3" ht="25.5" x14ac:dyDescent="0.2">
      <c r="A109" s="60" t="s">
        <v>169</v>
      </c>
      <c r="B109" s="54" t="s">
        <v>170</v>
      </c>
      <c r="C109" s="35">
        <f>[8]С4.3!E17</f>
        <v>22.31666666666667</v>
      </c>
    </row>
    <row r="110" spans="1:3" ht="38.25" x14ac:dyDescent="0.2">
      <c r="A110" s="60" t="s">
        <v>171</v>
      </c>
      <c r="B110" s="54" t="s">
        <v>107</v>
      </c>
      <c r="C110" s="86">
        <f>[8]С4.3!E18</f>
        <v>0</v>
      </c>
    </row>
    <row r="111" spans="1:3" x14ac:dyDescent="0.2">
      <c r="A111" s="60" t="s">
        <v>172</v>
      </c>
      <c r="B111" s="54" t="s">
        <v>173</v>
      </c>
      <c r="C111" s="35">
        <f>[8]С4.3!E19</f>
        <v>41.06666666666667</v>
      </c>
    </row>
    <row r="112" spans="1:3" x14ac:dyDescent="0.2">
      <c r="A112" s="60" t="s">
        <v>174</v>
      </c>
      <c r="B112" s="59" t="s">
        <v>175</v>
      </c>
      <c r="C112" s="35">
        <f>[8]С4.3!E11</f>
        <v>1871</v>
      </c>
    </row>
    <row r="113" spans="1:3" x14ac:dyDescent="0.2">
      <c r="A113" s="60" t="s">
        <v>176</v>
      </c>
      <c r="B113" s="59" t="s">
        <v>177</v>
      </c>
      <c r="C113" s="53">
        <f>[8]С4.3!E12</f>
        <v>1636</v>
      </c>
    </row>
    <row r="114" spans="1:3" x14ac:dyDescent="0.2">
      <c r="A114" s="60" t="s">
        <v>178</v>
      </c>
      <c r="B114" s="59" t="s">
        <v>179</v>
      </c>
      <c r="C114" s="53">
        <f>[8]С4.3!E13</f>
        <v>204</v>
      </c>
    </row>
    <row r="115" spans="1:3" ht="30" x14ac:dyDescent="0.2">
      <c r="A115" s="60" t="s">
        <v>180</v>
      </c>
      <c r="B115" s="34" t="s">
        <v>181</v>
      </c>
      <c r="C115" s="35">
        <f>[8]С4!F27</f>
        <v>1413.5806587229636</v>
      </c>
    </row>
    <row r="116" spans="1:3" ht="25.5" x14ac:dyDescent="0.2">
      <c r="A116" s="60" t="s">
        <v>182</v>
      </c>
      <c r="B116" s="54" t="s">
        <v>183</v>
      </c>
      <c r="C116" s="35">
        <f>[8]С4!F28</f>
        <v>1085.6994306627985</v>
      </c>
    </row>
    <row r="117" spans="1:3" ht="42.75" x14ac:dyDescent="0.2">
      <c r="A117" s="60" t="s">
        <v>184</v>
      </c>
      <c r="B117" s="54" t="s">
        <v>185</v>
      </c>
      <c r="C117" s="35">
        <f>[8]С4!F29</f>
        <v>327.8812280601652</v>
      </c>
    </row>
    <row r="118" spans="1:3" ht="30" x14ac:dyDescent="0.2">
      <c r="A118" s="60" t="s">
        <v>186</v>
      </c>
      <c r="B118" s="40" t="s">
        <v>187</v>
      </c>
      <c r="C118" s="35">
        <f>[8]С4!F30</f>
        <v>2117.5305098580911</v>
      </c>
    </row>
    <row r="119" spans="1:3" ht="42.75" x14ac:dyDescent="0.2">
      <c r="A119" s="60" t="s">
        <v>188</v>
      </c>
      <c r="B119" s="87" t="s">
        <v>189</v>
      </c>
      <c r="C119" s="35">
        <f>[8]С4!F33</f>
        <v>1374.0280021926758</v>
      </c>
    </row>
    <row r="120" spans="1:3" ht="30" x14ac:dyDescent="0.2">
      <c r="A120" s="60" t="s">
        <v>190</v>
      </c>
      <c r="B120" s="88" t="s">
        <v>191</v>
      </c>
      <c r="C120" s="35">
        <f>[8]С4!F35</f>
        <v>17.040680999999999</v>
      </c>
    </row>
    <row r="121" spans="1:3" ht="14.25" x14ac:dyDescent="0.2">
      <c r="A121" s="60" t="s">
        <v>192</v>
      </c>
      <c r="B121" s="57" t="s">
        <v>193</v>
      </c>
      <c r="C121" s="35">
        <f>[8]С4!F36</f>
        <v>14319.9</v>
      </c>
    </row>
    <row r="122" spans="1:3" ht="28.5" thickBot="1" x14ac:dyDescent="0.25">
      <c r="A122" s="73" t="s">
        <v>194</v>
      </c>
      <c r="B122" s="89" t="s">
        <v>195</v>
      </c>
      <c r="C122" s="84">
        <f>[8]С4!F37</f>
        <v>1.19</v>
      </c>
    </row>
    <row r="123" spans="1:3" s="90" customFormat="1" ht="13.5" thickBot="1" x14ac:dyDescent="0.25">
      <c r="A123" s="48"/>
      <c r="B123" s="76"/>
      <c r="C123" s="15"/>
    </row>
    <row r="124" spans="1:3" s="64" customFormat="1" ht="30" customHeight="1" x14ac:dyDescent="0.2">
      <c r="A124" s="77" t="s">
        <v>196</v>
      </c>
      <c r="B124" s="142" t="s">
        <v>197</v>
      </c>
      <c r="C124" s="142"/>
    </row>
    <row r="125" spans="1:3" ht="16.5" thickBot="1" x14ac:dyDescent="0.25">
      <c r="A125" s="27" t="s">
        <v>198</v>
      </c>
      <c r="B125" s="91" t="s">
        <v>199</v>
      </c>
      <c r="C125" s="84">
        <f>[8]С5!F17</f>
        <v>0.02</v>
      </c>
    </row>
    <row r="126" spans="1:3" s="90" customFormat="1" ht="13.5" thickBot="1" x14ac:dyDescent="0.25">
      <c r="A126" s="48"/>
      <c r="B126" s="76"/>
      <c r="C126" s="15"/>
    </row>
    <row r="127" spans="1:3" ht="42.75" customHeight="1" x14ac:dyDescent="0.2">
      <c r="A127" s="85" t="s">
        <v>200</v>
      </c>
      <c r="B127" s="143" t="s">
        <v>201</v>
      </c>
      <c r="C127" s="143"/>
    </row>
    <row r="128" spans="1:3" ht="68.25" x14ac:dyDescent="0.2">
      <c r="A128" s="60" t="s">
        <v>202</v>
      </c>
      <c r="B128" s="92" t="s">
        <v>203</v>
      </c>
      <c r="C128" s="35" t="s">
        <v>204</v>
      </c>
    </row>
    <row r="129" spans="1:4" ht="42.75" hidden="1" x14ac:dyDescent="0.2">
      <c r="A129" s="60" t="s">
        <v>205</v>
      </c>
      <c r="B129" s="87" t="s">
        <v>206</v>
      </c>
      <c r="C129" s="93"/>
    </row>
    <row r="130" spans="1:4" ht="69" thickBot="1" x14ac:dyDescent="0.25">
      <c r="A130" s="73" t="s">
        <v>207</v>
      </c>
      <c r="B130" s="94" t="s">
        <v>208</v>
      </c>
      <c r="C130" s="95" t="s">
        <v>204</v>
      </c>
    </row>
    <row r="131" spans="1:4" ht="62.25" hidden="1" customHeight="1" x14ac:dyDescent="0.2">
      <c r="A131" s="96" t="s">
        <v>209</v>
      </c>
      <c r="B131" s="97" t="s">
        <v>210</v>
      </c>
      <c r="C131" s="98"/>
    </row>
    <row r="132" spans="1:4" ht="68.25" hidden="1" x14ac:dyDescent="0.2">
      <c r="A132" s="60" t="s">
        <v>211</v>
      </c>
      <c r="B132" s="87" t="s">
        <v>212</v>
      </c>
      <c r="C132" s="36"/>
    </row>
    <row r="133" spans="1:4" ht="69" hidden="1" thickBot="1" x14ac:dyDescent="0.25">
      <c r="A133" s="73" t="s">
        <v>213</v>
      </c>
      <c r="B133" s="99" t="s">
        <v>214</v>
      </c>
      <c r="C133" s="75"/>
    </row>
    <row r="134" spans="1:4" s="90" customFormat="1" ht="13.5" thickBot="1" x14ac:dyDescent="0.25">
      <c r="A134" s="48"/>
      <c r="B134" s="76"/>
      <c r="C134" s="15"/>
    </row>
    <row r="135" spans="1:4" ht="26.25" customHeight="1" x14ac:dyDescent="0.2">
      <c r="A135" s="85" t="s">
        <v>215</v>
      </c>
      <c r="B135" s="100" t="s">
        <v>216</v>
      </c>
      <c r="C135" s="101">
        <f>[8]С2!F37</f>
        <v>20.818139999999996</v>
      </c>
    </row>
    <row r="136" spans="1:4" ht="14.25" x14ac:dyDescent="0.2">
      <c r="A136" s="60" t="s">
        <v>217</v>
      </c>
      <c r="B136" s="102" t="s">
        <v>218</v>
      </c>
      <c r="C136" s="35">
        <f>[8]С2!F38</f>
        <v>7</v>
      </c>
    </row>
    <row r="137" spans="1:4" ht="17.25" x14ac:dyDescent="0.2">
      <c r="A137" s="60" t="s">
        <v>219</v>
      </c>
      <c r="B137" s="102" t="s">
        <v>220</v>
      </c>
      <c r="C137" s="35">
        <f>[8]С2!F40</f>
        <v>0.97</v>
      </c>
    </row>
    <row r="138" spans="1:4" ht="15" thickBot="1" x14ac:dyDescent="0.25">
      <c r="A138" s="73" t="s">
        <v>221</v>
      </c>
      <c r="B138" s="103" t="s">
        <v>222</v>
      </c>
      <c r="C138" s="47">
        <f>[8]С2!F42</f>
        <v>0.35</v>
      </c>
    </row>
    <row r="139" spans="1:4" s="90" customFormat="1" ht="13.5" thickBot="1" x14ac:dyDescent="0.25">
      <c r="A139" s="48"/>
      <c r="B139" s="76"/>
      <c r="C139" s="15"/>
    </row>
    <row r="140" spans="1:4" ht="30" x14ac:dyDescent="0.2">
      <c r="A140" s="85" t="s">
        <v>223</v>
      </c>
      <c r="B140" s="104" t="s">
        <v>224</v>
      </c>
      <c r="C140" s="105">
        <f>[8]С2!F35</f>
        <v>1.3822747209000001</v>
      </c>
      <c r="D140" s="90"/>
    </row>
    <row r="141" spans="1:4" ht="22.7" customHeight="1" thickBot="1" x14ac:dyDescent="0.25">
      <c r="A141" s="73" t="s">
        <v>225</v>
      </c>
      <c r="B141" s="141" t="s">
        <v>226</v>
      </c>
      <c r="C141" s="141"/>
      <c r="D141" s="90"/>
    </row>
    <row r="142" spans="1:4" ht="13.5" thickBot="1" x14ac:dyDescent="0.25">
      <c r="A142" s="106"/>
      <c r="B142" s="107" t="s">
        <v>0</v>
      </c>
      <c r="C142" s="108"/>
      <c r="D142" s="90"/>
    </row>
    <row r="143" spans="1:4" x14ac:dyDescent="0.2">
      <c r="A143" s="106"/>
      <c r="B143" s="109">
        <v>2020</v>
      </c>
      <c r="C143" s="110">
        <f>[8]С2.5!$E$11</f>
        <v>-2.9000000000000026E-2</v>
      </c>
      <c r="D143" s="90"/>
    </row>
    <row r="144" spans="1:4" x14ac:dyDescent="0.2">
      <c r="A144" s="106"/>
      <c r="B144" s="111">
        <f>B143+1</f>
        <v>2021</v>
      </c>
      <c r="C144" s="112">
        <f>[8]С2.5!$F$11</f>
        <v>0.245</v>
      </c>
      <c r="D144" s="90"/>
    </row>
    <row r="145" spans="1:4" x14ac:dyDescent="0.2">
      <c r="A145" s="106"/>
      <c r="B145" s="111">
        <f t="shared" ref="B145:B208" si="0">B144+1</f>
        <v>2022</v>
      </c>
      <c r="C145" s="112">
        <f>[8]С2.5!$G$11</f>
        <v>0.121</v>
      </c>
      <c r="D145" s="90"/>
    </row>
    <row r="146" spans="1:4" ht="13.5" thickBot="1" x14ac:dyDescent="0.25">
      <c r="A146" s="106"/>
      <c r="B146" s="113">
        <f t="shared" si="0"/>
        <v>2023</v>
      </c>
      <c r="C146" s="114">
        <f>[8]С2.5!$H$11</f>
        <v>0.02</v>
      </c>
      <c r="D146" s="90"/>
    </row>
    <row r="147" spans="1:4" hidden="1" x14ac:dyDescent="0.2">
      <c r="A147" s="106"/>
      <c r="B147" s="115">
        <f t="shared" si="0"/>
        <v>2024</v>
      </c>
      <c r="C147" s="116">
        <f>[8]С2.5!$I$11</f>
        <v>-2.93E-2</v>
      </c>
      <c r="D147" s="90"/>
    </row>
    <row r="148" spans="1:4" hidden="1" x14ac:dyDescent="0.2">
      <c r="A148" s="106"/>
      <c r="B148" s="111">
        <f t="shared" si="0"/>
        <v>2025</v>
      </c>
      <c r="C148" s="112">
        <f>[8]С2.5!$J$11</f>
        <v>0.21215960863291</v>
      </c>
      <c r="D148" s="90"/>
    </row>
    <row r="149" spans="1:4" hidden="1" x14ac:dyDescent="0.2">
      <c r="A149" s="106"/>
      <c r="B149" s="111">
        <f t="shared" si="0"/>
        <v>2026</v>
      </c>
      <c r="C149" s="112">
        <f>[8]С2.5!$K$11</f>
        <v>3.5813361771260002E-2</v>
      </c>
      <c r="D149" s="90"/>
    </row>
    <row r="150" spans="1:4" hidden="1" x14ac:dyDescent="0.2">
      <c r="A150" s="106"/>
      <c r="B150" s="111">
        <f t="shared" si="0"/>
        <v>2027</v>
      </c>
      <c r="C150" s="112">
        <f>[8]С2.5!$L$11</f>
        <v>3.2682303599220003E-2</v>
      </c>
      <c r="D150" s="90"/>
    </row>
    <row r="151" spans="1:4" hidden="1" x14ac:dyDescent="0.2">
      <c r="A151" s="106"/>
      <c r="B151" s="111">
        <f t="shared" si="0"/>
        <v>2028</v>
      </c>
      <c r="C151" s="112">
        <f>[8]С2.5!$M$11</f>
        <v>0</v>
      </c>
      <c r="D151" s="90"/>
    </row>
    <row r="152" spans="1:4" hidden="1" x14ac:dyDescent="0.2">
      <c r="A152" s="106"/>
      <c r="B152" s="111">
        <f t="shared" si="0"/>
        <v>2029</v>
      </c>
      <c r="C152" s="112">
        <f>[8]С2.5!$N$11</f>
        <v>0</v>
      </c>
      <c r="D152" s="90"/>
    </row>
    <row r="153" spans="1:4" hidden="1" x14ac:dyDescent="0.2">
      <c r="A153" s="106"/>
      <c r="B153" s="111">
        <f t="shared" si="0"/>
        <v>2030</v>
      </c>
      <c r="C153" s="112">
        <f>[8]С2.5!$O$11</f>
        <v>0</v>
      </c>
      <c r="D153" s="90"/>
    </row>
    <row r="154" spans="1:4" hidden="1" x14ac:dyDescent="0.2">
      <c r="A154" s="106"/>
      <c r="B154" s="111">
        <f t="shared" si="0"/>
        <v>2031</v>
      </c>
      <c r="C154" s="112">
        <f>[8]С2.5!$P$11</f>
        <v>0</v>
      </c>
      <c r="D154" s="90"/>
    </row>
    <row r="155" spans="1:4" hidden="1" x14ac:dyDescent="0.2">
      <c r="A155" s="90"/>
      <c r="B155" s="111">
        <f t="shared" si="0"/>
        <v>2032</v>
      </c>
      <c r="C155" s="112">
        <f>[8]С2.5!$Q$11</f>
        <v>0</v>
      </c>
      <c r="D155" s="90"/>
    </row>
    <row r="156" spans="1:4" hidden="1" x14ac:dyDescent="0.2">
      <c r="A156" s="90"/>
      <c r="B156" s="111">
        <f t="shared" si="0"/>
        <v>2033</v>
      </c>
      <c r="C156" s="112">
        <f>[8]С2.5!$R$11</f>
        <v>0</v>
      </c>
      <c r="D156" s="90"/>
    </row>
    <row r="157" spans="1:4" hidden="1" x14ac:dyDescent="0.2">
      <c r="B157" s="111">
        <f t="shared" si="0"/>
        <v>2034</v>
      </c>
      <c r="C157" s="112">
        <f>[8]С2.5!$S$11</f>
        <v>0</v>
      </c>
    </row>
    <row r="158" spans="1:4" hidden="1" x14ac:dyDescent="0.2">
      <c r="B158" s="111">
        <f t="shared" si="0"/>
        <v>2035</v>
      </c>
      <c r="C158" s="112">
        <f>[8]С2.5!$T$11</f>
        <v>0</v>
      </c>
    </row>
    <row r="159" spans="1:4" hidden="1" x14ac:dyDescent="0.2">
      <c r="B159" s="111">
        <f t="shared" si="0"/>
        <v>2036</v>
      </c>
      <c r="C159" s="112">
        <f>[8]С2.5!$U$11</f>
        <v>0</v>
      </c>
    </row>
    <row r="160" spans="1:4" hidden="1" x14ac:dyDescent="0.2">
      <c r="B160" s="111">
        <f t="shared" si="0"/>
        <v>2037</v>
      </c>
      <c r="C160" s="112">
        <f>[8]С2.5!$V$11</f>
        <v>0</v>
      </c>
    </row>
    <row r="161" spans="2:3" hidden="1" x14ac:dyDescent="0.2">
      <c r="B161" s="111">
        <f t="shared" si="0"/>
        <v>2038</v>
      </c>
      <c r="C161" s="112">
        <f>[8]С2.5!$W$11</f>
        <v>0</v>
      </c>
    </row>
    <row r="162" spans="2:3" hidden="1" x14ac:dyDescent="0.2">
      <c r="B162" s="111">
        <f t="shared" si="0"/>
        <v>2039</v>
      </c>
      <c r="C162" s="112">
        <f>[8]С2.5!$X$11</f>
        <v>0</v>
      </c>
    </row>
    <row r="163" spans="2:3" hidden="1" x14ac:dyDescent="0.2">
      <c r="B163" s="111">
        <f t="shared" si="0"/>
        <v>2040</v>
      </c>
      <c r="C163" s="112">
        <f>[8]С2.5!$Y$11</f>
        <v>0</v>
      </c>
    </row>
    <row r="164" spans="2:3" hidden="1" x14ac:dyDescent="0.2">
      <c r="B164" s="111">
        <f t="shared" si="0"/>
        <v>2041</v>
      </c>
      <c r="C164" s="112">
        <f>[8]С2.5!$Z$11</f>
        <v>0</v>
      </c>
    </row>
    <row r="165" spans="2:3" hidden="1" x14ac:dyDescent="0.2">
      <c r="B165" s="111">
        <f t="shared" si="0"/>
        <v>2042</v>
      </c>
      <c r="C165" s="112">
        <f>[8]С2.5!$AA$11</f>
        <v>0</v>
      </c>
    </row>
    <row r="166" spans="2:3" hidden="1" x14ac:dyDescent="0.2">
      <c r="B166" s="111">
        <f t="shared" si="0"/>
        <v>2043</v>
      </c>
      <c r="C166" s="112">
        <f>[8]С2.5!$AB$11</f>
        <v>0</v>
      </c>
    </row>
    <row r="167" spans="2:3" hidden="1" x14ac:dyDescent="0.2">
      <c r="B167" s="111">
        <f t="shared" si="0"/>
        <v>2044</v>
      </c>
      <c r="C167" s="112">
        <f>[8]С2.5!$AC$11</f>
        <v>0</v>
      </c>
    </row>
    <row r="168" spans="2:3" hidden="1" x14ac:dyDescent="0.2">
      <c r="B168" s="111">
        <f t="shared" si="0"/>
        <v>2045</v>
      </c>
      <c r="C168" s="112">
        <f>[8]С2.5!$AD$11</f>
        <v>0</v>
      </c>
    </row>
    <row r="169" spans="2:3" hidden="1" x14ac:dyDescent="0.2">
      <c r="B169" s="111">
        <f t="shared" si="0"/>
        <v>2046</v>
      </c>
      <c r="C169" s="112">
        <f>[8]С2.5!$AE$11</f>
        <v>0</v>
      </c>
    </row>
    <row r="170" spans="2:3" hidden="1" x14ac:dyDescent="0.2">
      <c r="B170" s="111">
        <f t="shared" si="0"/>
        <v>2047</v>
      </c>
      <c r="C170" s="112">
        <f>[8]С2.5!$AF$11</f>
        <v>0</v>
      </c>
    </row>
    <row r="171" spans="2:3" hidden="1" x14ac:dyDescent="0.2">
      <c r="B171" s="111">
        <f t="shared" si="0"/>
        <v>2048</v>
      </c>
      <c r="C171" s="112">
        <f>[8]С2.5!$AG$11</f>
        <v>0</v>
      </c>
    </row>
    <row r="172" spans="2:3" hidden="1" x14ac:dyDescent="0.2">
      <c r="B172" s="111">
        <f t="shared" si="0"/>
        <v>2049</v>
      </c>
      <c r="C172" s="112">
        <f>[8]С2.5!$AH$11</f>
        <v>0</v>
      </c>
    </row>
    <row r="173" spans="2:3" hidden="1" x14ac:dyDescent="0.2">
      <c r="B173" s="111">
        <f t="shared" si="0"/>
        <v>2050</v>
      </c>
      <c r="C173" s="112">
        <f>[8]С2.5!$AI$11</f>
        <v>0</v>
      </c>
    </row>
    <row r="174" spans="2:3" hidden="1" x14ac:dyDescent="0.2">
      <c r="B174" s="111">
        <f t="shared" si="0"/>
        <v>2051</v>
      </c>
      <c r="C174" s="112">
        <f>[8]С2.5!$AJ$11</f>
        <v>0</v>
      </c>
    </row>
    <row r="175" spans="2:3" hidden="1" x14ac:dyDescent="0.2">
      <c r="B175" s="111">
        <f t="shared" si="0"/>
        <v>2052</v>
      </c>
      <c r="C175" s="112">
        <f>[8]С2.5!$AK$11</f>
        <v>0</v>
      </c>
    </row>
    <row r="176" spans="2:3" hidden="1" x14ac:dyDescent="0.2">
      <c r="B176" s="111">
        <f t="shared" si="0"/>
        <v>2053</v>
      </c>
      <c r="C176" s="112">
        <f>[8]С2.5!$AL$11</f>
        <v>0</v>
      </c>
    </row>
    <row r="177" spans="2:3" hidden="1" x14ac:dyDescent="0.2">
      <c r="B177" s="111">
        <f t="shared" si="0"/>
        <v>2054</v>
      </c>
      <c r="C177" s="112">
        <f>[8]С2.5!$AM$11</f>
        <v>0</v>
      </c>
    </row>
    <row r="178" spans="2:3" hidden="1" x14ac:dyDescent="0.2">
      <c r="B178" s="111">
        <f t="shared" si="0"/>
        <v>2055</v>
      </c>
      <c r="C178" s="112">
        <f>[8]С2.5!$AN$11</f>
        <v>0</v>
      </c>
    </row>
    <row r="179" spans="2:3" hidden="1" x14ac:dyDescent="0.2">
      <c r="B179" s="111">
        <f t="shared" si="0"/>
        <v>2056</v>
      </c>
      <c r="C179" s="112">
        <f>[8]С2.5!$AO$11</f>
        <v>0</v>
      </c>
    </row>
    <row r="180" spans="2:3" hidden="1" x14ac:dyDescent="0.2">
      <c r="B180" s="111">
        <f t="shared" si="0"/>
        <v>2057</v>
      </c>
      <c r="C180" s="112">
        <f>[8]С2.5!$AP$11</f>
        <v>0</v>
      </c>
    </row>
    <row r="181" spans="2:3" hidden="1" x14ac:dyDescent="0.2">
      <c r="B181" s="111">
        <f t="shared" si="0"/>
        <v>2058</v>
      </c>
      <c r="C181" s="112">
        <f>[8]С2.5!$AQ$11</f>
        <v>0</v>
      </c>
    </row>
    <row r="182" spans="2:3" hidden="1" x14ac:dyDescent="0.2">
      <c r="B182" s="111">
        <f t="shared" si="0"/>
        <v>2059</v>
      </c>
      <c r="C182" s="112">
        <f>[8]С2.5!$AR$11</f>
        <v>0</v>
      </c>
    </row>
    <row r="183" spans="2:3" hidden="1" x14ac:dyDescent="0.2">
      <c r="B183" s="111">
        <f t="shared" si="0"/>
        <v>2060</v>
      </c>
      <c r="C183" s="112">
        <f>[8]С2.5!$AS$11</f>
        <v>0</v>
      </c>
    </row>
    <row r="184" spans="2:3" hidden="1" x14ac:dyDescent="0.2">
      <c r="B184" s="111">
        <f t="shared" si="0"/>
        <v>2061</v>
      </c>
      <c r="C184" s="112">
        <f>[8]С2.5!$AT$11</f>
        <v>0</v>
      </c>
    </row>
    <row r="185" spans="2:3" hidden="1" x14ac:dyDescent="0.2">
      <c r="B185" s="111">
        <f t="shared" si="0"/>
        <v>2062</v>
      </c>
      <c r="C185" s="112">
        <f>[8]С2.5!$AU$11</f>
        <v>0</v>
      </c>
    </row>
    <row r="186" spans="2:3" hidden="1" x14ac:dyDescent="0.2">
      <c r="B186" s="111">
        <f t="shared" si="0"/>
        <v>2063</v>
      </c>
      <c r="C186" s="112">
        <f>[8]С2.5!$AV$11</f>
        <v>0</v>
      </c>
    </row>
    <row r="187" spans="2:3" hidden="1" x14ac:dyDescent="0.2">
      <c r="B187" s="111">
        <f t="shared" si="0"/>
        <v>2064</v>
      </c>
      <c r="C187" s="112">
        <f>[8]С2.5!$AW$11</f>
        <v>0</v>
      </c>
    </row>
    <row r="188" spans="2:3" hidden="1" x14ac:dyDescent="0.2">
      <c r="B188" s="111">
        <f t="shared" si="0"/>
        <v>2065</v>
      </c>
      <c r="C188" s="112">
        <f>[8]С2.5!$AX$11</f>
        <v>0</v>
      </c>
    </row>
    <row r="189" spans="2:3" hidden="1" x14ac:dyDescent="0.2">
      <c r="B189" s="111">
        <f t="shared" si="0"/>
        <v>2066</v>
      </c>
      <c r="C189" s="112">
        <f>[8]С2.5!$AY$11</f>
        <v>0</v>
      </c>
    </row>
    <row r="190" spans="2:3" hidden="1" x14ac:dyDescent="0.2">
      <c r="B190" s="111">
        <f t="shared" si="0"/>
        <v>2067</v>
      </c>
      <c r="C190" s="112">
        <f>[8]С2.5!$AZ$11</f>
        <v>0</v>
      </c>
    </row>
    <row r="191" spans="2:3" hidden="1" x14ac:dyDescent="0.2">
      <c r="B191" s="111">
        <f t="shared" si="0"/>
        <v>2068</v>
      </c>
      <c r="C191" s="112">
        <f>[8]С2.5!$BA$11</f>
        <v>0</v>
      </c>
    </row>
    <row r="192" spans="2:3" hidden="1" x14ac:dyDescent="0.2">
      <c r="B192" s="111">
        <f t="shared" si="0"/>
        <v>2069</v>
      </c>
      <c r="C192" s="112">
        <f>[8]С2.5!$BB$11</f>
        <v>0</v>
      </c>
    </row>
    <row r="193" spans="2:3" hidden="1" x14ac:dyDescent="0.2">
      <c r="B193" s="111">
        <f t="shared" si="0"/>
        <v>2070</v>
      </c>
      <c r="C193" s="112">
        <f>[8]С2.5!$BC$11</f>
        <v>0</v>
      </c>
    </row>
    <row r="194" spans="2:3" hidden="1" x14ac:dyDescent="0.2">
      <c r="B194" s="111">
        <f t="shared" si="0"/>
        <v>2071</v>
      </c>
      <c r="C194" s="112">
        <f>[8]С2.5!$BD$11</f>
        <v>0</v>
      </c>
    </row>
    <row r="195" spans="2:3" hidden="1" x14ac:dyDescent="0.2">
      <c r="B195" s="111">
        <f t="shared" si="0"/>
        <v>2072</v>
      </c>
      <c r="C195" s="112">
        <f>[8]С2.5!$BE$11</f>
        <v>0</v>
      </c>
    </row>
    <row r="196" spans="2:3" hidden="1" x14ac:dyDescent="0.2">
      <c r="B196" s="111">
        <f t="shared" si="0"/>
        <v>2073</v>
      </c>
      <c r="C196" s="112">
        <f>[8]С2.5!$BF$11</f>
        <v>0</v>
      </c>
    </row>
    <row r="197" spans="2:3" hidden="1" x14ac:dyDescent="0.2">
      <c r="B197" s="111">
        <f t="shared" si="0"/>
        <v>2074</v>
      </c>
      <c r="C197" s="112">
        <f>[8]С2.5!$BG$11</f>
        <v>0</v>
      </c>
    </row>
    <row r="198" spans="2:3" hidden="1" x14ac:dyDescent="0.2">
      <c r="B198" s="111">
        <f t="shared" si="0"/>
        <v>2075</v>
      </c>
      <c r="C198" s="112">
        <f>[8]С2.5!$BH$11</f>
        <v>0</v>
      </c>
    </row>
    <row r="199" spans="2:3" hidden="1" x14ac:dyDescent="0.2">
      <c r="B199" s="111">
        <f t="shared" si="0"/>
        <v>2076</v>
      </c>
      <c r="C199" s="112">
        <f>[8]С2.5!$BI$11</f>
        <v>0</v>
      </c>
    </row>
    <row r="200" spans="2:3" hidden="1" x14ac:dyDescent="0.2">
      <c r="B200" s="111">
        <f t="shared" si="0"/>
        <v>2077</v>
      </c>
      <c r="C200" s="112">
        <f>[8]С2.5!$BJ$11</f>
        <v>0</v>
      </c>
    </row>
    <row r="201" spans="2:3" hidden="1" x14ac:dyDescent="0.2">
      <c r="B201" s="111">
        <f t="shared" si="0"/>
        <v>2078</v>
      </c>
      <c r="C201" s="112">
        <f>[8]С2.5!$BK$11</f>
        <v>0</v>
      </c>
    </row>
    <row r="202" spans="2:3" hidden="1" x14ac:dyDescent="0.2">
      <c r="B202" s="111">
        <f t="shared" si="0"/>
        <v>2079</v>
      </c>
      <c r="C202" s="112">
        <f>[8]С2.5!$BL$11</f>
        <v>0</v>
      </c>
    </row>
    <row r="203" spans="2:3" hidden="1" x14ac:dyDescent="0.2">
      <c r="B203" s="111">
        <f t="shared" si="0"/>
        <v>2080</v>
      </c>
      <c r="C203" s="112">
        <f>[8]С2.5!$BM$11</f>
        <v>0</v>
      </c>
    </row>
    <row r="204" spans="2:3" hidden="1" x14ac:dyDescent="0.2">
      <c r="B204" s="111">
        <f t="shared" si="0"/>
        <v>2081</v>
      </c>
      <c r="C204" s="112">
        <f>[8]С2.5!$BN$11</f>
        <v>0</v>
      </c>
    </row>
    <row r="205" spans="2:3" hidden="1" x14ac:dyDescent="0.2">
      <c r="B205" s="111">
        <f t="shared" si="0"/>
        <v>2082</v>
      </c>
      <c r="C205" s="112">
        <f>[8]С2.5!$BO$11</f>
        <v>0</v>
      </c>
    </row>
    <row r="206" spans="2:3" hidden="1" x14ac:dyDescent="0.2">
      <c r="B206" s="111">
        <f t="shared" si="0"/>
        <v>2083</v>
      </c>
      <c r="C206" s="112">
        <f>[8]С2.5!$BP$11</f>
        <v>0</v>
      </c>
    </row>
    <row r="207" spans="2:3" hidden="1" x14ac:dyDescent="0.2">
      <c r="B207" s="111">
        <f t="shared" si="0"/>
        <v>2084</v>
      </c>
      <c r="C207" s="112">
        <f>[8]С2.5!$BQ$11</f>
        <v>0</v>
      </c>
    </row>
    <row r="208" spans="2:3" hidden="1" x14ac:dyDescent="0.2">
      <c r="B208" s="111">
        <f t="shared" si="0"/>
        <v>2085</v>
      </c>
      <c r="C208" s="112">
        <f>[8]С2.5!$BR$11</f>
        <v>0</v>
      </c>
    </row>
    <row r="209" spans="2:3" hidden="1" x14ac:dyDescent="0.2">
      <c r="B209" s="111">
        <f t="shared" ref="B209:B223" si="1">B208+1</f>
        <v>2086</v>
      </c>
      <c r="C209" s="112">
        <f>[8]С2.5!$BS$11</f>
        <v>0</v>
      </c>
    </row>
    <row r="210" spans="2:3" hidden="1" x14ac:dyDescent="0.2">
      <c r="B210" s="111">
        <f t="shared" si="1"/>
        <v>2087</v>
      </c>
      <c r="C210" s="112">
        <f>[8]С2.5!$BT$11</f>
        <v>0</v>
      </c>
    </row>
    <row r="211" spans="2:3" hidden="1" x14ac:dyDescent="0.2">
      <c r="B211" s="111">
        <f t="shared" si="1"/>
        <v>2088</v>
      </c>
      <c r="C211" s="112">
        <f>[8]С2.5!$BU$11</f>
        <v>0</v>
      </c>
    </row>
    <row r="212" spans="2:3" hidden="1" x14ac:dyDescent="0.2">
      <c r="B212" s="111">
        <f t="shared" si="1"/>
        <v>2089</v>
      </c>
      <c r="C212" s="112">
        <f>[8]С2.5!$BV$11</f>
        <v>0</v>
      </c>
    </row>
    <row r="213" spans="2:3" hidden="1" x14ac:dyDescent="0.2">
      <c r="B213" s="111">
        <f t="shared" si="1"/>
        <v>2090</v>
      </c>
      <c r="C213" s="112">
        <f>[8]С2.5!$BW$11</f>
        <v>0</v>
      </c>
    </row>
    <row r="214" spans="2:3" hidden="1" x14ac:dyDescent="0.2">
      <c r="B214" s="111">
        <f t="shared" si="1"/>
        <v>2091</v>
      </c>
      <c r="C214" s="112">
        <f>[8]С2.5!$BX$11</f>
        <v>0</v>
      </c>
    </row>
    <row r="215" spans="2:3" hidden="1" x14ac:dyDescent="0.2">
      <c r="B215" s="111">
        <f t="shared" si="1"/>
        <v>2092</v>
      </c>
      <c r="C215" s="112">
        <f>[8]С2.5!$BY$11</f>
        <v>0</v>
      </c>
    </row>
    <row r="216" spans="2:3" hidden="1" x14ac:dyDescent="0.2">
      <c r="B216" s="111">
        <f t="shared" si="1"/>
        <v>2093</v>
      </c>
      <c r="C216" s="112">
        <f>[8]С2.5!$BZ$11</f>
        <v>0</v>
      </c>
    </row>
    <row r="217" spans="2:3" hidden="1" x14ac:dyDescent="0.2">
      <c r="B217" s="111">
        <f t="shared" si="1"/>
        <v>2094</v>
      </c>
      <c r="C217" s="112">
        <f>[8]С2.5!$CA$11</f>
        <v>0</v>
      </c>
    </row>
    <row r="218" spans="2:3" hidden="1" x14ac:dyDescent="0.2">
      <c r="B218" s="111">
        <f t="shared" si="1"/>
        <v>2095</v>
      </c>
      <c r="C218" s="112">
        <f>[8]С2.5!$CB$11</f>
        <v>0</v>
      </c>
    </row>
    <row r="219" spans="2:3" hidden="1" x14ac:dyDescent="0.2">
      <c r="B219" s="111">
        <f t="shared" si="1"/>
        <v>2096</v>
      </c>
      <c r="C219" s="112">
        <f>[8]С2.5!$CC$11</f>
        <v>0</v>
      </c>
    </row>
    <row r="220" spans="2:3" hidden="1" x14ac:dyDescent="0.2">
      <c r="B220" s="111">
        <f t="shared" si="1"/>
        <v>2097</v>
      </c>
      <c r="C220" s="112">
        <f>[8]С2.5!$CD$11</f>
        <v>0</v>
      </c>
    </row>
    <row r="221" spans="2:3" hidden="1" x14ac:dyDescent="0.2">
      <c r="B221" s="111">
        <f t="shared" si="1"/>
        <v>2098</v>
      </c>
      <c r="C221" s="112">
        <f>[8]С2.5!$CE$11</f>
        <v>0</v>
      </c>
    </row>
    <row r="222" spans="2:3" hidden="1" x14ac:dyDescent="0.2">
      <c r="B222" s="111">
        <f t="shared" si="1"/>
        <v>2099</v>
      </c>
      <c r="C222" s="112">
        <f>[8]С2.5!$CF$11</f>
        <v>0</v>
      </c>
    </row>
    <row r="223" spans="2:3" ht="13.5" hidden="1" thickBot="1" x14ac:dyDescent="0.25">
      <c r="B223" s="113">
        <f t="shared" si="1"/>
        <v>2100</v>
      </c>
      <c r="C223" s="114">
        <f>[8]С2.5!$CG$11</f>
        <v>0</v>
      </c>
    </row>
    <row r="224" spans="2:3" hidden="1" x14ac:dyDescent="0.2">
      <c r="C224" s="117"/>
    </row>
    <row r="225" spans="3:3" hidden="1" x14ac:dyDescent="0.2">
      <c r="C225" s="117"/>
    </row>
    <row r="226" spans="3:3" x14ac:dyDescent="0.2">
      <c r="C226" s="117"/>
    </row>
  </sheetData>
  <mergeCells count="9">
    <mergeCell ref="B1:C1"/>
    <mergeCell ref="A14:C14"/>
    <mergeCell ref="B27:C27"/>
    <mergeCell ref="B141:C141"/>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6]!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mc:AlternateContent xmlns:mc="http://schemas.openxmlformats.org/markup-compatibility/2006">
          <mc:Choice Requires="x14">
            <control shapeId="6146" r:id="rId5" name="Button 2">
              <controlPr defaultSize="0" print="0" autoFill="0" autoPict="0" macro="[8]!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226"/>
  <sheetViews>
    <sheetView zoomScale="85" zoomScaleNormal="85" workbookViewId="0">
      <pane ySplit="8" topLeftCell="A9" activePane="bottomLeft" state="frozen"/>
      <selection pane="bottomLeft" activeCell="C17" sqref="C17"/>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44" t="s">
        <v>1</v>
      </c>
      <c r="C1" s="144"/>
    </row>
    <row r="2" spans="1:3" x14ac:dyDescent="0.2">
      <c r="A2" s="3"/>
      <c r="B2" s="4" t="s">
        <v>2</v>
      </c>
      <c r="C2" s="5">
        <f ca="1">TODAY()</f>
        <v>44944</v>
      </c>
    </row>
    <row r="3" spans="1:3" x14ac:dyDescent="0.2">
      <c r="A3" s="3"/>
      <c r="B3" s="6" t="s">
        <v>3</v>
      </c>
    </row>
    <row r="4" spans="1:3" ht="25.5" x14ac:dyDescent="0.2">
      <c r="A4" s="8"/>
      <c r="B4" s="9" t="str">
        <f>[9]И1!D13</f>
        <v>Субъект Российской Федерации</v>
      </c>
      <c r="C4" s="10" t="str">
        <f>[9]И1!E13</f>
        <v>Новосибирская область</v>
      </c>
    </row>
    <row r="5" spans="1:3" ht="38.25" x14ac:dyDescent="0.2">
      <c r="A5" s="8"/>
      <c r="B5" s="9" t="str">
        <f>[9]И1!D14</f>
        <v>Тип муниципального образования (выберите из списка)</v>
      </c>
      <c r="C5" s="10" t="str">
        <f>[9]И1!E14</f>
        <v>село Дубровка, Маслянинский муниципальный район</v>
      </c>
    </row>
    <row r="6" spans="1:3" x14ac:dyDescent="0.2">
      <c r="A6" s="8"/>
      <c r="B6" s="9" t="str">
        <f>IF([9]И1!E15="","",[9]И1!D15)</f>
        <v/>
      </c>
      <c r="C6" s="10" t="str">
        <f>IF([9]И1!E15="","",[9]И1!E15)</f>
        <v/>
      </c>
    </row>
    <row r="7" spans="1:3" x14ac:dyDescent="0.2">
      <c r="A7" s="8"/>
      <c r="B7" s="9" t="str">
        <f>[9]И1!D16</f>
        <v>Код ОКТМО</v>
      </c>
      <c r="C7" s="11" t="str">
        <f>[9]И1!E16</f>
        <v>50636416101</v>
      </c>
    </row>
    <row r="8" spans="1:3" x14ac:dyDescent="0.2">
      <c r="A8" s="8"/>
      <c r="B8" s="12" t="str">
        <f>[9]И1!D17</f>
        <v>Система теплоснабжения</v>
      </c>
      <c r="C8" s="13">
        <f>[9]И1!E17</f>
        <v>0</v>
      </c>
    </row>
    <row r="9" spans="1:3" x14ac:dyDescent="0.2">
      <c r="A9" s="8"/>
      <c r="B9" s="9" t="str">
        <f>[9]И1!D8</f>
        <v>Период регулирования (i)-й</v>
      </c>
      <c r="C9" s="14">
        <f>[9]И1!E8</f>
        <v>2023</v>
      </c>
    </row>
    <row r="10" spans="1:3" x14ac:dyDescent="0.2">
      <c r="A10" s="8"/>
      <c r="B10" s="9" t="str">
        <f>[9]И1!D9</f>
        <v>Период регулирования (i-1)-й</v>
      </c>
      <c r="C10" s="14">
        <f>[9]И1!E9</f>
        <v>2022</v>
      </c>
    </row>
    <row r="11" spans="1:3" x14ac:dyDescent="0.2">
      <c r="A11" s="8"/>
      <c r="B11" s="9" t="str">
        <f>[9]И1!D10</f>
        <v>Период регулирования (i-2)-й</v>
      </c>
      <c r="C11" s="14">
        <f>[9]И1!E10</f>
        <v>2021</v>
      </c>
    </row>
    <row r="12" spans="1:3" x14ac:dyDescent="0.2">
      <c r="A12" s="8"/>
      <c r="B12" s="9" t="str">
        <f>[9]И1!D11</f>
        <v>Базовый год (б)</v>
      </c>
      <c r="C12" s="14">
        <f>[9]И1!E11</f>
        <v>2019</v>
      </c>
    </row>
    <row r="13" spans="1:3" ht="38.25" x14ac:dyDescent="0.2">
      <c r="A13" s="8"/>
      <c r="B13" s="9" t="str">
        <f>[9]И1!D18</f>
        <v>Вид топлива, использование которого преобладает в системе теплоснабжения</v>
      </c>
      <c r="C13" s="15" t="str">
        <f>[9]С1.1!E13</f>
        <v>уголь (вид угля не указан в топливном балансе)</v>
      </c>
    </row>
    <row r="14" spans="1:3" ht="31.7" customHeight="1" thickBot="1" x14ac:dyDescent="0.25">
      <c r="A14" s="145" t="s">
        <v>4</v>
      </c>
      <c r="B14" s="145"/>
      <c r="C14" s="145"/>
    </row>
    <row r="15" spans="1:3" x14ac:dyDescent="0.2">
      <c r="A15" s="16" t="s">
        <v>5</v>
      </c>
      <c r="B15" s="17" t="s">
        <v>6</v>
      </c>
      <c r="C15" s="18" t="s">
        <v>7</v>
      </c>
    </row>
    <row r="16" spans="1:3" x14ac:dyDescent="0.2">
      <c r="A16" s="19">
        <v>1</v>
      </c>
      <c r="B16" s="20">
        <v>2</v>
      </c>
      <c r="C16" s="21">
        <v>3</v>
      </c>
    </row>
    <row r="17" spans="1:3" x14ac:dyDescent="0.2">
      <c r="A17" s="22">
        <v>1</v>
      </c>
      <c r="B17" s="23" t="s">
        <v>8</v>
      </c>
      <c r="C17" s="24">
        <f>SUM(C18:C22)</f>
        <v>4065.8951299165528</v>
      </c>
    </row>
    <row r="18" spans="1:3" ht="42.75" x14ac:dyDescent="0.2">
      <c r="A18" s="22" t="s">
        <v>9</v>
      </c>
      <c r="B18" s="25" t="s">
        <v>10</v>
      </c>
      <c r="C18" s="26">
        <f>[9]С1!F12</f>
        <v>931.18468604281509</v>
      </c>
    </row>
    <row r="19" spans="1:3" ht="42.75" x14ac:dyDescent="0.2">
      <c r="A19" s="22" t="s">
        <v>11</v>
      </c>
      <c r="B19" s="25" t="s">
        <v>12</v>
      </c>
      <c r="C19" s="26">
        <f>[9]С2!F12</f>
        <v>2110.2454761302993</v>
      </c>
    </row>
    <row r="20" spans="1:3" ht="30" x14ac:dyDescent="0.2">
      <c r="A20" s="22" t="s">
        <v>13</v>
      </c>
      <c r="B20" s="25" t="s">
        <v>14</v>
      </c>
      <c r="C20" s="26">
        <f>[9]С3!F12</f>
        <v>504.95006339690781</v>
      </c>
    </row>
    <row r="21" spans="1:3" ht="42.75" x14ac:dyDescent="0.2">
      <c r="A21" s="22" t="s">
        <v>15</v>
      </c>
      <c r="B21" s="25" t="s">
        <v>16</v>
      </c>
      <c r="C21" s="26">
        <f>[9]С4!F12</f>
        <v>439.79147042659815</v>
      </c>
    </row>
    <row r="22" spans="1:3" ht="30" x14ac:dyDescent="0.2">
      <c r="A22" s="22" t="s">
        <v>17</v>
      </c>
      <c r="B22" s="25" t="s">
        <v>18</v>
      </c>
      <c r="C22" s="26">
        <f>[9]С5!F12</f>
        <v>79.723433919932404</v>
      </c>
    </row>
    <row r="23" spans="1:3" ht="43.5" thickBot="1" x14ac:dyDescent="0.25">
      <c r="A23" s="27" t="s">
        <v>19</v>
      </c>
      <c r="B23" s="28" t="s">
        <v>20</v>
      </c>
      <c r="C23" s="29" t="str">
        <f>[9]С6!F12</f>
        <v>-</v>
      </c>
    </row>
    <row r="24" spans="1:3" ht="13.5" thickBot="1" x14ac:dyDescent="0.25">
      <c r="A24" s="3"/>
    </row>
    <row r="25" spans="1:3" x14ac:dyDescent="0.2">
      <c r="A25" s="16" t="s">
        <v>5</v>
      </c>
      <c r="B25" s="30" t="s">
        <v>6</v>
      </c>
      <c r="C25" s="31" t="s">
        <v>7</v>
      </c>
    </row>
    <row r="26" spans="1:3" x14ac:dyDescent="0.2">
      <c r="A26" s="19">
        <v>1</v>
      </c>
      <c r="B26" s="32">
        <v>2</v>
      </c>
      <c r="C26" s="33">
        <v>3</v>
      </c>
    </row>
    <row r="27" spans="1:3" ht="30" customHeight="1" x14ac:dyDescent="0.2">
      <c r="A27" s="22">
        <v>1</v>
      </c>
      <c r="B27" s="146" t="s">
        <v>21</v>
      </c>
      <c r="C27" s="146"/>
    </row>
    <row r="28" spans="1:3" x14ac:dyDescent="0.2">
      <c r="A28" s="22" t="s">
        <v>9</v>
      </c>
      <c r="B28" s="34" t="s">
        <v>22</v>
      </c>
      <c r="C28" s="35">
        <f>[9]С1.1!E16</f>
        <v>5100</v>
      </c>
    </row>
    <row r="29" spans="1:3" ht="42.75" x14ac:dyDescent="0.2">
      <c r="A29" s="22" t="s">
        <v>11</v>
      </c>
      <c r="B29" s="34" t="s">
        <v>23</v>
      </c>
      <c r="C29" s="35">
        <f>[9]С1.1!E27</f>
        <v>2503.8000000000002</v>
      </c>
    </row>
    <row r="30" spans="1:3" ht="17.25" x14ac:dyDescent="0.2">
      <c r="A30" s="22" t="s">
        <v>13</v>
      </c>
      <c r="B30" s="34" t="s">
        <v>24</v>
      </c>
      <c r="C30" s="36">
        <f>[9]С1.1!E19</f>
        <v>0.59499999999999997</v>
      </c>
    </row>
    <row r="31" spans="1:3" ht="17.25" x14ac:dyDescent="0.2">
      <c r="A31" s="22" t="s">
        <v>15</v>
      </c>
      <c r="B31" s="34" t="s">
        <v>25</v>
      </c>
      <c r="C31" s="36">
        <f>[9]С1.1!E20</f>
        <v>-0.113</v>
      </c>
    </row>
    <row r="32" spans="1:3" ht="30" x14ac:dyDescent="0.2">
      <c r="A32" s="22" t="s">
        <v>17</v>
      </c>
      <c r="B32" s="37" t="s">
        <v>26</v>
      </c>
      <c r="C32" s="38">
        <f>[9]С1!F13</f>
        <v>176.4</v>
      </c>
    </row>
    <row r="33" spans="1:3" x14ac:dyDescent="0.2">
      <c r="A33" s="22" t="s">
        <v>19</v>
      </c>
      <c r="B33" s="37" t="s">
        <v>27</v>
      </c>
      <c r="C33" s="39">
        <f>[9]С1!F16</f>
        <v>7000</v>
      </c>
    </row>
    <row r="34" spans="1:3" ht="14.25" x14ac:dyDescent="0.2">
      <c r="A34" s="22" t="s">
        <v>28</v>
      </c>
      <c r="B34" s="40" t="s">
        <v>29</v>
      </c>
      <c r="C34" s="41">
        <f>[9]С1!F17</f>
        <v>0.72857142857142854</v>
      </c>
    </row>
    <row r="35" spans="1:3" ht="15.75" x14ac:dyDescent="0.2">
      <c r="A35" s="42" t="s">
        <v>30</v>
      </c>
      <c r="B35" s="43" t="s">
        <v>31</v>
      </c>
      <c r="C35" s="41">
        <f>[9]С1!F20</f>
        <v>21.588411179999994</v>
      </c>
    </row>
    <row r="36" spans="1:3" ht="15.75" x14ac:dyDescent="0.2">
      <c r="A36" s="42" t="s">
        <v>32</v>
      </c>
      <c r="B36" s="44" t="s">
        <v>33</v>
      </c>
      <c r="C36" s="41">
        <f>[9]С1!F21</f>
        <v>20.818139999999996</v>
      </c>
    </row>
    <row r="37" spans="1:3" ht="14.25" x14ac:dyDescent="0.2">
      <c r="A37" s="42" t="s">
        <v>34</v>
      </c>
      <c r="B37" s="45" t="s">
        <v>35</v>
      </c>
      <c r="C37" s="41">
        <f>[9]С1!F22</f>
        <v>1.0369999999999999</v>
      </c>
    </row>
    <row r="38" spans="1:3" ht="53.25" thickBot="1" x14ac:dyDescent="0.25">
      <c r="A38" s="27" t="s">
        <v>36</v>
      </c>
      <c r="B38" s="46" t="s">
        <v>37</v>
      </c>
      <c r="C38" s="47">
        <f>[9]С1!F23</f>
        <v>1.0469999999999999</v>
      </c>
    </row>
    <row r="39" spans="1:3" ht="13.5" thickBot="1" x14ac:dyDescent="0.25">
      <c r="A39" s="48"/>
      <c r="B39" s="49"/>
      <c r="C39" s="50"/>
    </row>
    <row r="40" spans="1:3" ht="30" customHeight="1" x14ac:dyDescent="0.2">
      <c r="A40" s="51" t="s">
        <v>38</v>
      </c>
      <c r="B40" s="142" t="s">
        <v>39</v>
      </c>
      <c r="C40" s="142"/>
    </row>
    <row r="41" spans="1:3" ht="25.5" x14ac:dyDescent="0.2">
      <c r="A41" s="22" t="s">
        <v>40</v>
      </c>
      <c r="B41" s="37" t="s">
        <v>41</v>
      </c>
      <c r="C41" s="52" t="str">
        <f>[9]С2.1!E12</f>
        <v>V</v>
      </c>
    </row>
    <row r="42" spans="1:3" ht="25.5" x14ac:dyDescent="0.2">
      <c r="A42" s="22" t="s">
        <v>42</v>
      </c>
      <c r="B42" s="34" t="s">
        <v>43</v>
      </c>
      <c r="C42" s="52" t="str">
        <f>[9]С2.1!E13</f>
        <v>6 и менее баллов</v>
      </c>
    </row>
    <row r="43" spans="1:3" ht="25.5" x14ac:dyDescent="0.2">
      <c r="A43" s="22" t="s">
        <v>44</v>
      </c>
      <c r="B43" s="34" t="s">
        <v>45</v>
      </c>
      <c r="C43" s="52" t="str">
        <f>[9]С2.1!E14</f>
        <v>от 200 до 500</v>
      </c>
    </row>
    <row r="44" spans="1:3" ht="25.5" x14ac:dyDescent="0.2">
      <c r="A44" s="22" t="s">
        <v>46</v>
      </c>
      <c r="B44" s="34" t="s">
        <v>47</v>
      </c>
      <c r="C44" s="53" t="str">
        <f>[9]С2.1!E15</f>
        <v>нет</v>
      </c>
    </row>
    <row r="45" spans="1:3" ht="30" x14ac:dyDescent="0.2">
      <c r="A45" s="22" t="s">
        <v>48</v>
      </c>
      <c r="B45" s="34" t="s">
        <v>49</v>
      </c>
      <c r="C45" s="35">
        <f>[9]С2!F18</f>
        <v>32402.627334033532</v>
      </c>
    </row>
    <row r="46" spans="1:3" ht="30" x14ac:dyDescent="0.2">
      <c r="A46" s="22" t="s">
        <v>50</v>
      </c>
      <c r="B46" s="54" t="s">
        <v>51</v>
      </c>
      <c r="C46" s="35">
        <f>IF([9]С2!F19&gt;0,[9]С2!F19,[9]С2!F20)</f>
        <v>23441.524932855718</v>
      </c>
    </row>
    <row r="47" spans="1:3" ht="25.5" x14ac:dyDescent="0.2">
      <c r="A47" s="22" t="s">
        <v>52</v>
      </c>
      <c r="B47" s="55" t="s">
        <v>53</v>
      </c>
      <c r="C47" s="35">
        <f>[9]С2.1!E19</f>
        <v>-37</v>
      </c>
    </row>
    <row r="48" spans="1:3" ht="25.5" x14ac:dyDescent="0.2">
      <c r="A48" s="22" t="s">
        <v>54</v>
      </c>
      <c r="B48" s="55" t="s">
        <v>55</v>
      </c>
      <c r="C48" s="35" t="str">
        <f>[9]С2.1!E22</f>
        <v>нет</v>
      </c>
    </row>
    <row r="49" spans="1:3" ht="38.25" x14ac:dyDescent="0.2">
      <c r="A49" s="22" t="s">
        <v>56</v>
      </c>
      <c r="B49" s="56" t="s">
        <v>57</v>
      </c>
      <c r="C49" s="35">
        <f>[9]С2.2!E10</f>
        <v>1287</v>
      </c>
    </row>
    <row r="50" spans="1:3" ht="25.5" x14ac:dyDescent="0.2">
      <c r="A50" s="22" t="s">
        <v>58</v>
      </c>
      <c r="B50" s="57" t="s">
        <v>59</v>
      </c>
      <c r="C50" s="35">
        <f>[9]С2.2!E12</f>
        <v>5.97</v>
      </c>
    </row>
    <row r="51" spans="1:3" ht="52.5" x14ac:dyDescent="0.2">
      <c r="A51" s="22" t="s">
        <v>60</v>
      </c>
      <c r="B51" s="58" t="s">
        <v>61</v>
      </c>
      <c r="C51" s="35">
        <f>[9]С2.2!E13</f>
        <v>1</v>
      </c>
    </row>
    <row r="52" spans="1:3" ht="27.75" x14ac:dyDescent="0.2">
      <c r="A52" s="22" t="s">
        <v>62</v>
      </c>
      <c r="B52" s="57" t="s">
        <v>63</v>
      </c>
      <c r="C52" s="35">
        <f>[9]С2.2!E14</f>
        <v>12104</v>
      </c>
    </row>
    <row r="53" spans="1:3" ht="25.5" x14ac:dyDescent="0.2">
      <c r="A53" s="22" t="s">
        <v>64</v>
      </c>
      <c r="B53" s="58" t="s">
        <v>65</v>
      </c>
      <c r="C53" s="36">
        <f>[9]С2.2!E15</f>
        <v>4.8000000000000001E-2</v>
      </c>
    </row>
    <row r="54" spans="1:3" x14ac:dyDescent="0.2">
      <c r="A54" s="22" t="s">
        <v>66</v>
      </c>
      <c r="B54" s="58" t="s">
        <v>67</v>
      </c>
      <c r="C54" s="35">
        <f>[9]С2.2!E16</f>
        <v>1</v>
      </c>
    </row>
    <row r="55" spans="1:3" ht="15.75" x14ac:dyDescent="0.2">
      <c r="A55" s="22" t="s">
        <v>68</v>
      </c>
      <c r="B55" s="59" t="s">
        <v>69</v>
      </c>
      <c r="C55" s="35">
        <f>[9]С2!F21</f>
        <v>1</v>
      </c>
    </row>
    <row r="56" spans="1:3" ht="30" x14ac:dyDescent="0.2">
      <c r="A56" s="60" t="s">
        <v>70</v>
      </c>
      <c r="B56" s="34" t="s">
        <v>71</v>
      </c>
      <c r="C56" s="35">
        <f>[9]С2!F13</f>
        <v>169640.22915965237</v>
      </c>
    </row>
    <row r="57" spans="1:3" ht="30" x14ac:dyDescent="0.2">
      <c r="A57" s="60" t="s">
        <v>72</v>
      </c>
      <c r="B57" s="59" t="s">
        <v>73</v>
      </c>
      <c r="C57" s="35">
        <f>[9]С2!F14</f>
        <v>113455</v>
      </c>
    </row>
    <row r="58" spans="1:3" ht="15.75" x14ac:dyDescent="0.2">
      <c r="A58" s="60" t="s">
        <v>74</v>
      </c>
      <c r="B58" s="61" t="s">
        <v>75</v>
      </c>
      <c r="C58" s="41">
        <f>[9]С2!F15</f>
        <v>1.071</v>
      </c>
    </row>
    <row r="59" spans="1:3" ht="15.75" x14ac:dyDescent="0.2">
      <c r="A59" s="60" t="s">
        <v>76</v>
      </c>
      <c r="B59" s="61" t="s">
        <v>77</v>
      </c>
      <c r="C59" s="41">
        <f>[9]С2!F16</f>
        <v>1</v>
      </c>
    </row>
    <row r="60" spans="1:3" ht="17.25" x14ac:dyDescent="0.2">
      <c r="A60" s="60" t="s">
        <v>78</v>
      </c>
      <c r="B60" s="59" t="s">
        <v>79</v>
      </c>
      <c r="C60" s="35">
        <f>[9]С2!F17</f>
        <v>1.01</v>
      </c>
    </row>
    <row r="61" spans="1:3" s="64" customFormat="1" ht="14.25" x14ac:dyDescent="0.2">
      <c r="A61" s="60" t="s">
        <v>80</v>
      </c>
      <c r="B61" s="62" t="s">
        <v>81</v>
      </c>
      <c r="C61" s="63">
        <f>[9]С2!F33</f>
        <v>10</v>
      </c>
    </row>
    <row r="62" spans="1:3" ht="30" x14ac:dyDescent="0.2">
      <c r="A62" s="60" t="s">
        <v>82</v>
      </c>
      <c r="B62" s="65" t="s">
        <v>83</v>
      </c>
      <c r="C62" s="35">
        <f>[9]С2!F26</f>
        <v>1598.6279958476514</v>
      </c>
    </row>
    <row r="63" spans="1:3" ht="17.25" x14ac:dyDescent="0.2">
      <c r="A63" s="60" t="s">
        <v>84</v>
      </c>
      <c r="B63" s="54" t="s">
        <v>85</v>
      </c>
      <c r="C63" s="35">
        <f>[9]С2!F27</f>
        <v>0.27536184199999997</v>
      </c>
    </row>
    <row r="64" spans="1:3" ht="17.25" x14ac:dyDescent="0.2">
      <c r="A64" s="60" t="s">
        <v>86</v>
      </c>
      <c r="B64" s="59" t="s">
        <v>87</v>
      </c>
      <c r="C64" s="63">
        <f>[9]С2!F28</f>
        <v>4200</v>
      </c>
    </row>
    <row r="65" spans="1:3" ht="42.75" x14ac:dyDescent="0.2">
      <c r="A65" s="60" t="s">
        <v>88</v>
      </c>
      <c r="B65" s="34" t="s">
        <v>89</v>
      </c>
      <c r="C65" s="35">
        <f>[9]С2!F22</f>
        <v>35717.748653137714</v>
      </c>
    </row>
    <row r="66" spans="1:3" ht="30" x14ac:dyDescent="0.2">
      <c r="A66" s="60" t="s">
        <v>90</v>
      </c>
      <c r="B66" s="61" t="s">
        <v>91</v>
      </c>
      <c r="C66" s="35">
        <f>[9]С2!F23</f>
        <v>1990</v>
      </c>
    </row>
    <row r="67" spans="1:3" ht="30" x14ac:dyDescent="0.2">
      <c r="A67" s="60" t="s">
        <v>92</v>
      </c>
      <c r="B67" s="54" t="s">
        <v>93</v>
      </c>
      <c r="C67" s="35">
        <f>[9]С2.1!E27</f>
        <v>14307.876789999998</v>
      </c>
    </row>
    <row r="68" spans="1:3" ht="38.25" x14ac:dyDescent="0.2">
      <c r="A68" s="60" t="s">
        <v>94</v>
      </c>
      <c r="B68" s="66" t="s">
        <v>95</v>
      </c>
      <c r="C68" s="53">
        <f>[9]С2.3!E21</f>
        <v>0</v>
      </c>
    </row>
    <row r="69" spans="1:3" ht="25.5" x14ac:dyDescent="0.2">
      <c r="A69" s="60" t="s">
        <v>96</v>
      </c>
      <c r="B69" s="67" t="s">
        <v>97</v>
      </c>
      <c r="C69" s="68">
        <f>[9]С2.3!E11</f>
        <v>9.89</v>
      </c>
    </row>
    <row r="70" spans="1:3" ht="25.5" x14ac:dyDescent="0.2">
      <c r="A70" s="60" t="s">
        <v>98</v>
      </c>
      <c r="B70" s="67" t="s">
        <v>99</v>
      </c>
      <c r="C70" s="63">
        <f>[9]С2.3!E13</f>
        <v>300</v>
      </c>
    </row>
    <row r="71" spans="1:3" ht="25.5" x14ac:dyDescent="0.2">
      <c r="A71" s="60" t="s">
        <v>100</v>
      </c>
      <c r="B71" s="66" t="s">
        <v>101</v>
      </c>
      <c r="C71" s="69">
        <f>IF([9]С2.3!E22&gt;0,[9]С2.3!E22,[9]С2.3!E14)</f>
        <v>61211</v>
      </c>
    </row>
    <row r="72" spans="1:3" ht="38.25" x14ac:dyDescent="0.2">
      <c r="A72" s="60" t="s">
        <v>102</v>
      </c>
      <c r="B72" s="66" t="s">
        <v>103</v>
      </c>
      <c r="C72" s="69">
        <f>IF([9]С2.3!E23&gt;0,[9]С2.3!E23,[9]С2.3!E15)</f>
        <v>45675</v>
      </c>
    </row>
    <row r="73" spans="1:3" ht="30" x14ac:dyDescent="0.2">
      <c r="A73" s="60" t="s">
        <v>104</v>
      </c>
      <c r="B73" s="54" t="s">
        <v>105</v>
      </c>
      <c r="C73" s="35">
        <f>[9]С2.1!E28</f>
        <v>9541.9567200000001</v>
      </c>
    </row>
    <row r="74" spans="1:3" ht="38.25" x14ac:dyDescent="0.2">
      <c r="A74" s="60" t="s">
        <v>106</v>
      </c>
      <c r="B74" s="66" t="s">
        <v>107</v>
      </c>
      <c r="C74" s="53">
        <f>[9]С2.3!E25</f>
        <v>0</v>
      </c>
    </row>
    <row r="75" spans="1:3" ht="25.5" x14ac:dyDescent="0.2">
      <c r="A75" s="60" t="s">
        <v>108</v>
      </c>
      <c r="B75" s="67" t="s">
        <v>109</v>
      </c>
      <c r="C75" s="68">
        <f>[9]С2.3!E12</f>
        <v>0.56000000000000005</v>
      </c>
    </row>
    <row r="76" spans="1:3" ht="25.5" x14ac:dyDescent="0.2">
      <c r="A76" s="60" t="s">
        <v>110</v>
      </c>
      <c r="B76" s="67" t="s">
        <v>99</v>
      </c>
      <c r="C76" s="63">
        <f>[9]С2.3!E13</f>
        <v>300</v>
      </c>
    </row>
    <row r="77" spans="1:3" ht="25.5" x14ac:dyDescent="0.2">
      <c r="A77" s="60" t="s">
        <v>111</v>
      </c>
      <c r="B77" s="70" t="s">
        <v>112</v>
      </c>
      <c r="C77" s="69">
        <f>IF([9]С2.3!E26&gt;0,[9]С2.3!E26,[9]С2.3!E16)</f>
        <v>65637</v>
      </c>
    </row>
    <row r="78" spans="1:3" ht="38.25" x14ac:dyDescent="0.2">
      <c r="A78" s="60" t="s">
        <v>113</v>
      </c>
      <c r="B78" s="70" t="s">
        <v>114</v>
      </c>
      <c r="C78" s="69">
        <f>IF([9]С2.3!E27&gt;0,[9]С2.3!E27,[9]С2.3!E17)</f>
        <v>31684</v>
      </c>
    </row>
    <row r="79" spans="1:3" ht="17.25" x14ac:dyDescent="0.2">
      <c r="A79" s="60" t="s">
        <v>115</v>
      </c>
      <c r="B79" s="34" t="s">
        <v>116</v>
      </c>
      <c r="C79" s="36">
        <f>[9]С2!F29</f>
        <v>0.128978033685065</v>
      </c>
    </row>
    <row r="80" spans="1:3" ht="30" x14ac:dyDescent="0.2">
      <c r="A80" s="60" t="s">
        <v>117</v>
      </c>
      <c r="B80" s="54" t="s">
        <v>118</v>
      </c>
      <c r="C80" s="71">
        <f>[9]С2!F30</f>
        <v>0.11668498168498169</v>
      </c>
    </row>
    <row r="81" spans="1:3" ht="17.25" x14ac:dyDescent="0.2">
      <c r="A81" s="60" t="s">
        <v>119</v>
      </c>
      <c r="B81" s="72" t="s">
        <v>120</v>
      </c>
      <c r="C81" s="36">
        <f>[9]С2!F31</f>
        <v>0.13880000000000001</v>
      </c>
    </row>
    <row r="82" spans="1:3" s="64" customFormat="1" ht="18" thickBot="1" x14ac:dyDescent="0.25">
      <c r="A82" s="73" t="s">
        <v>121</v>
      </c>
      <c r="B82" s="74" t="s">
        <v>122</v>
      </c>
      <c r="C82" s="75">
        <f>[9]С2!F32</f>
        <v>0.12640000000000001</v>
      </c>
    </row>
    <row r="83" spans="1:3" ht="13.5" thickBot="1" x14ac:dyDescent="0.25">
      <c r="A83" s="48"/>
      <c r="B83" s="76"/>
      <c r="C83" s="15"/>
    </row>
    <row r="84" spans="1:3" s="64" customFormat="1" ht="30" customHeight="1" x14ac:dyDescent="0.2">
      <c r="A84" s="77" t="s">
        <v>123</v>
      </c>
      <c r="B84" s="142" t="s">
        <v>124</v>
      </c>
      <c r="C84" s="142"/>
    </row>
    <row r="85" spans="1:3" s="64" customFormat="1" ht="30" x14ac:dyDescent="0.2">
      <c r="A85" s="78" t="s">
        <v>125</v>
      </c>
      <c r="B85" s="34" t="s">
        <v>126</v>
      </c>
      <c r="C85" s="35">
        <f>[9]С3!F14</f>
        <v>7020.1696866647444</v>
      </c>
    </row>
    <row r="86" spans="1:3" s="64" customFormat="1" ht="42.75" x14ac:dyDescent="0.2">
      <c r="A86" s="78" t="s">
        <v>127</v>
      </c>
      <c r="B86" s="54" t="s">
        <v>128</v>
      </c>
      <c r="C86" s="79">
        <f>[9]С3!F15</f>
        <v>0.2</v>
      </c>
    </row>
    <row r="87" spans="1:3" s="64" customFormat="1" ht="14.25" x14ac:dyDescent="0.2">
      <c r="A87" s="78" t="s">
        <v>129</v>
      </c>
      <c r="B87" s="80" t="s">
        <v>130</v>
      </c>
      <c r="C87" s="63">
        <f>[9]С3!F18</f>
        <v>15</v>
      </c>
    </row>
    <row r="88" spans="1:3" s="64" customFormat="1" ht="17.25" x14ac:dyDescent="0.2">
      <c r="A88" s="78" t="s">
        <v>131</v>
      </c>
      <c r="B88" s="34" t="s">
        <v>132</v>
      </c>
      <c r="C88" s="35">
        <f>[9]С3!F19</f>
        <v>3487.1555421534131</v>
      </c>
    </row>
    <row r="89" spans="1:3" s="64" customFormat="1" ht="55.5" x14ac:dyDescent="0.2">
      <c r="A89" s="78" t="s">
        <v>133</v>
      </c>
      <c r="B89" s="54" t="s">
        <v>134</v>
      </c>
      <c r="C89" s="81">
        <f>[9]С3!F20</f>
        <v>2.1999999999999999E-2</v>
      </c>
    </row>
    <row r="90" spans="1:3" s="64" customFormat="1" ht="14.25" x14ac:dyDescent="0.2">
      <c r="A90" s="78" t="s">
        <v>135</v>
      </c>
      <c r="B90" s="59" t="s">
        <v>81</v>
      </c>
      <c r="C90" s="63">
        <f>[9]С3!F21</f>
        <v>10</v>
      </c>
    </row>
    <row r="91" spans="1:3" s="64" customFormat="1" ht="17.25" x14ac:dyDescent="0.2">
      <c r="A91" s="78" t="s">
        <v>136</v>
      </c>
      <c r="B91" s="34" t="s">
        <v>137</v>
      </c>
      <c r="C91" s="35">
        <f>[9]С3!F22</f>
        <v>4.795883987542954</v>
      </c>
    </row>
    <row r="92" spans="1:3" s="64" customFormat="1" ht="55.5" x14ac:dyDescent="0.2">
      <c r="A92" s="78" t="s">
        <v>138</v>
      </c>
      <c r="B92" s="54" t="s">
        <v>139</v>
      </c>
      <c r="C92" s="81">
        <f>[9]С3!F23</f>
        <v>3.0000000000000001E-3</v>
      </c>
    </row>
    <row r="93" spans="1:3" s="64" customFormat="1" ht="27.75" thickBot="1" x14ac:dyDescent="0.25">
      <c r="A93" s="82" t="s">
        <v>140</v>
      </c>
      <c r="B93" s="83" t="s">
        <v>141</v>
      </c>
      <c r="C93" s="84">
        <f>[9]С3!F24</f>
        <v>1598.6279958476514</v>
      </c>
    </row>
    <row r="94" spans="1:3" ht="13.5" thickBot="1" x14ac:dyDescent="0.25">
      <c r="A94" s="48"/>
      <c r="B94" s="76"/>
      <c r="C94" s="15"/>
    </row>
    <row r="95" spans="1:3" ht="30" customHeight="1" x14ac:dyDescent="0.2">
      <c r="A95" s="85" t="s">
        <v>142</v>
      </c>
      <c r="B95" s="142" t="s">
        <v>143</v>
      </c>
      <c r="C95" s="142"/>
    </row>
    <row r="96" spans="1:3" ht="30" x14ac:dyDescent="0.2">
      <c r="A96" s="60" t="s">
        <v>144</v>
      </c>
      <c r="B96" s="34" t="s">
        <v>145</v>
      </c>
      <c r="C96" s="35">
        <f>[9]С4!F16</f>
        <v>1652.5</v>
      </c>
    </row>
    <row r="97" spans="1:3" ht="30" x14ac:dyDescent="0.2">
      <c r="A97" s="60" t="s">
        <v>146</v>
      </c>
      <c r="B97" s="59" t="s">
        <v>147</v>
      </c>
      <c r="C97" s="35">
        <f>[9]С4!F17</f>
        <v>73547</v>
      </c>
    </row>
    <row r="98" spans="1:3" ht="33" x14ac:dyDescent="0.2">
      <c r="A98" s="60" t="s">
        <v>148</v>
      </c>
      <c r="B98" s="59" t="s">
        <v>149</v>
      </c>
      <c r="C98" s="41">
        <f>[9]С4!F18</f>
        <v>0.02</v>
      </c>
    </row>
    <row r="99" spans="1:3" ht="30" x14ac:dyDescent="0.2">
      <c r="A99" s="60" t="s">
        <v>150</v>
      </c>
      <c r="B99" s="59" t="s">
        <v>151</v>
      </c>
      <c r="C99" s="35">
        <f>[9]С4!F19</f>
        <v>12104</v>
      </c>
    </row>
    <row r="100" spans="1:3" ht="28.5" x14ac:dyDescent="0.2">
      <c r="A100" s="60" t="s">
        <v>152</v>
      </c>
      <c r="B100" s="59" t="s">
        <v>153</v>
      </c>
      <c r="C100" s="41">
        <f>[9]С4!F20</f>
        <v>1.4999999999999999E-2</v>
      </c>
    </row>
    <row r="101" spans="1:3" ht="30" x14ac:dyDescent="0.2">
      <c r="A101" s="60" t="s">
        <v>154</v>
      </c>
      <c r="B101" s="34" t="s">
        <v>155</v>
      </c>
      <c r="C101" s="35">
        <f>[9]С4!F21</f>
        <v>1933.1949342509995</v>
      </c>
    </row>
    <row r="102" spans="1:3" ht="24" customHeight="1" x14ac:dyDescent="0.2">
      <c r="A102" s="60" t="s">
        <v>156</v>
      </c>
      <c r="B102" s="54" t="s">
        <v>157</v>
      </c>
      <c r="C102" s="86">
        <f>IF([9]С4.2!F8="да",[9]С4.2!D21,[9]С4.2!D15)</f>
        <v>0</v>
      </c>
    </row>
    <row r="103" spans="1:3" ht="68.25" x14ac:dyDescent="0.2">
      <c r="A103" s="60" t="s">
        <v>158</v>
      </c>
      <c r="B103" s="54" t="s">
        <v>159</v>
      </c>
      <c r="C103" s="35">
        <f>[9]С4!F22</f>
        <v>3.6112641666666665</v>
      </c>
    </row>
    <row r="104" spans="1:3" ht="30" x14ac:dyDescent="0.2">
      <c r="A104" s="60" t="s">
        <v>160</v>
      </c>
      <c r="B104" s="59" t="s">
        <v>161</v>
      </c>
      <c r="C104" s="35">
        <f>[9]С4!F23</f>
        <v>180</v>
      </c>
    </row>
    <row r="105" spans="1:3" ht="14.25" x14ac:dyDescent="0.2">
      <c r="A105" s="60" t="s">
        <v>162</v>
      </c>
      <c r="B105" s="54" t="s">
        <v>163</v>
      </c>
      <c r="C105" s="35">
        <f>[9]С4!F24</f>
        <v>8497.1999999999989</v>
      </c>
    </row>
    <row r="106" spans="1:3" ht="14.25" x14ac:dyDescent="0.2">
      <c r="A106" s="60" t="s">
        <v>164</v>
      </c>
      <c r="B106" s="59" t="s">
        <v>165</v>
      </c>
      <c r="C106" s="41">
        <f>[9]С4!F25</f>
        <v>0.35</v>
      </c>
    </row>
    <row r="107" spans="1:3" ht="17.25" x14ac:dyDescent="0.2">
      <c r="A107" s="60" t="s">
        <v>166</v>
      </c>
      <c r="B107" s="34" t="s">
        <v>167</v>
      </c>
      <c r="C107" s="35">
        <f>[9]С4!F26</f>
        <v>92.136449999999996</v>
      </c>
    </row>
    <row r="108" spans="1:3" ht="25.5" x14ac:dyDescent="0.2">
      <c r="A108" s="60" t="s">
        <v>168</v>
      </c>
      <c r="B108" s="54" t="s">
        <v>95</v>
      </c>
      <c r="C108" s="86">
        <f>[9]С4.3!E16</f>
        <v>0</v>
      </c>
    </row>
    <row r="109" spans="1:3" ht="25.5" x14ac:dyDescent="0.2">
      <c r="A109" s="60" t="s">
        <v>169</v>
      </c>
      <c r="B109" s="54" t="s">
        <v>170</v>
      </c>
      <c r="C109" s="35">
        <f>[9]С4.3!E17</f>
        <v>23.883333333333333</v>
      </c>
    </row>
    <row r="110" spans="1:3" ht="38.25" x14ac:dyDescent="0.2">
      <c r="A110" s="60" t="s">
        <v>171</v>
      </c>
      <c r="B110" s="54" t="s">
        <v>107</v>
      </c>
      <c r="C110" s="86">
        <f>[9]С4.3!E18</f>
        <v>0</v>
      </c>
    </row>
    <row r="111" spans="1:3" x14ac:dyDescent="0.2">
      <c r="A111" s="60" t="s">
        <v>172</v>
      </c>
      <c r="B111" s="54" t="s">
        <v>173</v>
      </c>
      <c r="C111" s="35">
        <f>[9]С4.3!E19</f>
        <v>41.06666666666667</v>
      </c>
    </row>
    <row r="112" spans="1:3" x14ac:dyDescent="0.2">
      <c r="A112" s="60" t="s">
        <v>174</v>
      </c>
      <c r="B112" s="59" t="s">
        <v>175</v>
      </c>
      <c r="C112" s="35">
        <f>[9]С4.3!E11</f>
        <v>1871</v>
      </c>
    </row>
    <row r="113" spans="1:3" x14ac:dyDescent="0.2">
      <c r="A113" s="60" t="s">
        <v>176</v>
      </c>
      <c r="B113" s="59" t="s">
        <v>177</v>
      </c>
      <c r="C113" s="53">
        <f>[9]С4.3!E12</f>
        <v>1636</v>
      </c>
    </row>
    <row r="114" spans="1:3" x14ac:dyDescent="0.2">
      <c r="A114" s="60" t="s">
        <v>178</v>
      </c>
      <c r="B114" s="59" t="s">
        <v>179</v>
      </c>
      <c r="C114" s="53">
        <f>[9]С4.3!E13</f>
        <v>204</v>
      </c>
    </row>
    <row r="115" spans="1:3" ht="30" x14ac:dyDescent="0.2">
      <c r="A115" s="60" t="s">
        <v>180</v>
      </c>
      <c r="B115" s="34" t="s">
        <v>181</v>
      </c>
      <c r="C115" s="35">
        <f>[9]С4!F27</f>
        <v>1413.5806587229636</v>
      </c>
    </row>
    <row r="116" spans="1:3" ht="25.5" x14ac:dyDescent="0.2">
      <c r="A116" s="60" t="s">
        <v>182</v>
      </c>
      <c r="B116" s="54" t="s">
        <v>183</v>
      </c>
      <c r="C116" s="35">
        <f>[9]С4!F28</f>
        <v>1085.6994306627985</v>
      </c>
    </row>
    <row r="117" spans="1:3" ht="42.75" x14ac:dyDescent="0.2">
      <c r="A117" s="60" t="s">
        <v>184</v>
      </c>
      <c r="B117" s="54" t="s">
        <v>185</v>
      </c>
      <c r="C117" s="35">
        <f>[9]С4!F29</f>
        <v>327.8812280601652</v>
      </c>
    </row>
    <row r="118" spans="1:3" ht="30" x14ac:dyDescent="0.2">
      <c r="A118" s="60" t="s">
        <v>186</v>
      </c>
      <c r="B118" s="40" t="s">
        <v>187</v>
      </c>
      <c r="C118" s="35">
        <f>[9]С4!F30</f>
        <v>2117.9102414580429</v>
      </c>
    </row>
    <row r="119" spans="1:3" ht="42.75" x14ac:dyDescent="0.2">
      <c r="A119" s="60" t="s">
        <v>188</v>
      </c>
      <c r="B119" s="87" t="s">
        <v>189</v>
      </c>
      <c r="C119" s="35">
        <f>[9]С4!F33</f>
        <v>1374.0280021926758</v>
      </c>
    </row>
    <row r="120" spans="1:3" ht="30" x14ac:dyDescent="0.2">
      <c r="A120" s="60" t="s">
        <v>190</v>
      </c>
      <c r="B120" s="88" t="s">
        <v>191</v>
      </c>
      <c r="C120" s="35">
        <f>[9]С4!F35</f>
        <v>17.040680999999999</v>
      </c>
    </row>
    <row r="121" spans="1:3" ht="14.25" x14ac:dyDescent="0.2">
      <c r="A121" s="60" t="s">
        <v>192</v>
      </c>
      <c r="B121" s="57" t="s">
        <v>193</v>
      </c>
      <c r="C121" s="35">
        <f>[9]С4!F36</f>
        <v>14319.9</v>
      </c>
    </row>
    <row r="122" spans="1:3" ht="28.5" thickBot="1" x14ac:dyDescent="0.25">
      <c r="A122" s="73" t="s">
        <v>194</v>
      </c>
      <c r="B122" s="89" t="s">
        <v>195</v>
      </c>
      <c r="C122" s="84">
        <f>[9]С4!F37</f>
        <v>1.19</v>
      </c>
    </row>
    <row r="123" spans="1:3" s="90" customFormat="1" ht="13.5" thickBot="1" x14ac:dyDescent="0.25">
      <c r="A123" s="48"/>
      <c r="B123" s="76"/>
      <c r="C123" s="15"/>
    </row>
    <row r="124" spans="1:3" s="64" customFormat="1" ht="30" customHeight="1" x14ac:dyDescent="0.2">
      <c r="A124" s="77" t="s">
        <v>196</v>
      </c>
      <c r="B124" s="142" t="s">
        <v>197</v>
      </c>
      <c r="C124" s="142"/>
    </row>
    <row r="125" spans="1:3" ht="16.5" thickBot="1" x14ac:dyDescent="0.25">
      <c r="A125" s="27" t="s">
        <v>198</v>
      </c>
      <c r="B125" s="91" t="s">
        <v>199</v>
      </c>
      <c r="C125" s="84">
        <f>[9]С5!F17</f>
        <v>0.02</v>
      </c>
    </row>
    <row r="126" spans="1:3" s="90" customFormat="1" ht="13.5" thickBot="1" x14ac:dyDescent="0.25">
      <c r="A126" s="48"/>
      <c r="B126" s="76"/>
      <c r="C126" s="15"/>
    </row>
    <row r="127" spans="1:3" ht="42.75" customHeight="1" x14ac:dyDescent="0.2">
      <c r="A127" s="85" t="s">
        <v>200</v>
      </c>
      <c r="B127" s="143" t="s">
        <v>201</v>
      </c>
      <c r="C127" s="143"/>
    </row>
    <row r="128" spans="1:3" ht="68.25" x14ac:dyDescent="0.2">
      <c r="A128" s="60" t="s">
        <v>202</v>
      </c>
      <c r="B128" s="92" t="s">
        <v>203</v>
      </c>
      <c r="C128" s="35" t="s">
        <v>204</v>
      </c>
    </row>
    <row r="129" spans="1:4" ht="42.75" hidden="1" x14ac:dyDescent="0.2">
      <c r="A129" s="60" t="s">
        <v>205</v>
      </c>
      <c r="B129" s="87" t="s">
        <v>206</v>
      </c>
      <c r="C129" s="93"/>
    </row>
    <row r="130" spans="1:4" ht="69" thickBot="1" x14ac:dyDescent="0.25">
      <c r="A130" s="73" t="s">
        <v>207</v>
      </c>
      <c r="B130" s="94" t="s">
        <v>208</v>
      </c>
      <c r="C130" s="95" t="s">
        <v>204</v>
      </c>
    </row>
    <row r="131" spans="1:4" ht="62.25" hidden="1" customHeight="1" x14ac:dyDescent="0.2">
      <c r="A131" s="96" t="s">
        <v>209</v>
      </c>
      <c r="B131" s="97" t="s">
        <v>210</v>
      </c>
      <c r="C131" s="98"/>
    </row>
    <row r="132" spans="1:4" ht="68.25" hidden="1" x14ac:dyDescent="0.2">
      <c r="A132" s="60" t="s">
        <v>211</v>
      </c>
      <c r="B132" s="87" t="s">
        <v>212</v>
      </c>
      <c r="C132" s="36"/>
    </row>
    <row r="133" spans="1:4" ht="69" hidden="1" thickBot="1" x14ac:dyDescent="0.25">
      <c r="A133" s="73" t="s">
        <v>213</v>
      </c>
      <c r="B133" s="99" t="s">
        <v>214</v>
      </c>
      <c r="C133" s="75"/>
    </row>
    <row r="134" spans="1:4" s="90" customFormat="1" ht="13.5" thickBot="1" x14ac:dyDescent="0.25">
      <c r="A134" s="48"/>
      <c r="B134" s="76"/>
      <c r="C134" s="15"/>
    </row>
    <row r="135" spans="1:4" ht="26.25" customHeight="1" x14ac:dyDescent="0.2">
      <c r="A135" s="85" t="s">
        <v>215</v>
      </c>
      <c r="B135" s="100" t="s">
        <v>216</v>
      </c>
      <c r="C135" s="101">
        <f>[9]С2!F37</f>
        <v>20.818139999999996</v>
      </c>
    </row>
    <row r="136" spans="1:4" ht="14.25" x14ac:dyDescent="0.2">
      <c r="A136" s="60" t="s">
        <v>217</v>
      </c>
      <c r="B136" s="102" t="s">
        <v>218</v>
      </c>
      <c r="C136" s="35">
        <f>[9]С2!F38</f>
        <v>7</v>
      </c>
    </row>
    <row r="137" spans="1:4" ht="17.25" x14ac:dyDescent="0.2">
      <c r="A137" s="60" t="s">
        <v>219</v>
      </c>
      <c r="B137" s="102" t="s">
        <v>220</v>
      </c>
      <c r="C137" s="35">
        <f>[9]С2!F40</f>
        <v>0.97</v>
      </c>
    </row>
    <row r="138" spans="1:4" ht="15" thickBot="1" x14ac:dyDescent="0.25">
      <c r="A138" s="73" t="s">
        <v>221</v>
      </c>
      <c r="B138" s="103" t="s">
        <v>222</v>
      </c>
      <c r="C138" s="47">
        <f>[9]С2!F42</f>
        <v>0.35</v>
      </c>
    </row>
    <row r="139" spans="1:4" s="90" customFormat="1" ht="13.5" thickBot="1" x14ac:dyDescent="0.25">
      <c r="A139" s="48"/>
      <c r="B139" s="76"/>
      <c r="C139" s="15"/>
    </row>
    <row r="140" spans="1:4" ht="30" x14ac:dyDescent="0.2">
      <c r="A140" s="85" t="s">
        <v>223</v>
      </c>
      <c r="B140" s="104" t="s">
        <v>224</v>
      </c>
      <c r="C140" s="105">
        <f>[9]С2!F35</f>
        <v>1.3822747209000001</v>
      </c>
      <c r="D140" s="90"/>
    </row>
    <row r="141" spans="1:4" ht="22.7" customHeight="1" thickBot="1" x14ac:dyDescent="0.25">
      <c r="A141" s="73" t="s">
        <v>225</v>
      </c>
      <c r="B141" s="141" t="s">
        <v>226</v>
      </c>
      <c r="C141" s="141"/>
      <c r="D141" s="90"/>
    </row>
    <row r="142" spans="1:4" ht="13.5" thickBot="1" x14ac:dyDescent="0.25">
      <c r="A142" s="106"/>
      <c r="B142" s="107" t="s">
        <v>0</v>
      </c>
      <c r="C142" s="108"/>
      <c r="D142" s="90"/>
    </row>
    <row r="143" spans="1:4" x14ac:dyDescent="0.2">
      <c r="A143" s="106"/>
      <c r="B143" s="109">
        <v>2020</v>
      </c>
      <c r="C143" s="110">
        <f>[9]С2.5!$E$11</f>
        <v>-2.9000000000000026E-2</v>
      </c>
      <c r="D143" s="90"/>
    </row>
    <row r="144" spans="1:4" x14ac:dyDescent="0.2">
      <c r="A144" s="106"/>
      <c r="B144" s="111">
        <f>B143+1</f>
        <v>2021</v>
      </c>
      <c r="C144" s="112">
        <f>[9]С2.5!$F$11</f>
        <v>0.245</v>
      </c>
      <c r="D144" s="90"/>
    </row>
    <row r="145" spans="1:4" x14ac:dyDescent="0.2">
      <c r="A145" s="106"/>
      <c r="B145" s="111">
        <f t="shared" ref="B145:B208" si="0">B144+1</f>
        <v>2022</v>
      </c>
      <c r="C145" s="112">
        <f>[9]С2.5!$G$11</f>
        <v>0.121</v>
      </c>
      <c r="D145" s="90"/>
    </row>
    <row r="146" spans="1:4" ht="13.5" thickBot="1" x14ac:dyDescent="0.25">
      <c r="A146" s="106"/>
      <c r="B146" s="113">
        <f t="shared" si="0"/>
        <v>2023</v>
      </c>
      <c r="C146" s="114">
        <f>[9]С2.5!$H$11</f>
        <v>0.02</v>
      </c>
      <c r="D146" s="90"/>
    </row>
    <row r="147" spans="1:4" hidden="1" x14ac:dyDescent="0.2">
      <c r="A147" s="106"/>
      <c r="B147" s="115">
        <f t="shared" si="0"/>
        <v>2024</v>
      </c>
      <c r="C147" s="116">
        <f>[9]С2.5!$I$11</f>
        <v>-2.93E-2</v>
      </c>
      <c r="D147" s="90"/>
    </row>
    <row r="148" spans="1:4" hidden="1" x14ac:dyDescent="0.2">
      <c r="A148" s="106"/>
      <c r="B148" s="111">
        <f t="shared" si="0"/>
        <v>2025</v>
      </c>
      <c r="C148" s="112">
        <f>[9]С2.5!$J$11</f>
        <v>0.21215960863291</v>
      </c>
      <c r="D148" s="90"/>
    </row>
    <row r="149" spans="1:4" hidden="1" x14ac:dyDescent="0.2">
      <c r="A149" s="106"/>
      <c r="B149" s="111">
        <f t="shared" si="0"/>
        <v>2026</v>
      </c>
      <c r="C149" s="112">
        <f>[9]С2.5!$K$11</f>
        <v>3.5813361771260002E-2</v>
      </c>
      <c r="D149" s="90"/>
    </row>
    <row r="150" spans="1:4" hidden="1" x14ac:dyDescent="0.2">
      <c r="A150" s="106"/>
      <c r="B150" s="111">
        <f t="shared" si="0"/>
        <v>2027</v>
      </c>
      <c r="C150" s="112">
        <f>[9]С2.5!$L$11</f>
        <v>3.2682303599220003E-2</v>
      </c>
      <c r="D150" s="90"/>
    </row>
    <row r="151" spans="1:4" hidden="1" x14ac:dyDescent="0.2">
      <c r="A151" s="106"/>
      <c r="B151" s="111">
        <f t="shared" si="0"/>
        <v>2028</v>
      </c>
      <c r="C151" s="112">
        <f>[9]С2.5!$M$11</f>
        <v>0</v>
      </c>
      <c r="D151" s="90"/>
    </row>
    <row r="152" spans="1:4" hidden="1" x14ac:dyDescent="0.2">
      <c r="A152" s="106"/>
      <c r="B152" s="111">
        <f t="shared" si="0"/>
        <v>2029</v>
      </c>
      <c r="C152" s="112">
        <f>[9]С2.5!$N$11</f>
        <v>0</v>
      </c>
      <c r="D152" s="90"/>
    </row>
    <row r="153" spans="1:4" hidden="1" x14ac:dyDescent="0.2">
      <c r="A153" s="106"/>
      <c r="B153" s="111">
        <f t="shared" si="0"/>
        <v>2030</v>
      </c>
      <c r="C153" s="112">
        <f>[9]С2.5!$O$11</f>
        <v>0</v>
      </c>
      <c r="D153" s="90"/>
    </row>
    <row r="154" spans="1:4" hidden="1" x14ac:dyDescent="0.2">
      <c r="A154" s="106"/>
      <c r="B154" s="111">
        <f t="shared" si="0"/>
        <v>2031</v>
      </c>
      <c r="C154" s="112">
        <f>[9]С2.5!$P$11</f>
        <v>0</v>
      </c>
      <c r="D154" s="90"/>
    </row>
    <row r="155" spans="1:4" hidden="1" x14ac:dyDescent="0.2">
      <c r="A155" s="90"/>
      <c r="B155" s="111">
        <f t="shared" si="0"/>
        <v>2032</v>
      </c>
      <c r="C155" s="112">
        <f>[9]С2.5!$Q$11</f>
        <v>0</v>
      </c>
      <c r="D155" s="90"/>
    </row>
    <row r="156" spans="1:4" hidden="1" x14ac:dyDescent="0.2">
      <c r="A156" s="90"/>
      <c r="B156" s="111">
        <f t="shared" si="0"/>
        <v>2033</v>
      </c>
      <c r="C156" s="112">
        <f>[9]С2.5!$R$11</f>
        <v>0</v>
      </c>
      <c r="D156" s="90"/>
    </row>
    <row r="157" spans="1:4" hidden="1" x14ac:dyDescent="0.2">
      <c r="B157" s="111">
        <f t="shared" si="0"/>
        <v>2034</v>
      </c>
      <c r="C157" s="112">
        <f>[9]С2.5!$S$11</f>
        <v>0</v>
      </c>
    </row>
    <row r="158" spans="1:4" hidden="1" x14ac:dyDescent="0.2">
      <c r="B158" s="111">
        <f t="shared" si="0"/>
        <v>2035</v>
      </c>
      <c r="C158" s="112">
        <f>[9]С2.5!$T$11</f>
        <v>0</v>
      </c>
    </row>
    <row r="159" spans="1:4" hidden="1" x14ac:dyDescent="0.2">
      <c r="B159" s="111">
        <f t="shared" si="0"/>
        <v>2036</v>
      </c>
      <c r="C159" s="112">
        <f>[9]С2.5!$U$11</f>
        <v>0</v>
      </c>
    </row>
    <row r="160" spans="1:4" hidden="1" x14ac:dyDescent="0.2">
      <c r="B160" s="111">
        <f t="shared" si="0"/>
        <v>2037</v>
      </c>
      <c r="C160" s="112">
        <f>[9]С2.5!$V$11</f>
        <v>0</v>
      </c>
    </row>
    <row r="161" spans="2:3" hidden="1" x14ac:dyDescent="0.2">
      <c r="B161" s="111">
        <f t="shared" si="0"/>
        <v>2038</v>
      </c>
      <c r="C161" s="112">
        <f>[9]С2.5!$W$11</f>
        <v>0</v>
      </c>
    </row>
    <row r="162" spans="2:3" hidden="1" x14ac:dyDescent="0.2">
      <c r="B162" s="111">
        <f t="shared" si="0"/>
        <v>2039</v>
      </c>
      <c r="C162" s="112">
        <f>[9]С2.5!$X$11</f>
        <v>0</v>
      </c>
    </row>
    <row r="163" spans="2:3" hidden="1" x14ac:dyDescent="0.2">
      <c r="B163" s="111">
        <f t="shared" si="0"/>
        <v>2040</v>
      </c>
      <c r="C163" s="112">
        <f>[9]С2.5!$Y$11</f>
        <v>0</v>
      </c>
    </row>
    <row r="164" spans="2:3" hidden="1" x14ac:dyDescent="0.2">
      <c r="B164" s="111">
        <f t="shared" si="0"/>
        <v>2041</v>
      </c>
      <c r="C164" s="112">
        <f>[9]С2.5!$Z$11</f>
        <v>0</v>
      </c>
    </row>
    <row r="165" spans="2:3" hidden="1" x14ac:dyDescent="0.2">
      <c r="B165" s="111">
        <f t="shared" si="0"/>
        <v>2042</v>
      </c>
      <c r="C165" s="112">
        <f>[9]С2.5!$AA$11</f>
        <v>0</v>
      </c>
    </row>
    <row r="166" spans="2:3" hidden="1" x14ac:dyDescent="0.2">
      <c r="B166" s="111">
        <f t="shared" si="0"/>
        <v>2043</v>
      </c>
      <c r="C166" s="112">
        <f>[9]С2.5!$AB$11</f>
        <v>0</v>
      </c>
    </row>
    <row r="167" spans="2:3" hidden="1" x14ac:dyDescent="0.2">
      <c r="B167" s="111">
        <f t="shared" si="0"/>
        <v>2044</v>
      </c>
      <c r="C167" s="112">
        <f>[9]С2.5!$AC$11</f>
        <v>0</v>
      </c>
    </row>
    <row r="168" spans="2:3" hidden="1" x14ac:dyDescent="0.2">
      <c r="B168" s="111">
        <f t="shared" si="0"/>
        <v>2045</v>
      </c>
      <c r="C168" s="112">
        <f>[9]С2.5!$AD$11</f>
        <v>0</v>
      </c>
    </row>
    <row r="169" spans="2:3" hidden="1" x14ac:dyDescent="0.2">
      <c r="B169" s="111">
        <f t="shared" si="0"/>
        <v>2046</v>
      </c>
      <c r="C169" s="112">
        <f>[9]С2.5!$AE$11</f>
        <v>0</v>
      </c>
    </row>
    <row r="170" spans="2:3" hidden="1" x14ac:dyDescent="0.2">
      <c r="B170" s="111">
        <f t="shared" si="0"/>
        <v>2047</v>
      </c>
      <c r="C170" s="112">
        <f>[9]С2.5!$AF$11</f>
        <v>0</v>
      </c>
    </row>
    <row r="171" spans="2:3" hidden="1" x14ac:dyDescent="0.2">
      <c r="B171" s="111">
        <f t="shared" si="0"/>
        <v>2048</v>
      </c>
      <c r="C171" s="112">
        <f>[9]С2.5!$AG$11</f>
        <v>0</v>
      </c>
    </row>
    <row r="172" spans="2:3" hidden="1" x14ac:dyDescent="0.2">
      <c r="B172" s="111">
        <f t="shared" si="0"/>
        <v>2049</v>
      </c>
      <c r="C172" s="112">
        <f>[9]С2.5!$AH$11</f>
        <v>0</v>
      </c>
    </row>
    <row r="173" spans="2:3" hidden="1" x14ac:dyDescent="0.2">
      <c r="B173" s="111">
        <f t="shared" si="0"/>
        <v>2050</v>
      </c>
      <c r="C173" s="112">
        <f>[9]С2.5!$AI$11</f>
        <v>0</v>
      </c>
    </row>
    <row r="174" spans="2:3" hidden="1" x14ac:dyDescent="0.2">
      <c r="B174" s="111">
        <f t="shared" si="0"/>
        <v>2051</v>
      </c>
      <c r="C174" s="112">
        <f>[9]С2.5!$AJ$11</f>
        <v>0</v>
      </c>
    </row>
    <row r="175" spans="2:3" hidden="1" x14ac:dyDescent="0.2">
      <c r="B175" s="111">
        <f t="shared" si="0"/>
        <v>2052</v>
      </c>
      <c r="C175" s="112">
        <f>[9]С2.5!$AK$11</f>
        <v>0</v>
      </c>
    </row>
    <row r="176" spans="2:3" hidden="1" x14ac:dyDescent="0.2">
      <c r="B176" s="111">
        <f t="shared" si="0"/>
        <v>2053</v>
      </c>
      <c r="C176" s="112">
        <f>[9]С2.5!$AL$11</f>
        <v>0</v>
      </c>
    </row>
    <row r="177" spans="2:3" hidden="1" x14ac:dyDescent="0.2">
      <c r="B177" s="111">
        <f t="shared" si="0"/>
        <v>2054</v>
      </c>
      <c r="C177" s="112">
        <f>[9]С2.5!$AM$11</f>
        <v>0</v>
      </c>
    </row>
    <row r="178" spans="2:3" hidden="1" x14ac:dyDescent="0.2">
      <c r="B178" s="111">
        <f t="shared" si="0"/>
        <v>2055</v>
      </c>
      <c r="C178" s="112">
        <f>[9]С2.5!$AN$11</f>
        <v>0</v>
      </c>
    </row>
    <row r="179" spans="2:3" hidden="1" x14ac:dyDescent="0.2">
      <c r="B179" s="111">
        <f t="shared" si="0"/>
        <v>2056</v>
      </c>
      <c r="C179" s="112">
        <f>[9]С2.5!$AO$11</f>
        <v>0</v>
      </c>
    </row>
    <row r="180" spans="2:3" hidden="1" x14ac:dyDescent="0.2">
      <c r="B180" s="111">
        <f t="shared" si="0"/>
        <v>2057</v>
      </c>
      <c r="C180" s="112">
        <f>[9]С2.5!$AP$11</f>
        <v>0</v>
      </c>
    </row>
    <row r="181" spans="2:3" hidden="1" x14ac:dyDescent="0.2">
      <c r="B181" s="111">
        <f t="shared" si="0"/>
        <v>2058</v>
      </c>
      <c r="C181" s="112">
        <f>[9]С2.5!$AQ$11</f>
        <v>0</v>
      </c>
    </row>
    <row r="182" spans="2:3" hidden="1" x14ac:dyDescent="0.2">
      <c r="B182" s="111">
        <f t="shared" si="0"/>
        <v>2059</v>
      </c>
      <c r="C182" s="112">
        <f>[9]С2.5!$AR$11</f>
        <v>0</v>
      </c>
    </row>
    <row r="183" spans="2:3" hidden="1" x14ac:dyDescent="0.2">
      <c r="B183" s="111">
        <f t="shared" si="0"/>
        <v>2060</v>
      </c>
      <c r="C183" s="112">
        <f>[9]С2.5!$AS$11</f>
        <v>0</v>
      </c>
    </row>
    <row r="184" spans="2:3" hidden="1" x14ac:dyDescent="0.2">
      <c r="B184" s="111">
        <f t="shared" si="0"/>
        <v>2061</v>
      </c>
      <c r="C184" s="112">
        <f>[9]С2.5!$AT$11</f>
        <v>0</v>
      </c>
    </row>
    <row r="185" spans="2:3" hidden="1" x14ac:dyDescent="0.2">
      <c r="B185" s="111">
        <f t="shared" si="0"/>
        <v>2062</v>
      </c>
      <c r="C185" s="112">
        <f>[9]С2.5!$AU$11</f>
        <v>0</v>
      </c>
    </row>
    <row r="186" spans="2:3" hidden="1" x14ac:dyDescent="0.2">
      <c r="B186" s="111">
        <f t="shared" si="0"/>
        <v>2063</v>
      </c>
      <c r="C186" s="112">
        <f>[9]С2.5!$AV$11</f>
        <v>0</v>
      </c>
    </row>
    <row r="187" spans="2:3" hidden="1" x14ac:dyDescent="0.2">
      <c r="B187" s="111">
        <f t="shared" si="0"/>
        <v>2064</v>
      </c>
      <c r="C187" s="112">
        <f>[9]С2.5!$AW$11</f>
        <v>0</v>
      </c>
    </row>
    <row r="188" spans="2:3" hidden="1" x14ac:dyDescent="0.2">
      <c r="B188" s="111">
        <f t="shared" si="0"/>
        <v>2065</v>
      </c>
      <c r="C188" s="112">
        <f>[9]С2.5!$AX$11</f>
        <v>0</v>
      </c>
    </row>
    <row r="189" spans="2:3" hidden="1" x14ac:dyDescent="0.2">
      <c r="B189" s="111">
        <f t="shared" si="0"/>
        <v>2066</v>
      </c>
      <c r="C189" s="112">
        <f>[9]С2.5!$AY$11</f>
        <v>0</v>
      </c>
    </row>
    <row r="190" spans="2:3" hidden="1" x14ac:dyDescent="0.2">
      <c r="B190" s="111">
        <f t="shared" si="0"/>
        <v>2067</v>
      </c>
      <c r="C190" s="112">
        <f>[9]С2.5!$AZ$11</f>
        <v>0</v>
      </c>
    </row>
    <row r="191" spans="2:3" hidden="1" x14ac:dyDescent="0.2">
      <c r="B191" s="111">
        <f t="shared" si="0"/>
        <v>2068</v>
      </c>
      <c r="C191" s="112">
        <f>[9]С2.5!$BA$11</f>
        <v>0</v>
      </c>
    </row>
    <row r="192" spans="2:3" hidden="1" x14ac:dyDescent="0.2">
      <c r="B192" s="111">
        <f t="shared" si="0"/>
        <v>2069</v>
      </c>
      <c r="C192" s="112">
        <f>[9]С2.5!$BB$11</f>
        <v>0</v>
      </c>
    </row>
    <row r="193" spans="2:3" hidden="1" x14ac:dyDescent="0.2">
      <c r="B193" s="111">
        <f t="shared" si="0"/>
        <v>2070</v>
      </c>
      <c r="C193" s="112">
        <f>[9]С2.5!$BC$11</f>
        <v>0</v>
      </c>
    </row>
    <row r="194" spans="2:3" hidden="1" x14ac:dyDescent="0.2">
      <c r="B194" s="111">
        <f t="shared" si="0"/>
        <v>2071</v>
      </c>
      <c r="C194" s="112">
        <f>[9]С2.5!$BD$11</f>
        <v>0</v>
      </c>
    </row>
    <row r="195" spans="2:3" hidden="1" x14ac:dyDescent="0.2">
      <c r="B195" s="111">
        <f t="shared" si="0"/>
        <v>2072</v>
      </c>
      <c r="C195" s="112">
        <f>[9]С2.5!$BE$11</f>
        <v>0</v>
      </c>
    </row>
    <row r="196" spans="2:3" hidden="1" x14ac:dyDescent="0.2">
      <c r="B196" s="111">
        <f t="shared" si="0"/>
        <v>2073</v>
      </c>
      <c r="C196" s="112">
        <f>[9]С2.5!$BF$11</f>
        <v>0</v>
      </c>
    </row>
    <row r="197" spans="2:3" hidden="1" x14ac:dyDescent="0.2">
      <c r="B197" s="111">
        <f t="shared" si="0"/>
        <v>2074</v>
      </c>
      <c r="C197" s="112">
        <f>[9]С2.5!$BG$11</f>
        <v>0</v>
      </c>
    </row>
    <row r="198" spans="2:3" hidden="1" x14ac:dyDescent="0.2">
      <c r="B198" s="111">
        <f t="shared" si="0"/>
        <v>2075</v>
      </c>
      <c r="C198" s="112">
        <f>[9]С2.5!$BH$11</f>
        <v>0</v>
      </c>
    </row>
    <row r="199" spans="2:3" hidden="1" x14ac:dyDescent="0.2">
      <c r="B199" s="111">
        <f t="shared" si="0"/>
        <v>2076</v>
      </c>
      <c r="C199" s="112">
        <f>[9]С2.5!$BI$11</f>
        <v>0</v>
      </c>
    </row>
    <row r="200" spans="2:3" hidden="1" x14ac:dyDescent="0.2">
      <c r="B200" s="111">
        <f t="shared" si="0"/>
        <v>2077</v>
      </c>
      <c r="C200" s="112">
        <f>[9]С2.5!$BJ$11</f>
        <v>0</v>
      </c>
    </row>
    <row r="201" spans="2:3" hidden="1" x14ac:dyDescent="0.2">
      <c r="B201" s="111">
        <f t="shared" si="0"/>
        <v>2078</v>
      </c>
      <c r="C201" s="112">
        <f>[9]С2.5!$BK$11</f>
        <v>0</v>
      </c>
    </row>
    <row r="202" spans="2:3" hidden="1" x14ac:dyDescent="0.2">
      <c r="B202" s="111">
        <f t="shared" si="0"/>
        <v>2079</v>
      </c>
      <c r="C202" s="112">
        <f>[9]С2.5!$BL$11</f>
        <v>0</v>
      </c>
    </row>
    <row r="203" spans="2:3" hidden="1" x14ac:dyDescent="0.2">
      <c r="B203" s="111">
        <f t="shared" si="0"/>
        <v>2080</v>
      </c>
      <c r="C203" s="112">
        <f>[9]С2.5!$BM$11</f>
        <v>0</v>
      </c>
    </row>
    <row r="204" spans="2:3" hidden="1" x14ac:dyDescent="0.2">
      <c r="B204" s="111">
        <f t="shared" si="0"/>
        <v>2081</v>
      </c>
      <c r="C204" s="112">
        <f>[9]С2.5!$BN$11</f>
        <v>0</v>
      </c>
    </row>
    <row r="205" spans="2:3" hidden="1" x14ac:dyDescent="0.2">
      <c r="B205" s="111">
        <f t="shared" si="0"/>
        <v>2082</v>
      </c>
      <c r="C205" s="112">
        <f>[9]С2.5!$BO$11</f>
        <v>0</v>
      </c>
    </row>
    <row r="206" spans="2:3" hidden="1" x14ac:dyDescent="0.2">
      <c r="B206" s="111">
        <f t="shared" si="0"/>
        <v>2083</v>
      </c>
      <c r="C206" s="112">
        <f>[9]С2.5!$BP$11</f>
        <v>0</v>
      </c>
    </row>
    <row r="207" spans="2:3" hidden="1" x14ac:dyDescent="0.2">
      <c r="B207" s="111">
        <f t="shared" si="0"/>
        <v>2084</v>
      </c>
      <c r="C207" s="112">
        <f>[9]С2.5!$BQ$11</f>
        <v>0</v>
      </c>
    </row>
    <row r="208" spans="2:3" hidden="1" x14ac:dyDescent="0.2">
      <c r="B208" s="111">
        <f t="shared" si="0"/>
        <v>2085</v>
      </c>
      <c r="C208" s="112">
        <f>[9]С2.5!$BR$11</f>
        <v>0</v>
      </c>
    </row>
    <row r="209" spans="2:3" hidden="1" x14ac:dyDescent="0.2">
      <c r="B209" s="111">
        <f t="shared" ref="B209:B223" si="1">B208+1</f>
        <v>2086</v>
      </c>
      <c r="C209" s="112">
        <f>[9]С2.5!$BS$11</f>
        <v>0</v>
      </c>
    </row>
    <row r="210" spans="2:3" hidden="1" x14ac:dyDescent="0.2">
      <c r="B210" s="111">
        <f t="shared" si="1"/>
        <v>2087</v>
      </c>
      <c r="C210" s="112">
        <f>[9]С2.5!$BT$11</f>
        <v>0</v>
      </c>
    </row>
    <row r="211" spans="2:3" hidden="1" x14ac:dyDescent="0.2">
      <c r="B211" s="111">
        <f t="shared" si="1"/>
        <v>2088</v>
      </c>
      <c r="C211" s="112">
        <f>[9]С2.5!$BU$11</f>
        <v>0</v>
      </c>
    </row>
    <row r="212" spans="2:3" hidden="1" x14ac:dyDescent="0.2">
      <c r="B212" s="111">
        <f t="shared" si="1"/>
        <v>2089</v>
      </c>
      <c r="C212" s="112">
        <f>[9]С2.5!$BV$11</f>
        <v>0</v>
      </c>
    </row>
    <row r="213" spans="2:3" hidden="1" x14ac:dyDescent="0.2">
      <c r="B213" s="111">
        <f t="shared" si="1"/>
        <v>2090</v>
      </c>
      <c r="C213" s="112">
        <f>[9]С2.5!$BW$11</f>
        <v>0</v>
      </c>
    </row>
    <row r="214" spans="2:3" hidden="1" x14ac:dyDescent="0.2">
      <c r="B214" s="111">
        <f t="shared" si="1"/>
        <v>2091</v>
      </c>
      <c r="C214" s="112">
        <f>[9]С2.5!$BX$11</f>
        <v>0</v>
      </c>
    </row>
    <row r="215" spans="2:3" hidden="1" x14ac:dyDescent="0.2">
      <c r="B215" s="111">
        <f t="shared" si="1"/>
        <v>2092</v>
      </c>
      <c r="C215" s="112">
        <f>[9]С2.5!$BY$11</f>
        <v>0</v>
      </c>
    </row>
    <row r="216" spans="2:3" hidden="1" x14ac:dyDescent="0.2">
      <c r="B216" s="111">
        <f t="shared" si="1"/>
        <v>2093</v>
      </c>
      <c r="C216" s="112">
        <f>[9]С2.5!$BZ$11</f>
        <v>0</v>
      </c>
    </row>
    <row r="217" spans="2:3" hidden="1" x14ac:dyDescent="0.2">
      <c r="B217" s="111">
        <f t="shared" si="1"/>
        <v>2094</v>
      </c>
      <c r="C217" s="112">
        <f>[9]С2.5!$CA$11</f>
        <v>0</v>
      </c>
    </row>
    <row r="218" spans="2:3" hidden="1" x14ac:dyDescent="0.2">
      <c r="B218" s="111">
        <f t="shared" si="1"/>
        <v>2095</v>
      </c>
      <c r="C218" s="112">
        <f>[9]С2.5!$CB$11</f>
        <v>0</v>
      </c>
    </row>
    <row r="219" spans="2:3" hidden="1" x14ac:dyDescent="0.2">
      <c r="B219" s="111">
        <f t="shared" si="1"/>
        <v>2096</v>
      </c>
      <c r="C219" s="112">
        <f>[9]С2.5!$CC$11</f>
        <v>0</v>
      </c>
    </row>
    <row r="220" spans="2:3" hidden="1" x14ac:dyDescent="0.2">
      <c r="B220" s="111">
        <f t="shared" si="1"/>
        <v>2097</v>
      </c>
      <c r="C220" s="112">
        <f>[9]С2.5!$CD$11</f>
        <v>0</v>
      </c>
    </row>
    <row r="221" spans="2:3" hidden="1" x14ac:dyDescent="0.2">
      <c r="B221" s="111">
        <f t="shared" si="1"/>
        <v>2098</v>
      </c>
      <c r="C221" s="112">
        <f>[9]С2.5!$CE$11</f>
        <v>0</v>
      </c>
    </row>
    <row r="222" spans="2:3" hidden="1" x14ac:dyDescent="0.2">
      <c r="B222" s="111">
        <f t="shared" si="1"/>
        <v>2099</v>
      </c>
      <c r="C222" s="112">
        <f>[9]С2.5!$CF$11</f>
        <v>0</v>
      </c>
    </row>
    <row r="223" spans="2:3" ht="13.5" hidden="1" thickBot="1" x14ac:dyDescent="0.25">
      <c r="B223" s="113">
        <f t="shared" si="1"/>
        <v>2100</v>
      </c>
      <c r="C223" s="114">
        <f>[9]С2.5!$CG$11</f>
        <v>0</v>
      </c>
    </row>
    <row r="224" spans="2:3" hidden="1" x14ac:dyDescent="0.2">
      <c r="C224" s="117"/>
    </row>
    <row r="225" spans="3:3" hidden="1" x14ac:dyDescent="0.2">
      <c r="C225" s="117"/>
    </row>
    <row r="226" spans="3:3" x14ac:dyDescent="0.2">
      <c r="C226" s="117"/>
    </row>
  </sheetData>
  <mergeCells count="9">
    <mergeCell ref="B1:C1"/>
    <mergeCell ref="A14:C14"/>
    <mergeCell ref="B27:C27"/>
    <mergeCell ref="B141:C141"/>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Button 1">
              <controlPr defaultSize="0" print="0" autoFill="0" autoPict="0" macro="[6]!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mc:AlternateContent xmlns:mc="http://schemas.openxmlformats.org/markup-compatibility/2006">
          <mc:Choice Requires="x14">
            <control shapeId="7170" r:id="rId5" name="Button 2">
              <controlPr defaultSize="0" print="0" autoFill="0" autoPict="0" macro="[9]!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226"/>
  <sheetViews>
    <sheetView zoomScale="85" zoomScaleNormal="85" workbookViewId="0">
      <pane ySplit="8" topLeftCell="A9" activePane="bottomLeft" state="frozen"/>
      <selection pane="bottomLeft" activeCell="C17" sqref="C17"/>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44" t="s">
        <v>1</v>
      </c>
      <c r="C1" s="144"/>
    </row>
    <row r="2" spans="1:3" x14ac:dyDescent="0.2">
      <c r="A2" s="3"/>
      <c r="B2" s="4" t="s">
        <v>2</v>
      </c>
      <c r="C2" s="5">
        <f ca="1">TODAY()</f>
        <v>44944</v>
      </c>
    </row>
    <row r="3" spans="1:3" x14ac:dyDescent="0.2">
      <c r="A3" s="3"/>
      <c r="B3" s="6" t="s">
        <v>3</v>
      </c>
    </row>
    <row r="4" spans="1:3" ht="25.5" x14ac:dyDescent="0.2">
      <c r="A4" s="8"/>
      <c r="B4" s="9" t="str">
        <f>[10]И1!D13</f>
        <v>Субъект Российской Федерации</v>
      </c>
      <c r="C4" s="10" t="str">
        <f>[10]И1!E13</f>
        <v>Новосибирская область</v>
      </c>
    </row>
    <row r="5" spans="1:3" ht="38.25" x14ac:dyDescent="0.2">
      <c r="A5" s="8"/>
      <c r="B5" s="9" t="str">
        <f>[10]И1!D14</f>
        <v>Тип муниципального образования (выберите из списка)</v>
      </c>
      <c r="C5" s="10" t="str">
        <f>[10]И1!E14</f>
        <v>село Егорьевское, Маслянинский муниципальный район</v>
      </c>
    </row>
    <row r="6" spans="1:3" x14ac:dyDescent="0.2">
      <c r="A6" s="8"/>
      <c r="B6" s="9" t="str">
        <f>IF([10]И1!E15="","",[10]И1!D15)</f>
        <v/>
      </c>
      <c r="C6" s="10" t="str">
        <f>IF([10]И1!E15="","",[10]И1!E15)</f>
        <v/>
      </c>
    </row>
    <row r="7" spans="1:3" x14ac:dyDescent="0.2">
      <c r="A7" s="8"/>
      <c r="B7" s="9" t="str">
        <f>[10]И1!D16</f>
        <v>Код ОКТМО</v>
      </c>
      <c r="C7" s="11" t="str">
        <f>[10]И1!E16</f>
        <v>50636419101</v>
      </c>
    </row>
    <row r="8" spans="1:3" x14ac:dyDescent="0.2">
      <c r="A8" s="8"/>
      <c r="B8" s="12" t="str">
        <f>[10]И1!D17</f>
        <v>Система теплоснабжения</v>
      </c>
      <c r="C8" s="13">
        <f>[10]И1!E17</f>
        <v>0</v>
      </c>
    </row>
    <row r="9" spans="1:3" x14ac:dyDescent="0.2">
      <c r="A9" s="8"/>
      <c r="B9" s="9" t="str">
        <f>[10]И1!D8</f>
        <v>Период регулирования (i)-й</v>
      </c>
      <c r="C9" s="14">
        <f>[10]И1!E8</f>
        <v>2023</v>
      </c>
    </row>
    <row r="10" spans="1:3" x14ac:dyDescent="0.2">
      <c r="A10" s="8"/>
      <c r="B10" s="9" t="str">
        <f>[10]И1!D9</f>
        <v>Период регулирования (i-1)-й</v>
      </c>
      <c r="C10" s="14">
        <f>[10]И1!E9</f>
        <v>2022</v>
      </c>
    </row>
    <row r="11" spans="1:3" x14ac:dyDescent="0.2">
      <c r="A11" s="8"/>
      <c r="B11" s="9" t="str">
        <f>[10]И1!D10</f>
        <v>Период регулирования (i-2)-й</v>
      </c>
      <c r="C11" s="14">
        <f>[10]И1!E10</f>
        <v>2021</v>
      </c>
    </row>
    <row r="12" spans="1:3" x14ac:dyDescent="0.2">
      <c r="A12" s="8"/>
      <c r="B12" s="9" t="str">
        <f>[10]И1!D11</f>
        <v>Базовый год (б)</v>
      </c>
      <c r="C12" s="14">
        <f>[10]И1!E11</f>
        <v>2019</v>
      </c>
    </row>
    <row r="13" spans="1:3" ht="38.25" x14ac:dyDescent="0.2">
      <c r="A13" s="8"/>
      <c r="B13" s="9" t="str">
        <f>[10]И1!D18</f>
        <v>Вид топлива, использование которого преобладает в системе теплоснабжения</v>
      </c>
      <c r="C13" s="15" t="str">
        <f>[10]С1.1!E13</f>
        <v>уголь (вид угля не указан в топливном балансе)</v>
      </c>
    </row>
    <row r="14" spans="1:3" ht="31.7" customHeight="1" thickBot="1" x14ac:dyDescent="0.25">
      <c r="A14" s="145" t="s">
        <v>4</v>
      </c>
      <c r="B14" s="145"/>
      <c r="C14" s="145"/>
    </row>
    <row r="15" spans="1:3" x14ac:dyDescent="0.2">
      <c r="A15" s="16" t="s">
        <v>5</v>
      </c>
      <c r="B15" s="17" t="s">
        <v>6</v>
      </c>
      <c r="C15" s="18" t="s">
        <v>7</v>
      </c>
    </row>
    <row r="16" spans="1:3" x14ac:dyDescent="0.2">
      <c r="A16" s="19">
        <v>1</v>
      </c>
      <c r="B16" s="20">
        <v>2</v>
      </c>
      <c r="C16" s="21">
        <v>3</v>
      </c>
    </row>
    <row r="17" spans="1:3" x14ac:dyDescent="0.2">
      <c r="A17" s="22">
        <v>1</v>
      </c>
      <c r="B17" s="23" t="s">
        <v>8</v>
      </c>
      <c r="C17" s="24">
        <f>SUM(C18:C22)</f>
        <v>4066.6391410907599</v>
      </c>
    </row>
    <row r="18" spans="1:3" ht="42.75" x14ac:dyDescent="0.2">
      <c r="A18" s="22" t="s">
        <v>9</v>
      </c>
      <c r="B18" s="25" t="s">
        <v>10</v>
      </c>
      <c r="C18" s="26">
        <f>[10]С1!F12</f>
        <v>931.18468604281509</v>
      </c>
    </row>
    <row r="19" spans="1:3" ht="42.75" x14ac:dyDescent="0.2">
      <c r="A19" s="22" t="s">
        <v>11</v>
      </c>
      <c r="B19" s="25" t="s">
        <v>12</v>
      </c>
      <c r="C19" s="26">
        <f>[10]С2!F12</f>
        <v>2110.2454761302993</v>
      </c>
    </row>
    <row r="20" spans="1:3" ht="30" x14ac:dyDescent="0.2">
      <c r="A20" s="22" t="s">
        <v>13</v>
      </c>
      <c r="B20" s="25" t="s">
        <v>14</v>
      </c>
      <c r="C20" s="26">
        <f>[10]С3!F12</f>
        <v>504.95006339690781</v>
      </c>
    </row>
    <row r="21" spans="1:3" ht="42.75" x14ac:dyDescent="0.2">
      <c r="A21" s="22" t="s">
        <v>15</v>
      </c>
      <c r="B21" s="25" t="s">
        <v>16</v>
      </c>
      <c r="C21" s="26">
        <f>[10]С4!F12</f>
        <v>440.52089314640926</v>
      </c>
    </row>
    <row r="22" spans="1:3" ht="30" x14ac:dyDescent="0.2">
      <c r="A22" s="22" t="s">
        <v>17</v>
      </c>
      <c r="B22" s="25" t="s">
        <v>18</v>
      </c>
      <c r="C22" s="26">
        <f>[10]С5!F12</f>
        <v>79.738022374328636</v>
      </c>
    </row>
    <row r="23" spans="1:3" ht="43.5" thickBot="1" x14ac:dyDescent="0.25">
      <c r="A23" s="27" t="s">
        <v>19</v>
      </c>
      <c r="B23" s="28" t="s">
        <v>20</v>
      </c>
      <c r="C23" s="29" t="str">
        <f>[10]С6!F12</f>
        <v>-</v>
      </c>
    </row>
    <row r="24" spans="1:3" ht="13.5" thickBot="1" x14ac:dyDescent="0.25">
      <c r="A24" s="3"/>
    </row>
    <row r="25" spans="1:3" x14ac:dyDescent="0.2">
      <c r="A25" s="16" t="s">
        <v>5</v>
      </c>
      <c r="B25" s="30" t="s">
        <v>6</v>
      </c>
      <c r="C25" s="31" t="s">
        <v>7</v>
      </c>
    </row>
    <row r="26" spans="1:3" x14ac:dyDescent="0.2">
      <c r="A26" s="19">
        <v>1</v>
      </c>
      <c r="B26" s="32">
        <v>2</v>
      </c>
      <c r="C26" s="33">
        <v>3</v>
      </c>
    </row>
    <row r="27" spans="1:3" ht="30" customHeight="1" x14ac:dyDescent="0.2">
      <c r="A27" s="22">
        <v>1</v>
      </c>
      <c r="B27" s="146" t="s">
        <v>21</v>
      </c>
      <c r="C27" s="146"/>
    </row>
    <row r="28" spans="1:3" x14ac:dyDescent="0.2">
      <c r="A28" s="22" t="s">
        <v>9</v>
      </c>
      <c r="B28" s="34" t="s">
        <v>22</v>
      </c>
      <c r="C28" s="35">
        <f>[10]С1.1!E16</f>
        <v>5100</v>
      </c>
    </row>
    <row r="29" spans="1:3" ht="42.75" x14ac:dyDescent="0.2">
      <c r="A29" s="22" t="s">
        <v>11</v>
      </c>
      <c r="B29" s="34" t="s">
        <v>23</v>
      </c>
      <c r="C29" s="35">
        <f>[10]С1.1!E27</f>
        <v>2503.8000000000002</v>
      </c>
    </row>
    <row r="30" spans="1:3" ht="17.25" x14ac:dyDescent="0.2">
      <c r="A30" s="22" t="s">
        <v>13</v>
      </c>
      <c r="B30" s="34" t="s">
        <v>24</v>
      </c>
      <c r="C30" s="36">
        <f>[10]С1.1!E19</f>
        <v>0.59499999999999997</v>
      </c>
    </row>
    <row r="31" spans="1:3" ht="17.25" x14ac:dyDescent="0.2">
      <c r="A31" s="22" t="s">
        <v>15</v>
      </c>
      <c r="B31" s="34" t="s">
        <v>25</v>
      </c>
      <c r="C31" s="36">
        <f>[10]С1.1!E20</f>
        <v>-0.113</v>
      </c>
    </row>
    <row r="32" spans="1:3" ht="30" x14ac:dyDescent="0.2">
      <c r="A32" s="22" t="s">
        <v>17</v>
      </c>
      <c r="B32" s="37" t="s">
        <v>26</v>
      </c>
      <c r="C32" s="38">
        <f>[10]С1!F13</f>
        <v>176.4</v>
      </c>
    </row>
    <row r="33" spans="1:3" x14ac:dyDescent="0.2">
      <c r="A33" s="22" t="s">
        <v>19</v>
      </c>
      <c r="B33" s="37" t="s">
        <v>27</v>
      </c>
      <c r="C33" s="39">
        <f>[10]С1!F16</f>
        <v>7000</v>
      </c>
    </row>
    <row r="34" spans="1:3" ht="14.25" x14ac:dyDescent="0.2">
      <c r="A34" s="22" t="s">
        <v>28</v>
      </c>
      <c r="B34" s="40" t="s">
        <v>29</v>
      </c>
      <c r="C34" s="41">
        <f>[10]С1!F17</f>
        <v>0.72857142857142854</v>
      </c>
    </row>
    <row r="35" spans="1:3" ht="15.75" x14ac:dyDescent="0.2">
      <c r="A35" s="42" t="s">
        <v>30</v>
      </c>
      <c r="B35" s="43" t="s">
        <v>31</v>
      </c>
      <c r="C35" s="41">
        <f>[10]С1!F20</f>
        <v>21.588411179999994</v>
      </c>
    </row>
    <row r="36" spans="1:3" ht="15.75" x14ac:dyDescent="0.2">
      <c r="A36" s="42" t="s">
        <v>32</v>
      </c>
      <c r="B36" s="44" t="s">
        <v>33</v>
      </c>
      <c r="C36" s="41">
        <f>[10]С1!F21</f>
        <v>20.818139999999996</v>
      </c>
    </row>
    <row r="37" spans="1:3" ht="14.25" x14ac:dyDescent="0.2">
      <c r="A37" s="42" t="s">
        <v>34</v>
      </c>
      <c r="B37" s="45" t="s">
        <v>35</v>
      </c>
      <c r="C37" s="41">
        <f>[10]С1!F22</f>
        <v>1.0369999999999999</v>
      </c>
    </row>
    <row r="38" spans="1:3" ht="53.25" thickBot="1" x14ac:dyDescent="0.25">
      <c r="A38" s="27" t="s">
        <v>36</v>
      </c>
      <c r="B38" s="46" t="s">
        <v>37</v>
      </c>
      <c r="C38" s="47">
        <f>[10]С1!F23</f>
        <v>1.0469999999999999</v>
      </c>
    </row>
    <row r="39" spans="1:3" ht="13.5" thickBot="1" x14ac:dyDescent="0.25">
      <c r="A39" s="48"/>
      <c r="B39" s="49"/>
      <c r="C39" s="50"/>
    </row>
    <row r="40" spans="1:3" ht="30" customHeight="1" x14ac:dyDescent="0.2">
      <c r="A40" s="51" t="s">
        <v>38</v>
      </c>
      <c r="B40" s="142" t="s">
        <v>39</v>
      </c>
      <c r="C40" s="142"/>
    </row>
    <row r="41" spans="1:3" ht="25.5" x14ac:dyDescent="0.2">
      <c r="A41" s="22" t="s">
        <v>40</v>
      </c>
      <c r="B41" s="37" t="s">
        <v>41</v>
      </c>
      <c r="C41" s="52" t="str">
        <f>[10]С2.1!E12</f>
        <v>V</v>
      </c>
    </row>
    <row r="42" spans="1:3" ht="25.5" x14ac:dyDescent="0.2">
      <c r="A42" s="22" t="s">
        <v>42</v>
      </c>
      <c r="B42" s="34" t="s">
        <v>43</v>
      </c>
      <c r="C42" s="52" t="str">
        <f>[10]С2.1!E13</f>
        <v>6 и менее баллов</v>
      </c>
    </row>
    <row r="43" spans="1:3" ht="25.5" x14ac:dyDescent="0.2">
      <c r="A43" s="22" t="s">
        <v>44</v>
      </c>
      <c r="B43" s="34" t="s">
        <v>45</v>
      </c>
      <c r="C43" s="52" t="str">
        <f>[10]С2.1!E14</f>
        <v>от 200 до 500</v>
      </c>
    </row>
    <row r="44" spans="1:3" ht="25.5" x14ac:dyDescent="0.2">
      <c r="A44" s="22" t="s">
        <v>46</v>
      </c>
      <c r="B44" s="34" t="s">
        <v>47</v>
      </c>
      <c r="C44" s="53" t="str">
        <f>[10]С2.1!E15</f>
        <v>нет</v>
      </c>
    </row>
    <row r="45" spans="1:3" ht="30" x14ac:dyDescent="0.2">
      <c r="A45" s="22" t="s">
        <v>48</v>
      </c>
      <c r="B45" s="34" t="s">
        <v>49</v>
      </c>
      <c r="C45" s="35">
        <f>[10]С2!F18</f>
        <v>32402.627334033532</v>
      </c>
    </row>
    <row r="46" spans="1:3" ht="30" x14ac:dyDescent="0.2">
      <c r="A46" s="22" t="s">
        <v>50</v>
      </c>
      <c r="B46" s="54" t="s">
        <v>51</v>
      </c>
      <c r="C46" s="35">
        <f>IF([10]С2!F19&gt;0,[10]С2!F19,[10]С2!F20)</f>
        <v>23441.524932855718</v>
      </c>
    </row>
    <row r="47" spans="1:3" ht="25.5" x14ac:dyDescent="0.2">
      <c r="A47" s="22" t="s">
        <v>52</v>
      </c>
      <c r="B47" s="55" t="s">
        <v>53</v>
      </c>
      <c r="C47" s="35">
        <f>[10]С2.1!E19</f>
        <v>-37</v>
      </c>
    </row>
    <row r="48" spans="1:3" ht="25.5" x14ac:dyDescent="0.2">
      <c r="A48" s="22" t="s">
        <v>54</v>
      </c>
      <c r="B48" s="55" t="s">
        <v>55</v>
      </c>
      <c r="C48" s="35" t="str">
        <f>[10]С2.1!E22</f>
        <v>нет</v>
      </c>
    </row>
    <row r="49" spans="1:3" ht="38.25" x14ac:dyDescent="0.2">
      <c r="A49" s="22" t="s">
        <v>56</v>
      </c>
      <c r="B49" s="56" t="s">
        <v>57</v>
      </c>
      <c r="C49" s="35">
        <f>[10]С2.2!E10</f>
        <v>1287</v>
      </c>
    </row>
    <row r="50" spans="1:3" ht="25.5" x14ac:dyDescent="0.2">
      <c r="A50" s="22" t="s">
        <v>58</v>
      </c>
      <c r="B50" s="57" t="s">
        <v>59</v>
      </c>
      <c r="C50" s="35">
        <f>[10]С2.2!E12</f>
        <v>5.97</v>
      </c>
    </row>
    <row r="51" spans="1:3" ht="52.5" x14ac:dyDescent="0.2">
      <c r="A51" s="22" t="s">
        <v>60</v>
      </c>
      <c r="B51" s="58" t="s">
        <v>61</v>
      </c>
      <c r="C51" s="35">
        <f>[10]С2.2!E13</f>
        <v>1</v>
      </c>
    </row>
    <row r="52" spans="1:3" ht="27.75" x14ac:dyDescent="0.2">
      <c r="A52" s="22" t="s">
        <v>62</v>
      </c>
      <c r="B52" s="57" t="s">
        <v>63</v>
      </c>
      <c r="C52" s="35">
        <f>[10]С2.2!E14</f>
        <v>12104</v>
      </c>
    </row>
    <row r="53" spans="1:3" ht="25.5" x14ac:dyDescent="0.2">
      <c r="A53" s="22" t="s">
        <v>64</v>
      </c>
      <c r="B53" s="58" t="s">
        <v>65</v>
      </c>
      <c r="C53" s="36">
        <f>[10]С2.2!E15</f>
        <v>4.8000000000000001E-2</v>
      </c>
    </row>
    <row r="54" spans="1:3" x14ac:dyDescent="0.2">
      <c r="A54" s="22" t="s">
        <v>66</v>
      </c>
      <c r="B54" s="58" t="s">
        <v>67</v>
      </c>
      <c r="C54" s="35">
        <f>[10]С2.2!E16</f>
        <v>1</v>
      </c>
    </row>
    <row r="55" spans="1:3" ht="15.75" x14ac:dyDescent="0.2">
      <c r="A55" s="22" t="s">
        <v>68</v>
      </c>
      <c r="B55" s="59" t="s">
        <v>69</v>
      </c>
      <c r="C55" s="35">
        <f>[10]С2!F21</f>
        <v>1</v>
      </c>
    </row>
    <row r="56" spans="1:3" ht="30" x14ac:dyDescent="0.2">
      <c r="A56" s="60" t="s">
        <v>70</v>
      </c>
      <c r="B56" s="34" t="s">
        <v>71</v>
      </c>
      <c r="C56" s="35">
        <f>[10]С2!F13</f>
        <v>169640.22915965237</v>
      </c>
    </row>
    <row r="57" spans="1:3" ht="30" x14ac:dyDescent="0.2">
      <c r="A57" s="60" t="s">
        <v>72</v>
      </c>
      <c r="B57" s="59" t="s">
        <v>73</v>
      </c>
      <c r="C57" s="35">
        <f>[10]С2!F14</f>
        <v>113455</v>
      </c>
    </row>
    <row r="58" spans="1:3" ht="15.75" x14ac:dyDescent="0.2">
      <c r="A58" s="60" t="s">
        <v>74</v>
      </c>
      <c r="B58" s="61" t="s">
        <v>75</v>
      </c>
      <c r="C58" s="41">
        <f>[10]С2!F15</f>
        <v>1.071</v>
      </c>
    </row>
    <row r="59" spans="1:3" ht="15.75" x14ac:dyDescent="0.2">
      <c r="A59" s="60" t="s">
        <v>76</v>
      </c>
      <c r="B59" s="61" t="s">
        <v>77</v>
      </c>
      <c r="C59" s="41">
        <f>[10]С2!F16</f>
        <v>1</v>
      </c>
    </row>
    <row r="60" spans="1:3" ht="17.25" x14ac:dyDescent="0.2">
      <c r="A60" s="60" t="s">
        <v>78</v>
      </c>
      <c r="B60" s="59" t="s">
        <v>79</v>
      </c>
      <c r="C60" s="35">
        <f>[10]С2!F17</f>
        <v>1.01</v>
      </c>
    </row>
    <row r="61" spans="1:3" s="64" customFormat="1" ht="14.25" x14ac:dyDescent="0.2">
      <c r="A61" s="60" t="s">
        <v>80</v>
      </c>
      <c r="B61" s="62" t="s">
        <v>81</v>
      </c>
      <c r="C61" s="63">
        <f>[10]С2!F33</f>
        <v>10</v>
      </c>
    </row>
    <row r="62" spans="1:3" ht="30" x14ac:dyDescent="0.2">
      <c r="A62" s="60" t="s">
        <v>82</v>
      </c>
      <c r="B62" s="65" t="s">
        <v>83</v>
      </c>
      <c r="C62" s="35">
        <f>[10]С2!F26</f>
        <v>1598.6279958476514</v>
      </c>
    </row>
    <row r="63" spans="1:3" ht="17.25" x14ac:dyDescent="0.2">
      <c r="A63" s="60" t="s">
        <v>84</v>
      </c>
      <c r="B63" s="54" t="s">
        <v>85</v>
      </c>
      <c r="C63" s="35">
        <f>[10]С2!F27</f>
        <v>0.27536184199999997</v>
      </c>
    </row>
    <row r="64" spans="1:3" ht="17.25" x14ac:dyDescent="0.2">
      <c r="A64" s="60" t="s">
        <v>86</v>
      </c>
      <c r="B64" s="59" t="s">
        <v>87</v>
      </c>
      <c r="C64" s="63">
        <f>[10]С2!F28</f>
        <v>4200</v>
      </c>
    </row>
    <row r="65" spans="1:3" ht="42.75" x14ac:dyDescent="0.2">
      <c r="A65" s="60" t="s">
        <v>88</v>
      </c>
      <c r="B65" s="34" t="s">
        <v>89</v>
      </c>
      <c r="C65" s="35">
        <f>[10]С2!F22</f>
        <v>35717.748653137714</v>
      </c>
    </row>
    <row r="66" spans="1:3" ht="30" x14ac:dyDescent="0.2">
      <c r="A66" s="60" t="s">
        <v>90</v>
      </c>
      <c r="B66" s="61" t="s">
        <v>91</v>
      </c>
      <c r="C66" s="35">
        <f>[10]С2!F23</f>
        <v>1990</v>
      </c>
    </row>
    <row r="67" spans="1:3" ht="30" x14ac:dyDescent="0.2">
      <c r="A67" s="60" t="s">
        <v>92</v>
      </c>
      <c r="B67" s="54" t="s">
        <v>93</v>
      </c>
      <c r="C67" s="35">
        <f>[10]С2.1!E27</f>
        <v>14307.876789999998</v>
      </c>
    </row>
    <row r="68" spans="1:3" ht="38.25" x14ac:dyDescent="0.2">
      <c r="A68" s="60" t="s">
        <v>94</v>
      </c>
      <c r="B68" s="66" t="s">
        <v>95</v>
      </c>
      <c r="C68" s="53">
        <f>[10]С2.3!E21</f>
        <v>0</v>
      </c>
    </row>
    <row r="69" spans="1:3" ht="25.5" x14ac:dyDescent="0.2">
      <c r="A69" s="60" t="s">
        <v>96</v>
      </c>
      <c r="B69" s="67" t="s">
        <v>97</v>
      </c>
      <c r="C69" s="68">
        <f>[10]С2.3!E11</f>
        <v>9.89</v>
      </c>
    </row>
    <row r="70" spans="1:3" ht="25.5" x14ac:dyDescent="0.2">
      <c r="A70" s="60" t="s">
        <v>98</v>
      </c>
      <c r="B70" s="67" t="s">
        <v>99</v>
      </c>
      <c r="C70" s="63">
        <f>[10]С2.3!E13</f>
        <v>300</v>
      </c>
    </row>
    <row r="71" spans="1:3" ht="25.5" x14ac:dyDescent="0.2">
      <c r="A71" s="60" t="s">
        <v>100</v>
      </c>
      <c r="B71" s="66" t="s">
        <v>101</v>
      </c>
      <c r="C71" s="69">
        <f>IF([10]С2.3!E22&gt;0,[10]С2.3!E22,[10]С2.3!E14)</f>
        <v>61211</v>
      </c>
    </row>
    <row r="72" spans="1:3" ht="38.25" x14ac:dyDescent="0.2">
      <c r="A72" s="60" t="s">
        <v>102</v>
      </c>
      <c r="B72" s="66" t="s">
        <v>103</v>
      </c>
      <c r="C72" s="69">
        <f>IF([10]С2.3!E23&gt;0,[10]С2.3!E23,[10]С2.3!E15)</f>
        <v>45675</v>
      </c>
    </row>
    <row r="73" spans="1:3" ht="30" x14ac:dyDescent="0.2">
      <c r="A73" s="60" t="s">
        <v>104</v>
      </c>
      <c r="B73" s="54" t="s">
        <v>105</v>
      </c>
      <c r="C73" s="35">
        <f>[10]С2.1!E28</f>
        <v>9541.9567200000001</v>
      </c>
    </row>
    <row r="74" spans="1:3" ht="38.25" x14ac:dyDescent="0.2">
      <c r="A74" s="60" t="s">
        <v>106</v>
      </c>
      <c r="B74" s="66" t="s">
        <v>107</v>
      </c>
      <c r="C74" s="53">
        <f>[10]С2.3!E25</f>
        <v>0</v>
      </c>
    </row>
    <row r="75" spans="1:3" ht="25.5" x14ac:dyDescent="0.2">
      <c r="A75" s="60" t="s">
        <v>108</v>
      </c>
      <c r="B75" s="67" t="s">
        <v>109</v>
      </c>
      <c r="C75" s="68">
        <f>[10]С2.3!E12</f>
        <v>0.56000000000000005</v>
      </c>
    </row>
    <row r="76" spans="1:3" ht="25.5" x14ac:dyDescent="0.2">
      <c r="A76" s="60" t="s">
        <v>110</v>
      </c>
      <c r="B76" s="67" t="s">
        <v>99</v>
      </c>
      <c r="C76" s="63">
        <f>[10]С2.3!E13</f>
        <v>300</v>
      </c>
    </row>
    <row r="77" spans="1:3" ht="25.5" x14ac:dyDescent="0.2">
      <c r="A77" s="60" t="s">
        <v>111</v>
      </c>
      <c r="B77" s="70" t="s">
        <v>112</v>
      </c>
      <c r="C77" s="69">
        <f>IF([10]С2.3!E26&gt;0,[10]С2.3!E26,[10]С2.3!E16)</f>
        <v>65637</v>
      </c>
    </row>
    <row r="78" spans="1:3" ht="38.25" x14ac:dyDescent="0.2">
      <c r="A78" s="60" t="s">
        <v>113</v>
      </c>
      <c r="B78" s="70" t="s">
        <v>114</v>
      </c>
      <c r="C78" s="69">
        <f>IF([10]С2.3!E27&gt;0,[10]С2.3!E27,[10]С2.3!E17)</f>
        <v>31684</v>
      </c>
    </row>
    <row r="79" spans="1:3" ht="17.25" x14ac:dyDescent="0.2">
      <c r="A79" s="60" t="s">
        <v>115</v>
      </c>
      <c r="B79" s="34" t="s">
        <v>116</v>
      </c>
      <c r="C79" s="36">
        <f>[10]С2!F29</f>
        <v>0.128978033685065</v>
      </c>
    </row>
    <row r="80" spans="1:3" ht="30" x14ac:dyDescent="0.2">
      <c r="A80" s="60" t="s">
        <v>117</v>
      </c>
      <c r="B80" s="54" t="s">
        <v>118</v>
      </c>
      <c r="C80" s="71">
        <f>[10]С2!F30</f>
        <v>0.11668498168498169</v>
      </c>
    </row>
    <row r="81" spans="1:3" ht="17.25" x14ac:dyDescent="0.2">
      <c r="A81" s="60" t="s">
        <v>119</v>
      </c>
      <c r="B81" s="72" t="s">
        <v>120</v>
      </c>
      <c r="C81" s="36">
        <f>[10]С2!F31</f>
        <v>0.13880000000000001</v>
      </c>
    </row>
    <row r="82" spans="1:3" s="64" customFormat="1" ht="18" thickBot="1" x14ac:dyDescent="0.25">
      <c r="A82" s="73" t="s">
        <v>121</v>
      </c>
      <c r="B82" s="74" t="s">
        <v>122</v>
      </c>
      <c r="C82" s="75">
        <f>[10]С2!F32</f>
        <v>0.12640000000000001</v>
      </c>
    </row>
    <row r="83" spans="1:3" ht="13.5" thickBot="1" x14ac:dyDescent="0.25">
      <c r="A83" s="48"/>
      <c r="B83" s="76"/>
      <c r="C83" s="15"/>
    </row>
    <row r="84" spans="1:3" s="64" customFormat="1" ht="30" customHeight="1" x14ac:dyDescent="0.2">
      <c r="A84" s="77" t="s">
        <v>123</v>
      </c>
      <c r="B84" s="142" t="s">
        <v>124</v>
      </c>
      <c r="C84" s="142"/>
    </row>
    <row r="85" spans="1:3" s="64" customFormat="1" ht="30" x14ac:dyDescent="0.2">
      <c r="A85" s="78" t="s">
        <v>125</v>
      </c>
      <c r="B85" s="34" t="s">
        <v>126</v>
      </c>
      <c r="C85" s="35">
        <f>[10]С3!F14</f>
        <v>7020.1696866647444</v>
      </c>
    </row>
    <row r="86" spans="1:3" s="64" customFormat="1" ht="42.75" x14ac:dyDescent="0.2">
      <c r="A86" s="78" t="s">
        <v>127</v>
      </c>
      <c r="B86" s="54" t="s">
        <v>128</v>
      </c>
      <c r="C86" s="79">
        <f>[10]С3!F15</f>
        <v>0.2</v>
      </c>
    </row>
    <row r="87" spans="1:3" s="64" customFormat="1" ht="14.25" x14ac:dyDescent="0.2">
      <c r="A87" s="78" t="s">
        <v>129</v>
      </c>
      <c r="B87" s="80" t="s">
        <v>130</v>
      </c>
      <c r="C87" s="63">
        <f>[10]С3!F18</f>
        <v>15</v>
      </c>
    </row>
    <row r="88" spans="1:3" s="64" customFormat="1" ht="17.25" x14ac:dyDescent="0.2">
      <c r="A88" s="78" t="s">
        <v>131</v>
      </c>
      <c r="B88" s="34" t="s">
        <v>132</v>
      </c>
      <c r="C88" s="35">
        <f>[10]С3!F19</f>
        <v>3487.1555421534131</v>
      </c>
    </row>
    <row r="89" spans="1:3" s="64" customFormat="1" ht="55.5" x14ac:dyDescent="0.2">
      <c r="A89" s="78" t="s">
        <v>133</v>
      </c>
      <c r="B89" s="54" t="s">
        <v>134</v>
      </c>
      <c r="C89" s="81">
        <f>[10]С3!F20</f>
        <v>2.1999999999999999E-2</v>
      </c>
    </row>
    <row r="90" spans="1:3" s="64" customFormat="1" ht="14.25" x14ac:dyDescent="0.2">
      <c r="A90" s="78" t="s">
        <v>135</v>
      </c>
      <c r="B90" s="59" t="s">
        <v>81</v>
      </c>
      <c r="C90" s="63">
        <f>[10]С3!F21</f>
        <v>10</v>
      </c>
    </row>
    <row r="91" spans="1:3" s="64" customFormat="1" ht="17.25" x14ac:dyDescent="0.2">
      <c r="A91" s="78" t="s">
        <v>136</v>
      </c>
      <c r="B91" s="34" t="s">
        <v>137</v>
      </c>
      <c r="C91" s="35">
        <f>[10]С3!F22</f>
        <v>4.795883987542954</v>
      </c>
    </row>
    <row r="92" spans="1:3" s="64" customFormat="1" ht="55.5" x14ac:dyDescent="0.2">
      <c r="A92" s="78" t="s">
        <v>138</v>
      </c>
      <c r="B92" s="54" t="s">
        <v>139</v>
      </c>
      <c r="C92" s="81">
        <f>[10]С3!F23</f>
        <v>3.0000000000000001E-3</v>
      </c>
    </row>
    <row r="93" spans="1:3" s="64" customFormat="1" ht="27.75" thickBot="1" x14ac:dyDescent="0.25">
      <c r="A93" s="82" t="s">
        <v>140</v>
      </c>
      <c r="B93" s="83" t="s">
        <v>141</v>
      </c>
      <c r="C93" s="84">
        <f>[10]С3!F24</f>
        <v>1598.6279958476514</v>
      </c>
    </row>
    <row r="94" spans="1:3" ht="13.5" thickBot="1" x14ac:dyDescent="0.25">
      <c r="A94" s="48"/>
      <c r="B94" s="76"/>
      <c r="C94" s="15"/>
    </row>
    <row r="95" spans="1:3" ht="30" customHeight="1" x14ac:dyDescent="0.2">
      <c r="A95" s="85" t="s">
        <v>142</v>
      </c>
      <c r="B95" s="142" t="s">
        <v>143</v>
      </c>
      <c r="C95" s="142"/>
    </row>
    <row r="96" spans="1:3" ht="30" x14ac:dyDescent="0.2">
      <c r="A96" s="60" t="s">
        <v>144</v>
      </c>
      <c r="B96" s="34" t="s">
        <v>145</v>
      </c>
      <c r="C96" s="35">
        <f>[10]С4!F16</f>
        <v>1652.5</v>
      </c>
    </row>
    <row r="97" spans="1:3" ht="30" x14ac:dyDescent="0.2">
      <c r="A97" s="60" t="s">
        <v>146</v>
      </c>
      <c r="B97" s="59" t="s">
        <v>147</v>
      </c>
      <c r="C97" s="35">
        <f>[10]С4!F17</f>
        <v>73547</v>
      </c>
    </row>
    <row r="98" spans="1:3" ht="33" x14ac:dyDescent="0.2">
      <c r="A98" s="60" t="s">
        <v>148</v>
      </c>
      <c r="B98" s="59" t="s">
        <v>149</v>
      </c>
      <c r="C98" s="41">
        <f>[10]С4!F18</f>
        <v>0.02</v>
      </c>
    </row>
    <row r="99" spans="1:3" ht="30" x14ac:dyDescent="0.2">
      <c r="A99" s="60" t="s">
        <v>150</v>
      </c>
      <c r="B99" s="59" t="s">
        <v>151</v>
      </c>
      <c r="C99" s="35">
        <f>[10]С4!F19</f>
        <v>12104</v>
      </c>
    </row>
    <row r="100" spans="1:3" ht="28.5" x14ac:dyDescent="0.2">
      <c r="A100" s="60" t="s">
        <v>152</v>
      </c>
      <c r="B100" s="59" t="s">
        <v>153</v>
      </c>
      <c r="C100" s="41">
        <f>[10]С4!F20</f>
        <v>1.4999999999999999E-2</v>
      </c>
    </row>
    <row r="101" spans="1:3" ht="30" x14ac:dyDescent="0.2">
      <c r="A101" s="60" t="s">
        <v>154</v>
      </c>
      <c r="B101" s="34" t="s">
        <v>155</v>
      </c>
      <c r="C101" s="35">
        <f>[10]С4!F21</f>
        <v>1933.1949342509995</v>
      </c>
    </row>
    <row r="102" spans="1:3" ht="24" customHeight="1" x14ac:dyDescent="0.2">
      <c r="A102" s="60" t="s">
        <v>156</v>
      </c>
      <c r="B102" s="54" t="s">
        <v>157</v>
      </c>
      <c r="C102" s="86">
        <f>IF([10]С4.2!F8="да",[10]С4.2!D21,[10]С4.2!D15)</f>
        <v>0</v>
      </c>
    </row>
    <row r="103" spans="1:3" ht="68.25" x14ac:dyDescent="0.2">
      <c r="A103" s="60" t="s">
        <v>158</v>
      </c>
      <c r="B103" s="54" t="s">
        <v>159</v>
      </c>
      <c r="C103" s="35">
        <f>[10]С4!F22</f>
        <v>3.6112641666666665</v>
      </c>
    </row>
    <row r="104" spans="1:3" ht="30" x14ac:dyDescent="0.2">
      <c r="A104" s="60" t="s">
        <v>160</v>
      </c>
      <c r="B104" s="59" t="s">
        <v>161</v>
      </c>
      <c r="C104" s="35">
        <f>[10]С4!F23</f>
        <v>180</v>
      </c>
    </row>
    <row r="105" spans="1:3" ht="14.25" x14ac:dyDescent="0.2">
      <c r="A105" s="60" t="s">
        <v>162</v>
      </c>
      <c r="B105" s="54" t="s">
        <v>163</v>
      </c>
      <c r="C105" s="35">
        <f>[10]С4!F24</f>
        <v>8497.1999999999989</v>
      </c>
    </row>
    <row r="106" spans="1:3" ht="14.25" x14ac:dyDescent="0.2">
      <c r="A106" s="60" t="s">
        <v>164</v>
      </c>
      <c r="B106" s="59" t="s">
        <v>165</v>
      </c>
      <c r="C106" s="41">
        <f>[10]С4!F25</f>
        <v>0.35</v>
      </c>
    </row>
    <row r="107" spans="1:3" ht="17.25" x14ac:dyDescent="0.2">
      <c r="A107" s="60" t="s">
        <v>166</v>
      </c>
      <c r="B107" s="34" t="s">
        <v>167</v>
      </c>
      <c r="C107" s="35">
        <f>[10]С4!F26</f>
        <v>102.59900000000002</v>
      </c>
    </row>
    <row r="108" spans="1:3" ht="25.5" x14ac:dyDescent="0.2">
      <c r="A108" s="60" t="s">
        <v>168</v>
      </c>
      <c r="B108" s="54" t="s">
        <v>95</v>
      </c>
      <c r="C108" s="86">
        <f>[10]С4.3!E16</f>
        <v>0</v>
      </c>
    </row>
    <row r="109" spans="1:3" ht="25.5" x14ac:dyDescent="0.2">
      <c r="A109" s="60" t="s">
        <v>169</v>
      </c>
      <c r="B109" s="54" t="s">
        <v>170</v>
      </c>
      <c r="C109" s="35">
        <f>[10]С4.3!E17</f>
        <v>26.866666666666671</v>
      </c>
    </row>
    <row r="110" spans="1:3" ht="38.25" x14ac:dyDescent="0.2">
      <c r="A110" s="60" t="s">
        <v>171</v>
      </c>
      <c r="B110" s="54" t="s">
        <v>107</v>
      </c>
      <c r="C110" s="86">
        <f>[10]С4.3!E18</f>
        <v>0</v>
      </c>
    </row>
    <row r="111" spans="1:3" x14ac:dyDescent="0.2">
      <c r="A111" s="60" t="s">
        <v>172</v>
      </c>
      <c r="B111" s="54" t="s">
        <v>173</v>
      </c>
      <c r="C111" s="35">
        <f>[10]С4.3!E19</f>
        <v>41.06666666666667</v>
      </c>
    </row>
    <row r="112" spans="1:3" x14ac:dyDescent="0.2">
      <c r="A112" s="60" t="s">
        <v>174</v>
      </c>
      <c r="B112" s="59" t="s">
        <v>175</v>
      </c>
      <c r="C112" s="35">
        <f>[10]С4.3!E11</f>
        <v>1871</v>
      </c>
    </row>
    <row r="113" spans="1:3" x14ac:dyDescent="0.2">
      <c r="A113" s="60" t="s">
        <v>176</v>
      </c>
      <c r="B113" s="59" t="s">
        <v>177</v>
      </c>
      <c r="C113" s="53">
        <f>[10]С4.3!E12</f>
        <v>1636</v>
      </c>
    </row>
    <row r="114" spans="1:3" x14ac:dyDescent="0.2">
      <c r="A114" s="60" t="s">
        <v>178</v>
      </c>
      <c r="B114" s="59" t="s">
        <v>179</v>
      </c>
      <c r="C114" s="53">
        <f>[10]С4.3!E13</f>
        <v>204</v>
      </c>
    </row>
    <row r="115" spans="1:3" ht="30" x14ac:dyDescent="0.2">
      <c r="A115" s="60" t="s">
        <v>180</v>
      </c>
      <c r="B115" s="34" t="s">
        <v>181</v>
      </c>
      <c r="C115" s="35">
        <f>[10]С4!F27</f>
        <v>1413.5806587229636</v>
      </c>
    </row>
    <row r="116" spans="1:3" ht="25.5" x14ac:dyDescent="0.2">
      <c r="A116" s="60" t="s">
        <v>182</v>
      </c>
      <c r="B116" s="54" t="s">
        <v>183</v>
      </c>
      <c r="C116" s="35">
        <f>[10]С4!F28</f>
        <v>1085.6994306627985</v>
      </c>
    </row>
    <row r="117" spans="1:3" ht="42.75" x14ac:dyDescent="0.2">
      <c r="A117" s="60" t="s">
        <v>184</v>
      </c>
      <c r="B117" s="54" t="s">
        <v>185</v>
      </c>
      <c r="C117" s="35">
        <f>[10]С4!F29</f>
        <v>327.8812280601652</v>
      </c>
    </row>
    <row r="118" spans="1:3" ht="30" x14ac:dyDescent="0.2">
      <c r="A118" s="60" t="s">
        <v>186</v>
      </c>
      <c r="B118" s="40" t="s">
        <v>187</v>
      </c>
      <c r="C118" s="35">
        <f>[10]С4!F30</f>
        <v>2118.6333473771006</v>
      </c>
    </row>
    <row r="119" spans="1:3" ht="42.75" x14ac:dyDescent="0.2">
      <c r="A119" s="60" t="s">
        <v>188</v>
      </c>
      <c r="B119" s="87" t="s">
        <v>189</v>
      </c>
      <c r="C119" s="35">
        <f>[10]С4!F33</f>
        <v>1374.0280021926758</v>
      </c>
    </row>
    <row r="120" spans="1:3" ht="30" x14ac:dyDescent="0.2">
      <c r="A120" s="60" t="s">
        <v>190</v>
      </c>
      <c r="B120" s="88" t="s">
        <v>191</v>
      </c>
      <c r="C120" s="35">
        <f>[10]С4!F35</f>
        <v>17.040680999999999</v>
      </c>
    </row>
    <row r="121" spans="1:3" ht="14.25" x14ac:dyDescent="0.2">
      <c r="A121" s="60" t="s">
        <v>192</v>
      </c>
      <c r="B121" s="57" t="s">
        <v>193</v>
      </c>
      <c r="C121" s="35">
        <f>[10]С4!F36</f>
        <v>14319.9</v>
      </c>
    </row>
    <row r="122" spans="1:3" ht="28.5" thickBot="1" x14ac:dyDescent="0.25">
      <c r="A122" s="73" t="s">
        <v>194</v>
      </c>
      <c r="B122" s="89" t="s">
        <v>195</v>
      </c>
      <c r="C122" s="84">
        <f>[10]С4!F37</f>
        <v>1.19</v>
      </c>
    </row>
    <row r="123" spans="1:3" s="90" customFormat="1" ht="13.5" thickBot="1" x14ac:dyDescent="0.25">
      <c r="A123" s="48"/>
      <c r="B123" s="76"/>
      <c r="C123" s="15"/>
    </row>
    <row r="124" spans="1:3" s="64" customFormat="1" ht="30" customHeight="1" x14ac:dyDescent="0.2">
      <c r="A124" s="77" t="s">
        <v>196</v>
      </c>
      <c r="B124" s="142" t="s">
        <v>197</v>
      </c>
      <c r="C124" s="142"/>
    </row>
    <row r="125" spans="1:3" ht="16.5" thickBot="1" x14ac:dyDescent="0.25">
      <c r="A125" s="27" t="s">
        <v>198</v>
      </c>
      <c r="B125" s="91" t="s">
        <v>199</v>
      </c>
      <c r="C125" s="84">
        <f>[10]С5!F17</f>
        <v>0.02</v>
      </c>
    </row>
    <row r="126" spans="1:3" s="90" customFormat="1" ht="13.5" thickBot="1" x14ac:dyDescent="0.25">
      <c r="A126" s="48"/>
      <c r="B126" s="76"/>
      <c r="C126" s="15"/>
    </row>
    <row r="127" spans="1:3" ht="42.75" customHeight="1" x14ac:dyDescent="0.2">
      <c r="A127" s="85" t="s">
        <v>200</v>
      </c>
      <c r="B127" s="143" t="s">
        <v>201</v>
      </c>
      <c r="C127" s="143"/>
    </row>
    <row r="128" spans="1:3" ht="68.25" x14ac:dyDescent="0.2">
      <c r="A128" s="60" t="s">
        <v>202</v>
      </c>
      <c r="B128" s="92" t="s">
        <v>203</v>
      </c>
      <c r="C128" s="35" t="s">
        <v>204</v>
      </c>
    </row>
    <row r="129" spans="1:4" ht="42.75" hidden="1" x14ac:dyDescent="0.2">
      <c r="A129" s="60" t="s">
        <v>205</v>
      </c>
      <c r="B129" s="87" t="s">
        <v>206</v>
      </c>
      <c r="C129" s="93"/>
    </row>
    <row r="130" spans="1:4" ht="69" thickBot="1" x14ac:dyDescent="0.25">
      <c r="A130" s="73" t="s">
        <v>207</v>
      </c>
      <c r="B130" s="94" t="s">
        <v>208</v>
      </c>
      <c r="C130" s="95" t="s">
        <v>204</v>
      </c>
    </row>
    <row r="131" spans="1:4" ht="62.25" hidden="1" customHeight="1" x14ac:dyDescent="0.2">
      <c r="A131" s="96" t="s">
        <v>209</v>
      </c>
      <c r="B131" s="97" t="s">
        <v>210</v>
      </c>
      <c r="C131" s="98"/>
    </row>
    <row r="132" spans="1:4" ht="68.25" hidden="1" x14ac:dyDescent="0.2">
      <c r="A132" s="60" t="s">
        <v>211</v>
      </c>
      <c r="B132" s="87" t="s">
        <v>212</v>
      </c>
      <c r="C132" s="36"/>
    </row>
    <row r="133" spans="1:4" ht="69" hidden="1" thickBot="1" x14ac:dyDescent="0.25">
      <c r="A133" s="73" t="s">
        <v>213</v>
      </c>
      <c r="B133" s="99" t="s">
        <v>214</v>
      </c>
      <c r="C133" s="75"/>
    </row>
    <row r="134" spans="1:4" s="90" customFormat="1" ht="13.5" thickBot="1" x14ac:dyDescent="0.25">
      <c r="A134" s="48"/>
      <c r="B134" s="76"/>
      <c r="C134" s="15"/>
    </row>
    <row r="135" spans="1:4" ht="26.25" customHeight="1" x14ac:dyDescent="0.2">
      <c r="A135" s="85" t="s">
        <v>215</v>
      </c>
      <c r="B135" s="100" t="s">
        <v>216</v>
      </c>
      <c r="C135" s="101">
        <f>[10]С2!F37</f>
        <v>20.818139999999996</v>
      </c>
    </row>
    <row r="136" spans="1:4" ht="14.25" x14ac:dyDescent="0.2">
      <c r="A136" s="60" t="s">
        <v>217</v>
      </c>
      <c r="B136" s="102" t="s">
        <v>218</v>
      </c>
      <c r="C136" s="35">
        <f>[10]С2!F38</f>
        <v>7</v>
      </c>
    </row>
    <row r="137" spans="1:4" ht="17.25" x14ac:dyDescent="0.2">
      <c r="A137" s="60" t="s">
        <v>219</v>
      </c>
      <c r="B137" s="102" t="s">
        <v>220</v>
      </c>
      <c r="C137" s="35">
        <f>[10]С2!F40</f>
        <v>0.97</v>
      </c>
    </row>
    <row r="138" spans="1:4" ht="15" thickBot="1" x14ac:dyDescent="0.25">
      <c r="A138" s="73" t="s">
        <v>221</v>
      </c>
      <c r="B138" s="103" t="s">
        <v>222</v>
      </c>
      <c r="C138" s="47">
        <f>[10]С2!F42</f>
        <v>0.35</v>
      </c>
    </row>
    <row r="139" spans="1:4" s="90" customFormat="1" ht="13.5" thickBot="1" x14ac:dyDescent="0.25">
      <c r="A139" s="48"/>
      <c r="B139" s="76"/>
      <c r="C139" s="15"/>
    </row>
    <row r="140" spans="1:4" ht="30" x14ac:dyDescent="0.2">
      <c r="A140" s="85" t="s">
        <v>223</v>
      </c>
      <c r="B140" s="104" t="s">
        <v>224</v>
      </c>
      <c r="C140" s="105">
        <f>[10]С2!F35</f>
        <v>1.3822747209000001</v>
      </c>
      <c r="D140" s="90"/>
    </row>
    <row r="141" spans="1:4" ht="22.7" customHeight="1" thickBot="1" x14ac:dyDescent="0.25">
      <c r="A141" s="73" t="s">
        <v>225</v>
      </c>
      <c r="B141" s="141" t="s">
        <v>226</v>
      </c>
      <c r="C141" s="141"/>
      <c r="D141" s="90"/>
    </row>
    <row r="142" spans="1:4" ht="13.5" thickBot="1" x14ac:dyDescent="0.25">
      <c r="A142" s="106"/>
      <c r="B142" s="107" t="s">
        <v>0</v>
      </c>
      <c r="C142" s="108"/>
      <c r="D142" s="90"/>
    </row>
    <row r="143" spans="1:4" x14ac:dyDescent="0.2">
      <c r="A143" s="106"/>
      <c r="B143" s="109">
        <v>2020</v>
      </c>
      <c r="C143" s="110">
        <f>[10]С2.5!$E$11</f>
        <v>-2.9000000000000026E-2</v>
      </c>
      <c r="D143" s="90"/>
    </row>
    <row r="144" spans="1:4" x14ac:dyDescent="0.2">
      <c r="A144" s="106"/>
      <c r="B144" s="111">
        <f>B143+1</f>
        <v>2021</v>
      </c>
      <c r="C144" s="112">
        <f>[10]С2.5!$F$11</f>
        <v>0.245</v>
      </c>
      <c r="D144" s="90"/>
    </row>
    <row r="145" spans="1:4" x14ac:dyDescent="0.2">
      <c r="A145" s="106"/>
      <c r="B145" s="111">
        <f t="shared" ref="B145:B208" si="0">B144+1</f>
        <v>2022</v>
      </c>
      <c r="C145" s="112">
        <f>[10]С2.5!$G$11</f>
        <v>0.121</v>
      </c>
      <c r="D145" s="90"/>
    </row>
    <row r="146" spans="1:4" ht="13.5" thickBot="1" x14ac:dyDescent="0.25">
      <c r="A146" s="106"/>
      <c r="B146" s="113">
        <f t="shared" si="0"/>
        <v>2023</v>
      </c>
      <c r="C146" s="114">
        <f>[10]С2.5!$H$11</f>
        <v>0.02</v>
      </c>
      <c r="D146" s="90"/>
    </row>
    <row r="147" spans="1:4" hidden="1" x14ac:dyDescent="0.2">
      <c r="A147" s="106"/>
      <c r="B147" s="115">
        <f t="shared" si="0"/>
        <v>2024</v>
      </c>
      <c r="C147" s="116">
        <f>[10]С2.5!$I$11</f>
        <v>-2.93E-2</v>
      </c>
      <c r="D147" s="90"/>
    </row>
    <row r="148" spans="1:4" hidden="1" x14ac:dyDescent="0.2">
      <c r="A148" s="106"/>
      <c r="B148" s="111">
        <f t="shared" si="0"/>
        <v>2025</v>
      </c>
      <c r="C148" s="112">
        <f>[10]С2.5!$J$11</f>
        <v>0.21215960863291</v>
      </c>
      <c r="D148" s="90"/>
    </row>
    <row r="149" spans="1:4" hidden="1" x14ac:dyDescent="0.2">
      <c r="A149" s="106"/>
      <c r="B149" s="111">
        <f t="shared" si="0"/>
        <v>2026</v>
      </c>
      <c r="C149" s="112">
        <f>[10]С2.5!$K$11</f>
        <v>3.5813361771260002E-2</v>
      </c>
      <c r="D149" s="90"/>
    </row>
    <row r="150" spans="1:4" hidden="1" x14ac:dyDescent="0.2">
      <c r="A150" s="106"/>
      <c r="B150" s="111">
        <f t="shared" si="0"/>
        <v>2027</v>
      </c>
      <c r="C150" s="112">
        <f>[10]С2.5!$L$11</f>
        <v>3.2682303599220003E-2</v>
      </c>
      <c r="D150" s="90"/>
    </row>
    <row r="151" spans="1:4" hidden="1" x14ac:dyDescent="0.2">
      <c r="A151" s="106"/>
      <c r="B151" s="111">
        <f t="shared" si="0"/>
        <v>2028</v>
      </c>
      <c r="C151" s="112">
        <f>[10]С2.5!$M$11</f>
        <v>0</v>
      </c>
      <c r="D151" s="90"/>
    </row>
    <row r="152" spans="1:4" hidden="1" x14ac:dyDescent="0.2">
      <c r="A152" s="106"/>
      <c r="B152" s="111">
        <f t="shared" si="0"/>
        <v>2029</v>
      </c>
      <c r="C152" s="112">
        <f>[10]С2.5!$N$11</f>
        <v>0</v>
      </c>
      <c r="D152" s="90"/>
    </row>
    <row r="153" spans="1:4" hidden="1" x14ac:dyDescent="0.2">
      <c r="A153" s="106"/>
      <c r="B153" s="111">
        <f t="shared" si="0"/>
        <v>2030</v>
      </c>
      <c r="C153" s="112">
        <f>[10]С2.5!$O$11</f>
        <v>0</v>
      </c>
      <c r="D153" s="90"/>
    </row>
    <row r="154" spans="1:4" hidden="1" x14ac:dyDescent="0.2">
      <c r="A154" s="106"/>
      <c r="B154" s="111">
        <f t="shared" si="0"/>
        <v>2031</v>
      </c>
      <c r="C154" s="112">
        <f>[10]С2.5!$P$11</f>
        <v>0</v>
      </c>
      <c r="D154" s="90"/>
    </row>
    <row r="155" spans="1:4" hidden="1" x14ac:dyDescent="0.2">
      <c r="A155" s="90"/>
      <c r="B155" s="111">
        <f t="shared" si="0"/>
        <v>2032</v>
      </c>
      <c r="C155" s="112">
        <f>[10]С2.5!$Q$11</f>
        <v>0</v>
      </c>
      <c r="D155" s="90"/>
    </row>
    <row r="156" spans="1:4" hidden="1" x14ac:dyDescent="0.2">
      <c r="A156" s="90"/>
      <c r="B156" s="111">
        <f t="shared" si="0"/>
        <v>2033</v>
      </c>
      <c r="C156" s="112">
        <f>[10]С2.5!$R$11</f>
        <v>0</v>
      </c>
      <c r="D156" s="90"/>
    </row>
    <row r="157" spans="1:4" hidden="1" x14ac:dyDescent="0.2">
      <c r="B157" s="111">
        <f t="shared" si="0"/>
        <v>2034</v>
      </c>
      <c r="C157" s="112">
        <f>[10]С2.5!$S$11</f>
        <v>0</v>
      </c>
    </row>
    <row r="158" spans="1:4" hidden="1" x14ac:dyDescent="0.2">
      <c r="B158" s="111">
        <f t="shared" si="0"/>
        <v>2035</v>
      </c>
      <c r="C158" s="112">
        <f>[10]С2.5!$T$11</f>
        <v>0</v>
      </c>
    </row>
    <row r="159" spans="1:4" hidden="1" x14ac:dyDescent="0.2">
      <c r="B159" s="111">
        <f t="shared" si="0"/>
        <v>2036</v>
      </c>
      <c r="C159" s="112">
        <f>[10]С2.5!$U$11</f>
        <v>0</v>
      </c>
    </row>
    <row r="160" spans="1:4" hidden="1" x14ac:dyDescent="0.2">
      <c r="B160" s="111">
        <f t="shared" si="0"/>
        <v>2037</v>
      </c>
      <c r="C160" s="112">
        <f>[10]С2.5!$V$11</f>
        <v>0</v>
      </c>
    </row>
    <row r="161" spans="2:3" hidden="1" x14ac:dyDescent="0.2">
      <c r="B161" s="111">
        <f t="shared" si="0"/>
        <v>2038</v>
      </c>
      <c r="C161" s="112">
        <f>[10]С2.5!$W$11</f>
        <v>0</v>
      </c>
    </row>
    <row r="162" spans="2:3" hidden="1" x14ac:dyDescent="0.2">
      <c r="B162" s="111">
        <f t="shared" si="0"/>
        <v>2039</v>
      </c>
      <c r="C162" s="112">
        <f>[10]С2.5!$X$11</f>
        <v>0</v>
      </c>
    </row>
    <row r="163" spans="2:3" hidden="1" x14ac:dyDescent="0.2">
      <c r="B163" s="111">
        <f t="shared" si="0"/>
        <v>2040</v>
      </c>
      <c r="C163" s="112">
        <f>[10]С2.5!$Y$11</f>
        <v>0</v>
      </c>
    </row>
    <row r="164" spans="2:3" hidden="1" x14ac:dyDescent="0.2">
      <c r="B164" s="111">
        <f t="shared" si="0"/>
        <v>2041</v>
      </c>
      <c r="C164" s="112">
        <f>[10]С2.5!$Z$11</f>
        <v>0</v>
      </c>
    </row>
    <row r="165" spans="2:3" hidden="1" x14ac:dyDescent="0.2">
      <c r="B165" s="111">
        <f t="shared" si="0"/>
        <v>2042</v>
      </c>
      <c r="C165" s="112">
        <f>[10]С2.5!$AA$11</f>
        <v>0</v>
      </c>
    </row>
    <row r="166" spans="2:3" hidden="1" x14ac:dyDescent="0.2">
      <c r="B166" s="111">
        <f t="shared" si="0"/>
        <v>2043</v>
      </c>
      <c r="C166" s="112">
        <f>[10]С2.5!$AB$11</f>
        <v>0</v>
      </c>
    </row>
    <row r="167" spans="2:3" hidden="1" x14ac:dyDescent="0.2">
      <c r="B167" s="111">
        <f t="shared" si="0"/>
        <v>2044</v>
      </c>
      <c r="C167" s="112">
        <f>[10]С2.5!$AC$11</f>
        <v>0</v>
      </c>
    </row>
    <row r="168" spans="2:3" hidden="1" x14ac:dyDescent="0.2">
      <c r="B168" s="111">
        <f t="shared" si="0"/>
        <v>2045</v>
      </c>
      <c r="C168" s="112">
        <f>[10]С2.5!$AD$11</f>
        <v>0</v>
      </c>
    </row>
    <row r="169" spans="2:3" hidden="1" x14ac:dyDescent="0.2">
      <c r="B169" s="111">
        <f t="shared" si="0"/>
        <v>2046</v>
      </c>
      <c r="C169" s="112">
        <f>[10]С2.5!$AE$11</f>
        <v>0</v>
      </c>
    </row>
    <row r="170" spans="2:3" hidden="1" x14ac:dyDescent="0.2">
      <c r="B170" s="111">
        <f t="shared" si="0"/>
        <v>2047</v>
      </c>
      <c r="C170" s="112">
        <f>[10]С2.5!$AF$11</f>
        <v>0</v>
      </c>
    </row>
    <row r="171" spans="2:3" hidden="1" x14ac:dyDescent="0.2">
      <c r="B171" s="111">
        <f t="shared" si="0"/>
        <v>2048</v>
      </c>
      <c r="C171" s="112">
        <f>[10]С2.5!$AG$11</f>
        <v>0</v>
      </c>
    </row>
    <row r="172" spans="2:3" hidden="1" x14ac:dyDescent="0.2">
      <c r="B172" s="111">
        <f t="shared" si="0"/>
        <v>2049</v>
      </c>
      <c r="C172" s="112">
        <f>[10]С2.5!$AH$11</f>
        <v>0</v>
      </c>
    </row>
    <row r="173" spans="2:3" hidden="1" x14ac:dyDescent="0.2">
      <c r="B173" s="111">
        <f t="shared" si="0"/>
        <v>2050</v>
      </c>
      <c r="C173" s="112">
        <f>[10]С2.5!$AI$11</f>
        <v>0</v>
      </c>
    </row>
    <row r="174" spans="2:3" hidden="1" x14ac:dyDescent="0.2">
      <c r="B174" s="111">
        <f t="shared" si="0"/>
        <v>2051</v>
      </c>
      <c r="C174" s="112">
        <f>[10]С2.5!$AJ$11</f>
        <v>0</v>
      </c>
    </row>
    <row r="175" spans="2:3" hidden="1" x14ac:dyDescent="0.2">
      <c r="B175" s="111">
        <f t="shared" si="0"/>
        <v>2052</v>
      </c>
      <c r="C175" s="112">
        <f>[10]С2.5!$AK$11</f>
        <v>0</v>
      </c>
    </row>
    <row r="176" spans="2:3" hidden="1" x14ac:dyDescent="0.2">
      <c r="B176" s="111">
        <f t="shared" si="0"/>
        <v>2053</v>
      </c>
      <c r="C176" s="112">
        <f>[10]С2.5!$AL$11</f>
        <v>0</v>
      </c>
    </row>
    <row r="177" spans="2:3" hidden="1" x14ac:dyDescent="0.2">
      <c r="B177" s="111">
        <f t="shared" si="0"/>
        <v>2054</v>
      </c>
      <c r="C177" s="112">
        <f>[10]С2.5!$AM$11</f>
        <v>0</v>
      </c>
    </row>
    <row r="178" spans="2:3" hidden="1" x14ac:dyDescent="0.2">
      <c r="B178" s="111">
        <f t="shared" si="0"/>
        <v>2055</v>
      </c>
      <c r="C178" s="112">
        <f>[10]С2.5!$AN$11</f>
        <v>0</v>
      </c>
    </row>
    <row r="179" spans="2:3" hidden="1" x14ac:dyDescent="0.2">
      <c r="B179" s="111">
        <f t="shared" si="0"/>
        <v>2056</v>
      </c>
      <c r="C179" s="112">
        <f>[10]С2.5!$AO$11</f>
        <v>0</v>
      </c>
    </row>
    <row r="180" spans="2:3" hidden="1" x14ac:dyDescent="0.2">
      <c r="B180" s="111">
        <f t="shared" si="0"/>
        <v>2057</v>
      </c>
      <c r="C180" s="112">
        <f>[10]С2.5!$AP$11</f>
        <v>0</v>
      </c>
    </row>
    <row r="181" spans="2:3" hidden="1" x14ac:dyDescent="0.2">
      <c r="B181" s="111">
        <f t="shared" si="0"/>
        <v>2058</v>
      </c>
      <c r="C181" s="112">
        <f>[10]С2.5!$AQ$11</f>
        <v>0</v>
      </c>
    </row>
    <row r="182" spans="2:3" hidden="1" x14ac:dyDescent="0.2">
      <c r="B182" s="111">
        <f t="shared" si="0"/>
        <v>2059</v>
      </c>
      <c r="C182" s="112">
        <f>[10]С2.5!$AR$11</f>
        <v>0</v>
      </c>
    </row>
    <row r="183" spans="2:3" hidden="1" x14ac:dyDescent="0.2">
      <c r="B183" s="111">
        <f t="shared" si="0"/>
        <v>2060</v>
      </c>
      <c r="C183" s="112">
        <f>[10]С2.5!$AS$11</f>
        <v>0</v>
      </c>
    </row>
    <row r="184" spans="2:3" hidden="1" x14ac:dyDescent="0.2">
      <c r="B184" s="111">
        <f t="shared" si="0"/>
        <v>2061</v>
      </c>
      <c r="C184" s="112">
        <f>[10]С2.5!$AT$11</f>
        <v>0</v>
      </c>
    </row>
    <row r="185" spans="2:3" hidden="1" x14ac:dyDescent="0.2">
      <c r="B185" s="111">
        <f t="shared" si="0"/>
        <v>2062</v>
      </c>
      <c r="C185" s="112">
        <f>[10]С2.5!$AU$11</f>
        <v>0</v>
      </c>
    </row>
    <row r="186" spans="2:3" hidden="1" x14ac:dyDescent="0.2">
      <c r="B186" s="111">
        <f t="shared" si="0"/>
        <v>2063</v>
      </c>
      <c r="C186" s="112">
        <f>[10]С2.5!$AV$11</f>
        <v>0</v>
      </c>
    </row>
    <row r="187" spans="2:3" hidden="1" x14ac:dyDescent="0.2">
      <c r="B187" s="111">
        <f t="shared" si="0"/>
        <v>2064</v>
      </c>
      <c r="C187" s="112">
        <f>[10]С2.5!$AW$11</f>
        <v>0</v>
      </c>
    </row>
    <row r="188" spans="2:3" hidden="1" x14ac:dyDescent="0.2">
      <c r="B188" s="111">
        <f t="shared" si="0"/>
        <v>2065</v>
      </c>
      <c r="C188" s="112">
        <f>[10]С2.5!$AX$11</f>
        <v>0</v>
      </c>
    </row>
    <row r="189" spans="2:3" hidden="1" x14ac:dyDescent="0.2">
      <c r="B189" s="111">
        <f t="shared" si="0"/>
        <v>2066</v>
      </c>
      <c r="C189" s="112">
        <f>[10]С2.5!$AY$11</f>
        <v>0</v>
      </c>
    </row>
    <row r="190" spans="2:3" hidden="1" x14ac:dyDescent="0.2">
      <c r="B190" s="111">
        <f t="shared" si="0"/>
        <v>2067</v>
      </c>
      <c r="C190" s="112">
        <f>[10]С2.5!$AZ$11</f>
        <v>0</v>
      </c>
    </row>
    <row r="191" spans="2:3" hidden="1" x14ac:dyDescent="0.2">
      <c r="B191" s="111">
        <f t="shared" si="0"/>
        <v>2068</v>
      </c>
      <c r="C191" s="112">
        <f>[10]С2.5!$BA$11</f>
        <v>0</v>
      </c>
    </row>
    <row r="192" spans="2:3" hidden="1" x14ac:dyDescent="0.2">
      <c r="B192" s="111">
        <f t="shared" si="0"/>
        <v>2069</v>
      </c>
      <c r="C192" s="112">
        <f>[10]С2.5!$BB$11</f>
        <v>0</v>
      </c>
    </row>
    <row r="193" spans="2:3" hidden="1" x14ac:dyDescent="0.2">
      <c r="B193" s="111">
        <f t="shared" si="0"/>
        <v>2070</v>
      </c>
      <c r="C193" s="112">
        <f>[10]С2.5!$BC$11</f>
        <v>0</v>
      </c>
    </row>
    <row r="194" spans="2:3" hidden="1" x14ac:dyDescent="0.2">
      <c r="B194" s="111">
        <f t="shared" si="0"/>
        <v>2071</v>
      </c>
      <c r="C194" s="112">
        <f>[10]С2.5!$BD$11</f>
        <v>0</v>
      </c>
    </row>
    <row r="195" spans="2:3" hidden="1" x14ac:dyDescent="0.2">
      <c r="B195" s="111">
        <f t="shared" si="0"/>
        <v>2072</v>
      </c>
      <c r="C195" s="112">
        <f>[10]С2.5!$BE$11</f>
        <v>0</v>
      </c>
    </row>
    <row r="196" spans="2:3" hidden="1" x14ac:dyDescent="0.2">
      <c r="B196" s="111">
        <f t="shared" si="0"/>
        <v>2073</v>
      </c>
      <c r="C196" s="112">
        <f>[10]С2.5!$BF$11</f>
        <v>0</v>
      </c>
    </row>
    <row r="197" spans="2:3" hidden="1" x14ac:dyDescent="0.2">
      <c r="B197" s="111">
        <f t="shared" si="0"/>
        <v>2074</v>
      </c>
      <c r="C197" s="112">
        <f>[10]С2.5!$BG$11</f>
        <v>0</v>
      </c>
    </row>
    <row r="198" spans="2:3" hidden="1" x14ac:dyDescent="0.2">
      <c r="B198" s="111">
        <f t="shared" si="0"/>
        <v>2075</v>
      </c>
      <c r="C198" s="112">
        <f>[10]С2.5!$BH$11</f>
        <v>0</v>
      </c>
    </row>
    <row r="199" spans="2:3" hidden="1" x14ac:dyDescent="0.2">
      <c r="B199" s="111">
        <f t="shared" si="0"/>
        <v>2076</v>
      </c>
      <c r="C199" s="112">
        <f>[10]С2.5!$BI$11</f>
        <v>0</v>
      </c>
    </row>
    <row r="200" spans="2:3" hidden="1" x14ac:dyDescent="0.2">
      <c r="B200" s="111">
        <f t="shared" si="0"/>
        <v>2077</v>
      </c>
      <c r="C200" s="112">
        <f>[10]С2.5!$BJ$11</f>
        <v>0</v>
      </c>
    </row>
    <row r="201" spans="2:3" hidden="1" x14ac:dyDescent="0.2">
      <c r="B201" s="111">
        <f t="shared" si="0"/>
        <v>2078</v>
      </c>
      <c r="C201" s="112">
        <f>[10]С2.5!$BK$11</f>
        <v>0</v>
      </c>
    </row>
    <row r="202" spans="2:3" hidden="1" x14ac:dyDescent="0.2">
      <c r="B202" s="111">
        <f t="shared" si="0"/>
        <v>2079</v>
      </c>
      <c r="C202" s="112">
        <f>[10]С2.5!$BL$11</f>
        <v>0</v>
      </c>
    </row>
    <row r="203" spans="2:3" hidden="1" x14ac:dyDescent="0.2">
      <c r="B203" s="111">
        <f t="shared" si="0"/>
        <v>2080</v>
      </c>
      <c r="C203" s="112">
        <f>[10]С2.5!$BM$11</f>
        <v>0</v>
      </c>
    </row>
    <row r="204" spans="2:3" hidden="1" x14ac:dyDescent="0.2">
      <c r="B204" s="111">
        <f t="shared" si="0"/>
        <v>2081</v>
      </c>
      <c r="C204" s="112">
        <f>[10]С2.5!$BN$11</f>
        <v>0</v>
      </c>
    </row>
    <row r="205" spans="2:3" hidden="1" x14ac:dyDescent="0.2">
      <c r="B205" s="111">
        <f t="shared" si="0"/>
        <v>2082</v>
      </c>
      <c r="C205" s="112">
        <f>[10]С2.5!$BO$11</f>
        <v>0</v>
      </c>
    </row>
    <row r="206" spans="2:3" hidden="1" x14ac:dyDescent="0.2">
      <c r="B206" s="111">
        <f t="shared" si="0"/>
        <v>2083</v>
      </c>
      <c r="C206" s="112">
        <f>[10]С2.5!$BP$11</f>
        <v>0</v>
      </c>
    </row>
    <row r="207" spans="2:3" hidden="1" x14ac:dyDescent="0.2">
      <c r="B207" s="111">
        <f t="shared" si="0"/>
        <v>2084</v>
      </c>
      <c r="C207" s="112">
        <f>[10]С2.5!$BQ$11</f>
        <v>0</v>
      </c>
    </row>
    <row r="208" spans="2:3" hidden="1" x14ac:dyDescent="0.2">
      <c r="B208" s="111">
        <f t="shared" si="0"/>
        <v>2085</v>
      </c>
      <c r="C208" s="112">
        <f>[10]С2.5!$BR$11</f>
        <v>0</v>
      </c>
    </row>
    <row r="209" spans="2:3" hidden="1" x14ac:dyDescent="0.2">
      <c r="B209" s="111">
        <f t="shared" ref="B209:B223" si="1">B208+1</f>
        <v>2086</v>
      </c>
      <c r="C209" s="112">
        <f>[10]С2.5!$BS$11</f>
        <v>0</v>
      </c>
    </row>
    <row r="210" spans="2:3" hidden="1" x14ac:dyDescent="0.2">
      <c r="B210" s="111">
        <f t="shared" si="1"/>
        <v>2087</v>
      </c>
      <c r="C210" s="112">
        <f>[10]С2.5!$BT$11</f>
        <v>0</v>
      </c>
    </row>
    <row r="211" spans="2:3" hidden="1" x14ac:dyDescent="0.2">
      <c r="B211" s="111">
        <f t="shared" si="1"/>
        <v>2088</v>
      </c>
      <c r="C211" s="112">
        <f>[10]С2.5!$BU$11</f>
        <v>0</v>
      </c>
    </row>
    <row r="212" spans="2:3" hidden="1" x14ac:dyDescent="0.2">
      <c r="B212" s="111">
        <f t="shared" si="1"/>
        <v>2089</v>
      </c>
      <c r="C212" s="112">
        <f>[10]С2.5!$BV$11</f>
        <v>0</v>
      </c>
    </row>
    <row r="213" spans="2:3" hidden="1" x14ac:dyDescent="0.2">
      <c r="B213" s="111">
        <f t="shared" si="1"/>
        <v>2090</v>
      </c>
      <c r="C213" s="112">
        <f>[10]С2.5!$BW$11</f>
        <v>0</v>
      </c>
    </row>
    <row r="214" spans="2:3" hidden="1" x14ac:dyDescent="0.2">
      <c r="B214" s="111">
        <f t="shared" si="1"/>
        <v>2091</v>
      </c>
      <c r="C214" s="112">
        <f>[10]С2.5!$BX$11</f>
        <v>0</v>
      </c>
    </row>
    <row r="215" spans="2:3" hidden="1" x14ac:dyDescent="0.2">
      <c r="B215" s="111">
        <f t="shared" si="1"/>
        <v>2092</v>
      </c>
      <c r="C215" s="112">
        <f>[10]С2.5!$BY$11</f>
        <v>0</v>
      </c>
    </row>
    <row r="216" spans="2:3" hidden="1" x14ac:dyDescent="0.2">
      <c r="B216" s="111">
        <f t="shared" si="1"/>
        <v>2093</v>
      </c>
      <c r="C216" s="112">
        <f>[10]С2.5!$BZ$11</f>
        <v>0</v>
      </c>
    </row>
    <row r="217" spans="2:3" hidden="1" x14ac:dyDescent="0.2">
      <c r="B217" s="111">
        <f t="shared" si="1"/>
        <v>2094</v>
      </c>
      <c r="C217" s="112">
        <f>[10]С2.5!$CA$11</f>
        <v>0</v>
      </c>
    </row>
    <row r="218" spans="2:3" hidden="1" x14ac:dyDescent="0.2">
      <c r="B218" s="111">
        <f t="shared" si="1"/>
        <v>2095</v>
      </c>
      <c r="C218" s="112">
        <f>[10]С2.5!$CB$11</f>
        <v>0</v>
      </c>
    </row>
    <row r="219" spans="2:3" hidden="1" x14ac:dyDescent="0.2">
      <c r="B219" s="111">
        <f t="shared" si="1"/>
        <v>2096</v>
      </c>
      <c r="C219" s="112">
        <f>[10]С2.5!$CC$11</f>
        <v>0</v>
      </c>
    </row>
    <row r="220" spans="2:3" hidden="1" x14ac:dyDescent="0.2">
      <c r="B220" s="111">
        <f t="shared" si="1"/>
        <v>2097</v>
      </c>
      <c r="C220" s="112">
        <f>[10]С2.5!$CD$11</f>
        <v>0</v>
      </c>
    </row>
    <row r="221" spans="2:3" hidden="1" x14ac:dyDescent="0.2">
      <c r="B221" s="111">
        <f t="shared" si="1"/>
        <v>2098</v>
      </c>
      <c r="C221" s="112">
        <f>[10]С2.5!$CE$11</f>
        <v>0</v>
      </c>
    </row>
    <row r="222" spans="2:3" hidden="1" x14ac:dyDescent="0.2">
      <c r="B222" s="111">
        <f t="shared" si="1"/>
        <v>2099</v>
      </c>
      <c r="C222" s="112">
        <f>[10]С2.5!$CF$11</f>
        <v>0</v>
      </c>
    </row>
    <row r="223" spans="2:3" ht="13.5" hidden="1" thickBot="1" x14ac:dyDescent="0.25">
      <c r="B223" s="113">
        <f t="shared" si="1"/>
        <v>2100</v>
      </c>
      <c r="C223" s="114">
        <f>[10]С2.5!$CG$11</f>
        <v>0</v>
      </c>
    </row>
    <row r="224" spans="2:3" hidden="1" x14ac:dyDescent="0.2">
      <c r="C224" s="117"/>
    </row>
    <row r="225" spans="3:3" hidden="1" x14ac:dyDescent="0.2">
      <c r="C225" s="117"/>
    </row>
    <row r="226" spans="3:3" x14ac:dyDescent="0.2">
      <c r="C226" s="117"/>
    </row>
  </sheetData>
  <mergeCells count="9">
    <mergeCell ref="B1:C1"/>
    <mergeCell ref="A14:C14"/>
    <mergeCell ref="B27:C27"/>
    <mergeCell ref="B141:C141"/>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Button 1">
              <controlPr defaultSize="0" print="0" autoFill="0" autoPict="0" macro="[6]!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mc:AlternateContent xmlns:mc="http://schemas.openxmlformats.org/markup-compatibility/2006">
          <mc:Choice Requires="x14">
            <control shapeId="8194" r:id="rId5" name="Button 2">
              <controlPr defaultSize="0" print="0" autoFill="0" autoPict="0" macro="[10]!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226"/>
  <sheetViews>
    <sheetView zoomScale="85" zoomScaleNormal="85" workbookViewId="0">
      <pane ySplit="8" topLeftCell="A9" activePane="bottomLeft" state="frozen"/>
      <selection pane="bottomLeft" activeCell="C17" sqref="C17"/>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44" t="s">
        <v>1</v>
      </c>
      <c r="C1" s="144"/>
    </row>
    <row r="2" spans="1:3" x14ac:dyDescent="0.2">
      <c r="A2" s="3"/>
      <c r="B2" s="4" t="s">
        <v>2</v>
      </c>
      <c r="C2" s="5">
        <f ca="1">TODAY()</f>
        <v>44944</v>
      </c>
    </row>
    <row r="3" spans="1:3" x14ac:dyDescent="0.2">
      <c r="A3" s="3"/>
      <c r="B3" s="6" t="s">
        <v>3</v>
      </c>
    </row>
    <row r="4" spans="1:3" ht="25.5" x14ac:dyDescent="0.2">
      <c r="A4" s="8"/>
      <c r="B4" s="9" t="str">
        <f>[11]И1!D13</f>
        <v>Субъект Российской Федерации</v>
      </c>
      <c r="C4" s="10" t="str">
        <f>[11]И1!E13</f>
        <v>Новосибирская область</v>
      </c>
    </row>
    <row r="5" spans="1:3" ht="38.25" x14ac:dyDescent="0.2">
      <c r="A5" s="8"/>
      <c r="B5" s="9" t="str">
        <f>[11]И1!D14</f>
        <v>Тип муниципального образования (выберите из списка)</v>
      </c>
      <c r="C5" s="10" t="str">
        <f>[11]И1!E14</f>
        <v>село Елбань, Маслянинский муниципальный район</v>
      </c>
    </row>
    <row r="6" spans="1:3" x14ac:dyDescent="0.2">
      <c r="A6" s="8"/>
      <c r="B6" s="9" t="str">
        <f>IF([11]И1!E15="","",[11]И1!D15)</f>
        <v/>
      </c>
      <c r="C6" s="10" t="str">
        <f>IF([11]И1!E15="","",[11]И1!E15)</f>
        <v/>
      </c>
    </row>
    <row r="7" spans="1:3" x14ac:dyDescent="0.2">
      <c r="A7" s="8"/>
      <c r="B7" s="9" t="str">
        <f>[11]И1!D16</f>
        <v>Код ОКТМО</v>
      </c>
      <c r="C7" s="11" t="str">
        <f>[11]И1!E16</f>
        <v>50636422101</v>
      </c>
    </row>
    <row r="8" spans="1:3" x14ac:dyDescent="0.2">
      <c r="A8" s="8"/>
      <c r="B8" s="12" t="str">
        <f>[11]И1!D17</f>
        <v>Система теплоснабжения</v>
      </c>
      <c r="C8" s="13">
        <f>[11]И1!E17</f>
        <v>0</v>
      </c>
    </row>
    <row r="9" spans="1:3" x14ac:dyDescent="0.2">
      <c r="A9" s="8"/>
      <c r="B9" s="9" t="str">
        <f>[11]И1!D8</f>
        <v>Период регулирования (i)-й</v>
      </c>
      <c r="C9" s="14">
        <f>[11]И1!E8</f>
        <v>2023</v>
      </c>
    </row>
    <row r="10" spans="1:3" x14ac:dyDescent="0.2">
      <c r="A10" s="8"/>
      <c r="B10" s="9" t="str">
        <f>[11]И1!D9</f>
        <v>Период регулирования (i-1)-й</v>
      </c>
      <c r="C10" s="14">
        <f>[11]И1!E9</f>
        <v>2022</v>
      </c>
    </row>
    <row r="11" spans="1:3" x14ac:dyDescent="0.2">
      <c r="A11" s="8"/>
      <c r="B11" s="9" t="str">
        <f>[11]И1!D10</f>
        <v>Период регулирования (i-2)-й</v>
      </c>
      <c r="C11" s="14">
        <f>[11]И1!E10</f>
        <v>2021</v>
      </c>
    </row>
    <row r="12" spans="1:3" x14ac:dyDescent="0.2">
      <c r="A12" s="8"/>
      <c r="B12" s="9" t="str">
        <f>[11]И1!D11</f>
        <v>Базовый год (б)</v>
      </c>
      <c r="C12" s="14">
        <f>[11]И1!E11</f>
        <v>2019</v>
      </c>
    </row>
    <row r="13" spans="1:3" ht="38.25" x14ac:dyDescent="0.2">
      <c r="A13" s="8"/>
      <c r="B13" s="9" t="str">
        <f>[11]И1!D18</f>
        <v>Вид топлива, использование которого преобладает в системе теплоснабжения</v>
      </c>
      <c r="C13" s="15" t="str">
        <f>[11]С1.1!E13</f>
        <v>уголь (вид угля не указан в топливном балансе)</v>
      </c>
    </row>
    <row r="14" spans="1:3" ht="31.7" customHeight="1" thickBot="1" x14ac:dyDescent="0.25">
      <c r="A14" s="145" t="s">
        <v>4</v>
      </c>
      <c r="B14" s="145"/>
      <c r="C14" s="145"/>
    </row>
    <row r="15" spans="1:3" x14ac:dyDescent="0.2">
      <c r="A15" s="16" t="s">
        <v>5</v>
      </c>
      <c r="B15" s="17" t="s">
        <v>6</v>
      </c>
      <c r="C15" s="18" t="s">
        <v>7</v>
      </c>
    </row>
    <row r="16" spans="1:3" x14ac:dyDescent="0.2">
      <c r="A16" s="19">
        <v>1</v>
      </c>
      <c r="B16" s="20">
        <v>2</v>
      </c>
      <c r="C16" s="21">
        <v>3</v>
      </c>
    </row>
    <row r="17" spans="1:3" x14ac:dyDescent="0.2">
      <c r="A17" s="22">
        <v>1</v>
      </c>
      <c r="B17" s="23" t="s">
        <v>8</v>
      </c>
      <c r="C17" s="24">
        <f>SUM(C18:C22)</f>
        <v>4065.6498971831547</v>
      </c>
    </row>
    <row r="18" spans="1:3" ht="42.75" x14ac:dyDescent="0.2">
      <c r="A18" s="22" t="s">
        <v>9</v>
      </c>
      <c r="B18" s="25" t="s">
        <v>10</v>
      </c>
      <c r="C18" s="26">
        <f>[11]С1!F12</f>
        <v>931.18468604281509</v>
      </c>
    </row>
    <row r="19" spans="1:3" ht="42.75" x14ac:dyDescent="0.2">
      <c r="A19" s="22" t="s">
        <v>11</v>
      </c>
      <c r="B19" s="25" t="s">
        <v>12</v>
      </c>
      <c r="C19" s="26">
        <f>[11]С2!F12</f>
        <v>2110.2454761302993</v>
      </c>
    </row>
    <row r="20" spans="1:3" ht="30" x14ac:dyDescent="0.2">
      <c r="A20" s="22" t="s">
        <v>13</v>
      </c>
      <c r="B20" s="25" t="s">
        <v>14</v>
      </c>
      <c r="C20" s="26">
        <f>[11]С3!F12</f>
        <v>504.95006339690781</v>
      </c>
    </row>
    <row r="21" spans="1:3" ht="42.75" x14ac:dyDescent="0.2">
      <c r="A21" s="22" t="s">
        <v>15</v>
      </c>
      <c r="B21" s="25" t="s">
        <v>16</v>
      </c>
      <c r="C21" s="26">
        <f>[11]С4!F12</f>
        <v>439.55104617816875</v>
      </c>
    </row>
    <row r="22" spans="1:3" ht="30" x14ac:dyDescent="0.2">
      <c r="A22" s="22" t="s">
        <v>17</v>
      </c>
      <c r="B22" s="25" t="s">
        <v>18</v>
      </c>
      <c r="C22" s="26">
        <f>[11]С5!F12</f>
        <v>79.718625434963812</v>
      </c>
    </row>
    <row r="23" spans="1:3" ht="43.5" thickBot="1" x14ac:dyDescent="0.25">
      <c r="A23" s="27" t="s">
        <v>19</v>
      </c>
      <c r="B23" s="28" t="s">
        <v>20</v>
      </c>
      <c r="C23" s="29" t="str">
        <f>[11]С6!F12</f>
        <v>-</v>
      </c>
    </row>
    <row r="24" spans="1:3" ht="13.5" thickBot="1" x14ac:dyDescent="0.25">
      <c r="A24" s="3"/>
    </row>
    <row r="25" spans="1:3" x14ac:dyDescent="0.2">
      <c r="A25" s="16" t="s">
        <v>5</v>
      </c>
      <c r="B25" s="30" t="s">
        <v>6</v>
      </c>
      <c r="C25" s="31" t="s">
        <v>7</v>
      </c>
    </row>
    <row r="26" spans="1:3" x14ac:dyDescent="0.2">
      <c r="A26" s="19">
        <v>1</v>
      </c>
      <c r="B26" s="32">
        <v>2</v>
      </c>
      <c r="C26" s="33">
        <v>3</v>
      </c>
    </row>
    <row r="27" spans="1:3" ht="30" customHeight="1" x14ac:dyDescent="0.2">
      <c r="A27" s="22">
        <v>1</v>
      </c>
      <c r="B27" s="146" t="s">
        <v>21</v>
      </c>
      <c r="C27" s="146"/>
    </row>
    <row r="28" spans="1:3" x14ac:dyDescent="0.2">
      <c r="A28" s="22" t="s">
        <v>9</v>
      </c>
      <c r="B28" s="34" t="s">
        <v>22</v>
      </c>
      <c r="C28" s="35">
        <f>[11]С1.1!E16</f>
        <v>5100</v>
      </c>
    </row>
    <row r="29" spans="1:3" ht="42.75" x14ac:dyDescent="0.2">
      <c r="A29" s="22" t="s">
        <v>11</v>
      </c>
      <c r="B29" s="34" t="s">
        <v>23</v>
      </c>
      <c r="C29" s="35">
        <f>[11]С1.1!E27</f>
        <v>2503.8000000000002</v>
      </c>
    </row>
    <row r="30" spans="1:3" ht="17.25" x14ac:dyDescent="0.2">
      <c r="A30" s="22" t="s">
        <v>13</v>
      </c>
      <c r="B30" s="34" t="s">
        <v>24</v>
      </c>
      <c r="C30" s="36">
        <f>[11]С1.1!E19</f>
        <v>0.59499999999999997</v>
      </c>
    </row>
    <row r="31" spans="1:3" ht="17.25" x14ac:dyDescent="0.2">
      <c r="A31" s="22" t="s">
        <v>15</v>
      </c>
      <c r="B31" s="34" t="s">
        <v>25</v>
      </c>
      <c r="C31" s="36">
        <f>[11]С1.1!E20</f>
        <v>-0.113</v>
      </c>
    </row>
    <row r="32" spans="1:3" ht="30" x14ac:dyDescent="0.2">
      <c r="A32" s="22" t="s">
        <v>17</v>
      </c>
      <c r="B32" s="37" t="s">
        <v>26</v>
      </c>
      <c r="C32" s="38">
        <f>[11]С1!F13</f>
        <v>176.4</v>
      </c>
    </row>
    <row r="33" spans="1:3" x14ac:dyDescent="0.2">
      <c r="A33" s="22" t="s">
        <v>19</v>
      </c>
      <c r="B33" s="37" t="s">
        <v>27</v>
      </c>
      <c r="C33" s="39">
        <f>[11]С1!F16</f>
        <v>7000</v>
      </c>
    </row>
    <row r="34" spans="1:3" ht="14.25" x14ac:dyDescent="0.2">
      <c r="A34" s="22" t="s">
        <v>28</v>
      </c>
      <c r="B34" s="40" t="s">
        <v>29</v>
      </c>
      <c r="C34" s="41">
        <f>[11]С1!F17</f>
        <v>0.72857142857142854</v>
      </c>
    </row>
    <row r="35" spans="1:3" ht="15.75" x14ac:dyDescent="0.2">
      <c r="A35" s="42" t="s">
        <v>30</v>
      </c>
      <c r="B35" s="43" t="s">
        <v>31</v>
      </c>
      <c r="C35" s="41">
        <f>[11]С1!F20</f>
        <v>21.588411179999994</v>
      </c>
    </row>
    <row r="36" spans="1:3" ht="15.75" x14ac:dyDescent="0.2">
      <c r="A36" s="42" t="s">
        <v>32</v>
      </c>
      <c r="B36" s="44" t="s">
        <v>33</v>
      </c>
      <c r="C36" s="41">
        <f>[11]С1!F21</f>
        <v>20.818139999999996</v>
      </c>
    </row>
    <row r="37" spans="1:3" ht="14.25" x14ac:dyDescent="0.2">
      <c r="A37" s="42" t="s">
        <v>34</v>
      </c>
      <c r="B37" s="45" t="s">
        <v>35</v>
      </c>
      <c r="C37" s="41">
        <f>[11]С1!F22</f>
        <v>1.0369999999999999</v>
      </c>
    </row>
    <row r="38" spans="1:3" ht="53.25" thickBot="1" x14ac:dyDescent="0.25">
      <c r="A38" s="27" t="s">
        <v>36</v>
      </c>
      <c r="B38" s="46" t="s">
        <v>37</v>
      </c>
      <c r="C38" s="47">
        <f>[11]С1!F23</f>
        <v>1.0469999999999999</v>
      </c>
    </row>
    <row r="39" spans="1:3" ht="13.5" thickBot="1" x14ac:dyDescent="0.25">
      <c r="A39" s="48"/>
      <c r="B39" s="49"/>
      <c r="C39" s="50"/>
    </row>
    <row r="40" spans="1:3" ht="30" customHeight="1" x14ac:dyDescent="0.2">
      <c r="A40" s="51" t="s">
        <v>38</v>
      </c>
      <c r="B40" s="142" t="s">
        <v>39</v>
      </c>
      <c r="C40" s="142"/>
    </row>
    <row r="41" spans="1:3" ht="25.5" x14ac:dyDescent="0.2">
      <c r="A41" s="22" t="s">
        <v>40</v>
      </c>
      <c r="B41" s="37" t="s">
        <v>41</v>
      </c>
      <c r="C41" s="52" t="str">
        <f>[11]С2.1!E12</f>
        <v>V</v>
      </c>
    </row>
    <row r="42" spans="1:3" ht="25.5" x14ac:dyDescent="0.2">
      <c r="A42" s="22" t="s">
        <v>42</v>
      </c>
      <c r="B42" s="34" t="s">
        <v>43</v>
      </c>
      <c r="C42" s="52" t="str">
        <f>[11]С2.1!E13</f>
        <v>6 и менее баллов</v>
      </c>
    </row>
    <row r="43" spans="1:3" ht="25.5" x14ac:dyDescent="0.2">
      <c r="A43" s="22" t="s">
        <v>44</v>
      </c>
      <c r="B43" s="34" t="s">
        <v>45</v>
      </c>
      <c r="C43" s="52" t="str">
        <f>[11]С2.1!E14</f>
        <v>от 200 до 500</v>
      </c>
    </row>
    <row r="44" spans="1:3" ht="25.5" x14ac:dyDescent="0.2">
      <c r="A44" s="22" t="s">
        <v>46</v>
      </c>
      <c r="B44" s="34" t="s">
        <v>47</v>
      </c>
      <c r="C44" s="53" t="str">
        <f>[11]С2.1!E15</f>
        <v>нет</v>
      </c>
    </row>
    <row r="45" spans="1:3" ht="30" x14ac:dyDescent="0.2">
      <c r="A45" s="22" t="s">
        <v>48</v>
      </c>
      <c r="B45" s="34" t="s">
        <v>49</v>
      </c>
      <c r="C45" s="35">
        <f>[11]С2!F18</f>
        <v>32402.627334033532</v>
      </c>
    </row>
    <row r="46" spans="1:3" ht="30" x14ac:dyDescent="0.2">
      <c r="A46" s="22" t="s">
        <v>50</v>
      </c>
      <c r="B46" s="54" t="s">
        <v>51</v>
      </c>
      <c r="C46" s="35">
        <f>IF([11]С2!F19&gt;0,[11]С2!F19,[11]С2!F20)</f>
        <v>23441.524932855718</v>
      </c>
    </row>
    <row r="47" spans="1:3" ht="25.5" x14ac:dyDescent="0.2">
      <c r="A47" s="22" t="s">
        <v>52</v>
      </c>
      <c r="B47" s="55" t="s">
        <v>53</v>
      </c>
      <c r="C47" s="35">
        <f>[11]С2.1!E19</f>
        <v>-37</v>
      </c>
    </row>
    <row r="48" spans="1:3" ht="25.5" x14ac:dyDescent="0.2">
      <c r="A48" s="22" t="s">
        <v>54</v>
      </c>
      <c r="B48" s="55" t="s">
        <v>55</v>
      </c>
      <c r="C48" s="35" t="str">
        <f>[11]С2.1!E22</f>
        <v>нет</v>
      </c>
    </row>
    <row r="49" spans="1:3" ht="38.25" x14ac:dyDescent="0.2">
      <c r="A49" s="22" t="s">
        <v>56</v>
      </c>
      <c r="B49" s="56" t="s">
        <v>57</v>
      </c>
      <c r="C49" s="35">
        <f>[11]С2.2!E10</f>
        <v>1287</v>
      </c>
    </row>
    <row r="50" spans="1:3" ht="25.5" x14ac:dyDescent="0.2">
      <c r="A50" s="22" t="s">
        <v>58</v>
      </c>
      <c r="B50" s="57" t="s">
        <v>59</v>
      </c>
      <c r="C50" s="35">
        <f>[11]С2.2!E12</f>
        <v>5.97</v>
      </c>
    </row>
    <row r="51" spans="1:3" ht="52.5" x14ac:dyDescent="0.2">
      <c r="A51" s="22" t="s">
        <v>60</v>
      </c>
      <c r="B51" s="58" t="s">
        <v>61</v>
      </c>
      <c r="C51" s="35">
        <f>[11]С2.2!E13</f>
        <v>1</v>
      </c>
    </row>
    <row r="52" spans="1:3" ht="27.75" x14ac:dyDescent="0.2">
      <c r="A52" s="22" t="s">
        <v>62</v>
      </c>
      <c r="B52" s="57" t="s">
        <v>63</v>
      </c>
      <c r="C52" s="35">
        <f>[11]С2.2!E14</f>
        <v>12104</v>
      </c>
    </row>
    <row r="53" spans="1:3" ht="25.5" x14ac:dyDescent="0.2">
      <c r="A53" s="22" t="s">
        <v>64</v>
      </c>
      <c r="B53" s="58" t="s">
        <v>65</v>
      </c>
      <c r="C53" s="36">
        <f>[11]С2.2!E15</f>
        <v>4.8000000000000001E-2</v>
      </c>
    </row>
    <row r="54" spans="1:3" x14ac:dyDescent="0.2">
      <c r="A54" s="22" t="s">
        <v>66</v>
      </c>
      <c r="B54" s="58" t="s">
        <v>67</v>
      </c>
      <c r="C54" s="35">
        <f>[11]С2.2!E16</f>
        <v>1</v>
      </c>
    </row>
    <row r="55" spans="1:3" ht="15.75" x14ac:dyDescent="0.2">
      <c r="A55" s="22" t="s">
        <v>68</v>
      </c>
      <c r="B55" s="59" t="s">
        <v>69</v>
      </c>
      <c r="C55" s="35">
        <f>[11]С2!F21</f>
        <v>1</v>
      </c>
    </row>
    <row r="56" spans="1:3" ht="30" x14ac:dyDescent="0.2">
      <c r="A56" s="60" t="s">
        <v>70</v>
      </c>
      <c r="B56" s="34" t="s">
        <v>71</v>
      </c>
      <c r="C56" s="35">
        <f>[11]С2!F13</f>
        <v>169640.22915965237</v>
      </c>
    </row>
    <row r="57" spans="1:3" ht="30" x14ac:dyDescent="0.2">
      <c r="A57" s="60" t="s">
        <v>72</v>
      </c>
      <c r="B57" s="59" t="s">
        <v>73</v>
      </c>
      <c r="C57" s="35">
        <f>[11]С2!F14</f>
        <v>113455</v>
      </c>
    </row>
    <row r="58" spans="1:3" ht="15.75" x14ac:dyDescent="0.2">
      <c r="A58" s="60" t="s">
        <v>74</v>
      </c>
      <c r="B58" s="61" t="s">
        <v>75</v>
      </c>
      <c r="C58" s="41">
        <f>[11]С2!F15</f>
        <v>1.071</v>
      </c>
    </row>
    <row r="59" spans="1:3" ht="15.75" x14ac:dyDescent="0.2">
      <c r="A59" s="60" t="s">
        <v>76</v>
      </c>
      <c r="B59" s="61" t="s">
        <v>77</v>
      </c>
      <c r="C59" s="41">
        <f>[11]С2!F16</f>
        <v>1</v>
      </c>
    </row>
    <row r="60" spans="1:3" ht="17.25" x14ac:dyDescent="0.2">
      <c r="A60" s="60" t="s">
        <v>78</v>
      </c>
      <c r="B60" s="59" t="s">
        <v>79</v>
      </c>
      <c r="C60" s="35">
        <f>[11]С2!F17</f>
        <v>1.01</v>
      </c>
    </row>
    <row r="61" spans="1:3" s="64" customFormat="1" ht="14.25" x14ac:dyDescent="0.2">
      <c r="A61" s="60" t="s">
        <v>80</v>
      </c>
      <c r="B61" s="62" t="s">
        <v>81</v>
      </c>
      <c r="C61" s="63">
        <f>[11]С2!F33</f>
        <v>10</v>
      </c>
    </row>
    <row r="62" spans="1:3" ht="30" x14ac:dyDescent="0.2">
      <c r="A62" s="60" t="s">
        <v>82</v>
      </c>
      <c r="B62" s="65" t="s">
        <v>83</v>
      </c>
      <c r="C62" s="35">
        <f>[11]С2!F26</f>
        <v>1598.6279958476514</v>
      </c>
    </row>
    <row r="63" spans="1:3" ht="17.25" x14ac:dyDescent="0.2">
      <c r="A63" s="60" t="s">
        <v>84</v>
      </c>
      <c r="B63" s="54" t="s">
        <v>85</v>
      </c>
      <c r="C63" s="35">
        <f>[11]С2!F27</f>
        <v>0.27536184199999997</v>
      </c>
    </row>
    <row r="64" spans="1:3" ht="17.25" x14ac:dyDescent="0.2">
      <c r="A64" s="60" t="s">
        <v>86</v>
      </c>
      <c r="B64" s="59" t="s">
        <v>87</v>
      </c>
      <c r="C64" s="63">
        <f>[11]С2!F28</f>
        <v>4200</v>
      </c>
    </row>
    <row r="65" spans="1:3" ht="42.75" x14ac:dyDescent="0.2">
      <c r="A65" s="60" t="s">
        <v>88</v>
      </c>
      <c r="B65" s="34" t="s">
        <v>89</v>
      </c>
      <c r="C65" s="35">
        <f>[11]С2!F22</f>
        <v>35717.748653137714</v>
      </c>
    </row>
    <row r="66" spans="1:3" ht="30" x14ac:dyDescent="0.2">
      <c r="A66" s="60" t="s">
        <v>90</v>
      </c>
      <c r="B66" s="61" t="s">
        <v>91</v>
      </c>
      <c r="C66" s="35">
        <f>[11]С2!F23</f>
        <v>1990</v>
      </c>
    </row>
    <row r="67" spans="1:3" ht="30" x14ac:dyDescent="0.2">
      <c r="A67" s="60" t="s">
        <v>92</v>
      </c>
      <c r="B67" s="54" t="s">
        <v>93</v>
      </c>
      <c r="C67" s="35">
        <f>[11]С2.1!E27</f>
        <v>14307.876789999998</v>
      </c>
    </row>
    <row r="68" spans="1:3" ht="38.25" x14ac:dyDescent="0.2">
      <c r="A68" s="60" t="s">
        <v>94</v>
      </c>
      <c r="B68" s="66" t="s">
        <v>95</v>
      </c>
      <c r="C68" s="53">
        <f>[11]С2.3!E21</f>
        <v>0</v>
      </c>
    </row>
    <row r="69" spans="1:3" ht="25.5" x14ac:dyDescent="0.2">
      <c r="A69" s="60" t="s">
        <v>96</v>
      </c>
      <c r="B69" s="67" t="s">
        <v>97</v>
      </c>
      <c r="C69" s="68">
        <f>[11]С2.3!E11</f>
        <v>9.89</v>
      </c>
    </row>
    <row r="70" spans="1:3" ht="25.5" x14ac:dyDescent="0.2">
      <c r="A70" s="60" t="s">
        <v>98</v>
      </c>
      <c r="B70" s="67" t="s">
        <v>99</v>
      </c>
      <c r="C70" s="63">
        <f>[11]С2.3!E13</f>
        <v>300</v>
      </c>
    </row>
    <row r="71" spans="1:3" ht="25.5" x14ac:dyDescent="0.2">
      <c r="A71" s="60" t="s">
        <v>100</v>
      </c>
      <c r="B71" s="66" t="s">
        <v>101</v>
      </c>
      <c r="C71" s="69">
        <f>IF([11]С2.3!E22&gt;0,[11]С2.3!E22,[11]С2.3!E14)</f>
        <v>61211</v>
      </c>
    </row>
    <row r="72" spans="1:3" ht="38.25" x14ac:dyDescent="0.2">
      <c r="A72" s="60" t="s">
        <v>102</v>
      </c>
      <c r="B72" s="66" t="s">
        <v>103</v>
      </c>
      <c r="C72" s="69">
        <f>IF([11]С2.3!E23&gt;0,[11]С2.3!E23,[11]С2.3!E15)</f>
        <v>45675</v>
      </c>
    </row>
    <row r="73" spans="1:3" ht="30" x14ac:dyDescent="0.2">
      <c r="A73" s="60" t="s">
        <v>104</v>
      </c>
      <c r="B73" s="54" t="s">
        <v>105</v>
      </c>
      <c r="C73" s="35">
        <f>[11]С2.1!E28</f>
        <v>9541.9567200000001</v>
      </c>
    </row>
    <row r="74" spans="1:3" ht="38.25" x14ac:dyDescent="0.2">
      <c r="A74" s="60" t="s">
        <v>106</v>
      </c>
      <c r="B74" s="66" t="s">
        <v>107</v>
      </c>
      <c r="C74" s="53">
        <f>[11]С2.3!E25</f>
        <v>0</v>
      </c>
    </row>
    <row r="75" spans="1:3" ht="25.5" x14ac:dyDescent="0.2">
      <c r="A75" s="60" t="s">
        <v>108</v>
      </c>
      <c r="B75" s="67" t="s">
        <v>109</v>
      </c>
      <c r="C75" s="68">
        <f>[11]С2.3!E12</f>
        <v>0.56000000000000005</v>
      </c>
    </row>
    <row r="76" spans="1:3" ht="25.5" x14ac:dyDescent="0.2">
      <c r="A76" s="60" t="s">
        <v>110</v>
      </c>
      <c r="B76" s="67" t="s">
        <v>99</v>
      </c>
      <c r="C76" s="63">
        <f>[11]С2.3!E13</f>
        <v>300</v>
      </c>
    </row>
    <row r="77" spans="1:3" ht="25.5" x14ac:dyDescent="0.2">
      <c r="A77" s="60" t="s">
        <v>111</v>
      </c>
      <c r="B77" s="70" t="s">
        <v>112</v>
      </c>
      <c r="C77" s="69">
        <f>IF([11]С2.3!E26&gt;0,[11]С2.3!E26,[11]С2.3!E16)</f>
        <v>65637</v>
      </c>
    </row>
    <row r="78" spans="1:3" ht="38.25" x14ac:dyDescent="0.2">
      <c r="A78" s="60" t="s">
        <v>113</v>
      </c>
      <c r="B78" s="70" t="s">
        <v>114</v>
      </c>
      <c r="C78" s="69">
        <f>IF([11]С2.3!E27&gt;0,[11]С2.3!E27,[11]С2.3!E17)</f>
        <v>31684</v>
      </c>
    </row>
    <row r="79" spans="1:3" ht="17.25" x14ac:dyDescent="0.2">
      <c r="A79" s="60" t="s">
        <v>115</v>
      </c>
      <c r="B79" s="34" t="s">
        <v>116</v>
      </c>
      <c r="C79" s="36">
        <f>[11]С2!F29</f>
        <v>0.128978033685065</v>
      </c>
    </row>
    <row r="80" spans="1:3" ht="30" x14ac:dyDescent="0.2">
      <c r="A80" s="60" t="s">
        <v>117</v>
      </c>
      <c r="B80" s="54" t="s">
        <v>118</v>
      </c>
      <c r="C80" s="71">
        <f>[11]С2!F30</f>
        <v>0.11668498168498169</v>
      </c>
    </row>
    <row r="81" spans="1:3" ht="17.25" x14ac:dyDescent="0.2">
      <c r="A81" s="60" t="s">
        <v>119</v>
      </c>
      <c r="B81" s="72" t="s">
        <v>120</v>
      </c>
      <c r="C81" s="36">
        <f>[11]С2!F31</f>
        <v>0.13880000000000001</v>
      </c>
    </row>
    <row r="82" spans="1:3" s="64" customFormat="1" ht="18" thickBot="1" x14ac:dyDescent="0.25">
      <c r="A82" s="73" t="s">
        <v>121</v>
      </c>
      <c r="B82" s="74" t="s">
        <v>122</v>
      </c>
      <c r="C82" s="75">
        <f>[11]С2!F32</f>
        <v>0.12640000000000001</v>
      </c>
    </row>
    <row r="83" spans="1:3" ht="13.5" thickBot="1" x14ac:dyDescent="0.25">
      <c r="A83" s="48"/>
      <c r="B83" s="76"/>
      <c r="C83" s="15"/>
    </row>
    <row r="84" spans="1:3" s="64" customFormat="1" ht="30" customHeight="1" x14ac:dyDescent="0.2">
      <c r="A84" s="77" t="s">
        <v>123</v>
      </c>
      <c r="B84" s="142" t="s">
        <v>124</v>
      </c>
      <c r="C84" s="142"/>
    </row>
    <row r="85" spans="1:3" s="64" customFormat="1" ht="30" x14ac:dyDescent="0.2">
      <c r="A85" s="78" t="s">
        <v>125</v>
      </c>
      <c r="B85" s="34" t="s">
        <v>126</v>
      </c>
      <c r="C85" s="35">
        <f>[11]С3!F14</f>
        <v>7020.1696866647444</v>
      </c>
    </row>
    <row r="86" spans="1:3" s="64" customFormat="1" ht="42.75" x14ac:dyDescent="0.2">
      <c r="A86" s="78" t="s">
        <v>127</v>
      </c>
      <c r="B86" s="54" t="s">
        <v>128</v>
      </c>
      <c r="C86" s="79">
        <f>[11]С3!F15</f>
        <v>0.2</v>
      </c>
    </row>
    <row r="87" spans="1:3" s="64" customFormat="1" ht="14.25" x14ac:dyDescent="0.2">
      <c r="A87" s="78" t="s">
        <v>129</v>
      </c>
      <c r="B87" s="80" t="s">
        <v>130</v>
      </c>
      <c r="C87" s="63">
        <f>[11]С3!F18</f>
        <v>15</v>
      </c>
    </row>
    <row r="88" spans="1:3" s="64" customFormat="1" ht="17.25" x14ac:dyDescent="0.2">
      <c r="A88" s="78" t="s">
        <v>131</v>
      </c>
      <c r="B88" s="34" t="s">
        <v>132</v>
      </c>
      <c r="C88" s="35">
        <f>[11]С3!F19</f>
        <v>3487.1555421534131</v>
      </c>
    </row>
    <row r="89" spans="1:3" s="64" customFormat="1" ht="55.5" x14ac:dyDescent="0.2">
      <c r="A89" s="78" t="s">
        <v>133</v>
      </c>
      <c r="B89" s="54" t="s">
        <v>134</v>
      </c>
      <c r="C89" s="81">
        <f>[11]С3!F20</f>
        <v>2.1999999999999999E-2</v>
      </c>
    </row>
    <row r="90" spans="1:3" s="64" customFormat="1" ht="14.25" x14ac:dyDescent="0.2">
      <c r="A90" s="78" t="s">
        <v>135</v>
      </c>
      <c r="B90" s="59" t="s">
        <v>81</v>
      </c>
      <c r="C90" s="63">
        <f>[11]С3!F21</f>
        <v>10</v>
      </c>
    </row>
    <row r="91" spans="1:3" s="64" customFormat="1" ht="17.25" x14ac:dyDescent="0.2">
      <c r="A91" s="78" t="s">
        <v>136</v>
      </c>
      <c r="B91" s="34" t="s">
        <v>137</v>
      </c>
      <c r="C91" s="35">
        <f>[11]С3!F22</f>
        <v>4.795883987542954</v>
      </c>
    </row>
    <row r="92" spans="1:3" s="64" customFormat="1" ht="55.5" x14ac:dyDescent="0.2">
      <c r="A92" s="78" t="s">
        <v>138</v>
      </c>
      <c r="B92" s="54" t="s">
        <v>139</v>
      </c>
      <c r="C92" s="81">
        <f>[11]С3!F23</f>
        <v>3.0000000000000001E-3</v>
      </c>
    </row>
    <row r="93" spans="1:3" s="64" customFormat="1" ht="27.75" thickBot="1" x14ac:dyDescent="0.25">
      <c r="A93" s="82" t="s">
        <v>140</v>
      </c>
      <c r="B93" s="83" t="s">
        <v>141</v>
      </c>
      <c r="C93" s="84">
        <f>[11]С3!F24</f>
        <v>1598.6279958476514</v>
      </c>
    </row>
    <row r="94" spans="1:3" ht="13.5" thickBot="1" x14ac:dyDescent="0.25">
      <c r="A94" s="48"/>
      <c r="B94" s="76"/>
      <c r="C94" s="15"/>
    </row>
    <row r="95" spans="1:3" ht="30" customHeight="1" x14ac:dyDescent="0.2">
      <c r="A95" s="85" t="s">
        <v>142</v>
      </c>
      <c r="B95" s="142" t="s">
        <v>143</v>
      </c>
      <c r="C95" s="142"/>
    </row>
    <row r="96" spans="1:3" ht="30" x14ac:dyDescent="0.2">
      <c r="A96" s="60" t="s">
        <v>144</v>
      </c>
      <c r="B96" s="34" t="s">
        <v>145</v>
      </c>
      <c r="C96" s="35">
        <f>[11]С4!F16</f>
        <v>1652.5</v>
      </c>
    </row>
    <row r="97" spans="1:3" ht="30" x14ac:dyDescent="0.2">
      <c r="A97" s="60" t="s">
        <v>146</v>
      </c>
      <c r="B97" s="59" t="s">
        <v>147</v>
      </c>
      <c r="C97" s="35">
        <f>[11]С4!F17</f>
        <v>73547</v>
      </c>
    </row>
    <row r="98" spans="1:3" ht="33" x14ac:dyDescent="0.2">
      <c r="A98" s="60" t="s">
        <v>148</v>
      </c>
      <c r="B98" s="59" t="s">
        <v>149</v>
      </c>
      <c r="C98" s="41">
        <f>[11]С4!F18</f>
        <v>0.02</v>
      </c>
    </row>
    <row r="99" spans="1:3" ht="30" x14ac:dyDescent="0.2">
      <c r="A99" s="60" t="s">
        <v>150</v>
      </c>
      <c r="B99" s="59" t="s">
        <v>151</v>
      </c>
      <c r="C99" s="35">
        <f>[11]С4!F19</f>
        <v>12104</v>
      </c>
    </row>
    <row r="100" spans="1:3" ht="28.5" x14ac:dyDescent="0.2">
      <c r="A100" s="60" t="s">
        <v>152</v>
      </c>
      <c r="B100" s="59" t="s">
        <v>153</v>
      </c>
      <c r="C100" s="41">
        <f>[11]С4!F20</f>
        <v>1.4999999999999999E-2</v>
      </c>
    </row>
    <row r="101" spans="1:3" ht="30" x14ac:dyDescent="0.2">
      <c r="A101" s="60" t="s">
        <v>154</v>
      </c>
      <c r="B101" s="34" t="s">
        <v>155</v>
      </c>
      <c r="C101" s="35">
        <f>[11]С4!F21</f>
        <v>1933.1949342509995</v>
      </c>
    </row>
    <row r="102" spans="1:3" ht="24" customHeight="1" x14ac:dyDescent="0.2">
      <c r="A102" s="60" t="s">
        <v>156</v>
      </c>
      <c r="B102" s="54" t="s">
        <v>157</v>
      </c>
      <c r="C102" s="86">
        <f>IF([11]С4.2!F8="да",[11]С4.2!D21,[11]С4.2!D15)</f>
        <v>0</v>
      </c>
    </row>
    <row r="103" spans="1:3" ht="68.25" x14ac:dyDescent="0.2">
      <c r="A103" s="60" t="s">
        <v>158</v>
      </c>
      <c r="B103" s="54" t="s">
        <v>159</v>
      </c>
      <c r="C103" s="35">
        <f>[11]С4!F22</f>
        <v>3.6112641666666665</v>
      </c>
    </row>
    <row r="104" spans="1:3" ht="30" x14ac:dyDescent="0.2">
      <c r="A104" s="60" t="s">
        <v>160</v>
      </c>
      <c r="B104" s="59" t="s">
        <v>161</v>
      </c>
      <c r="C104" s="35">
        <f>[11]С4!F23</f>
        <v>180</v>
      </c>
    </row>
    <row r="105" spans="1:3" ht="14.25" x14ac:dyDescent="0.2">
      <c r="A105" s="60" t="s">
        <v>162</v>
      </c>
      <c r="B105" s="54" t="s">
        <v>163</v>
      </c>
      <c r="C105" s="35">
        <f>[11]С4!F24</f>
        <v>8497.1999999999989</v>
      </c>
    </row>
    <row r="106" spans="1:3" ht="14.25" x14ac:dyDescent="0.2">
      <c r="A106" s="60" t="s">
        <v>164</v>
      </c>
      <c r="B106" s="59" t="s">
        <v>165</v>
      </c>
      <c r="C106" s="41">
        <f>[11]С4!F25</f>
        <v>0.35</v>
      </c>
    </row>
    <row r="107" spans="1:3" ht="17.25" x14ac:dyDescent="0.2">
      <c r="A107" s="60" t="s">
        <v>166</v>
      </c>
      <c r="B107" s="34" t="s">
        <v>167</v>
      </c>
      <c r="C107" s="35">
        <f>[11]С4!F26</f>
        <v>88.687900000000013</v>
      </c>
    </row>
    <row r="108" spans="1:3" ht="25.5" x14ac:dyDescent="0.2">
      <c r="A108" s="60" t="s">
        <v>168</v>
      </c>
      <c r="B108" s="54" t="s">
        <v>95</v>
      </c>
      <c r="C108" s="86">
        <f>[11]С4.3!E16</f>
        <v>0</v>
      </c>
    </row>
    <row r="109" spans="1:3" ht="25.5" x14ac:dyDescent="0.2">
      <c r="A109" s="60" t="s">
        <v>169</v>
      </c>
      <c r="B109" s="54" t="s">
        <v>170</v>
      </c>
      <c r="C109" s="35">
        <f>[11]С4.3!E17</f>
        <v>22.900000000000002</v>
      </c>
    </row>
    <row r="110" spans="1:3" ht="38.25" x14ac:dyDescent="0.2">
      <c r="A110" s="60" t="s">
        <v>171</v>
      </c>
      <c r="B110" s="54" t="s">
        <v>107</v>
      </c>
      <c r="C110" s="86">
        <f>[11]С4.3!E18</f>
        <v>0</v>
      </c>
    </row>
    <row r="111" spans="1:3" x14ac:dyDescent="0.2">
      <c r="A111" s="60" t="s">
        <v>172</v>
      </c>
      <c r="B111" s="54" t="s">
        <v>173</v>
      </c>
      <c r="C111" s="35">
        <f>[11]С4.3!E19</f>
        <v>41.06666666666667</v>
      </c>
    </row>
    <row r="112" spans="1:3" x14ac:dyDescent="0.2">
      <c r="A112" s="60" t="s">
        <v>174</v>
      </c>
      <c r="B112" s="59" t="s">
        <v>175</v>
      </c>
      <c r="C112" s="35">
        <f>[11]С4.3!E11</f>
        <v>1871</v>
      </c>
    </row>
    <row r="113" spans="1:3" x14ac:dyDescent="0.2">
      <c r="A113" s="60" t="s">
        <v>176</v>
      </c>
      <c r="B113" s="59" t="s">
        <v>177</v>
      </c>
      <c r="C113" s="53">
        <f>[11]С4.3!E12</f>
        <v>1636</v>
      </c>
    </row>
    <row r="114" spans="1:3" x14ac:dyDescent="0.2">
      <c r="A114" s="60" t="s">
        <v>178</v>
      </c>
      <c r="B114" s="59" t="s">
        <v>179</v>
      </c>
      <c r="C114" s="53">
        <f>[11]С4.3!E13</f>
        <v>204</v>
      </c>
    </row>
    <row r="115" spans="1:3" ht="30" x14ac:dyDescent="0.2">
      <c r="A115" s="60" t="s">
        <v>180</v>
      </c>
      <c r="B115" s="34" t="s">
        <v>181</v>
      </c>
      <c r="C115" s="35">
        <f>[11]С4!F27</f>
        <v>1413.5806587229636</v>
      </c>
    </row>
    <row r="116" spans="1:3" ht="25.5" x14ac:dyDescent="0.2">
      <c r="A116" s="60" t="s">
        <v>182</v>
      </c>
      <c r="B116" s="54" t="s">
        <v>183</v>
      </c>
      <c r="C116" s="35">
        <f>[11]С4!F28</f>
        <v>1085.6994306627985</v>
      </c>
    </row>
    <row r="117" spans="1:3" ht="42.75" x14ac:dyDescent="0.2">
      <c r="A117" s="60" t="s">
        <v>184</v>
      </c>
      <c r="B117" s="54" t="s">
        <v>185</v>
      </c>
      <c r="C117" s="35">
        <f>[11]С4!F29</f>
        <v>327.8812280601652</v>
      </c>
    </row>
    <row r="118" spans="1:3" ht="30" x14ac:dyDescent="0.2">
      <c r="A118" s="60" t="s">
        <v>186</v>
      </c>
      <c r="B118" s="40" t="s">
        <v>187</v>
      </c>
      <c r="C118" s="35">
        <f>[11]С4!F30</f>
        <v>2117.6718992836049</v>
      </c>
    </row>
    <row r="119" spans="1:3" ht="42.75" x14ac:dyDescent="0.2">
      <c r="A119" s="60" t="s">
        <v>188</v>
      </c>
      <c r="B119" s="87" t="s">
        <v>189</v>
      </c>
      <c r="C119" s="35">
        <f>[11]С4!F33</f>
        <v>1374.0280021926758</v>
      </c>
    </row>
    <row r="120" spans="1:3" ht="30" x14ac:dyDescent="0.2">
      <c r="A120" s="60" t="s">
        <v>190</v>
      </c>
      <c r="B120" s="88" t="s">
        <v>191</v>
      </c>
      <c r="C120" s="35">
        <f>[11]С4!F35</f>
        <v>17.040680999999999</v>
      </c>
    </row>
    <row r="121" spans="1:3" ht="14.25" x14ac:dyDescent="0.2">
      <c r="A121" s="60" t="s">
        <v>192</v>
      </c>
      <c r="B121" s="57" t="s">
        <v>193</v>
      </c>
      <c r="C121" s="35">
        <f>[11]С4!F36</f>
        <v>14319.9</v>
      </c>
    </row>
    <row r="122" spans="1:3" ht="28.5" thickBot="1" x14ac:dyDescent="0.25">
      <c r="A122" s="73" t="s">
        <v>194</v>
      </c>
      <c r="B122" s="89" t="s">
        <v>195</v>
      </c>
      <c r="C122" s="84">
        <f>[11]С4!F37</f>
        <v>1.19</v>
      </c>
    </row>
    <row r="123" spans="1:3" s="90" customFormat="1" ht="13.5" thickBot="1" x14ac:dyDescent="0.25">
      <c r="A123" s="48"/>
      <c r="B123" s="76"/>
      <c r="C123" s="15"/>
    </row>
    <row r="124" spans="1:3" s="64" customFormat="1" ht="30" customHeight="1" x14ac:dyDescent="0.2">
      <c r="A124" s="77" t="s">
        <v>196</v>
      </c>
      <c r="B124" s="142" t="s">
        <v>197</v>
      </c>
      <c r="C124" s="142"/>
    </row>
    <row r="125" spans="1:3" ht="16.5" thickBot="1" x14ac:dyDescent="0.25">
      <c r="A125" s="27" t="s">
        <v>198</v>
      </c>
      <c r="B125" s="91" t="s">
        <v>199</v>
      </c>
      <c r="C125" s="84">
        <f>[11]С5!F17</f>
        <v>0.02</v>
      </c>
    </row>
    <row r="126" spans="1:3" s="90" customFormat="1" ht="13.5" thickBot="1" x14ac:dyDescent="0.25">
      <c r="A126" s="48"/>
      <c r="B126" s="76"/>
      <c r="C126" s="15"/>
    </row>
    <row r="127" spans="1:3" ht="42.75" customHeight="1" x14ac:dyDescent="0.2">
      <c r="A127" s="85" t="s">
        <v>200</v>
      </c>
      <c r="B127" s="143" t="s">
        <v>201</v>
      </c>
      <c r="C127" s="143"/>
    </row>
    <row r="128" spans="1:3" ht="68.25" x14ac:dyDescent="0.2">
      <c r="A128" s="60" t="s">
        <v>202</v>
      </c>
      <c r="B128" s="92" t="s">
        <v>203</v>
      </c>
      <c r="C128" s="35" t="s">
        <v>204</v>
      </c>
    </row>
    <row r="129" spans="1:4" ht="42.75" hidden="1" x14ac:dyDescent="0.2">
      <c r="A129" s="60" t="s">
        <v>205</v>
      </c>
      <c r="B129" s="87" t="s">
        <v>206</v>
      </c>
      <c r="C129" s="93"/>
    </row>
    <row r="130" spans="1:4" ht="69" thickBot="1" x14ac:dyDescent="0.25">
      <c r="A130" s="73" t="s">
        <v>207</v>
      </c>
      <c r="B130" s="94" t="s">
        <v>208</v>
      </c>
      <c r="C130" s="95" t="s">
        <v>204</v>
      </c>
    </row>
    <row r="131" spans="1:4" ht="62.25" hidden="1" customHeight="1" x14ac:dyDescent="0.2">
      <c r="A131" s="96" t="s">
        <v>209</v>
      </c>
      <c r="B131" s="97" t="s">
        <v>210</v>
      </c>
      <c r="C131" s="98"/>
    </row>
    <row r="132" spans="1:4" ht="68.25" hidden="1" x14ac:dyDescent="0.2">
      <c r="A132" s="60" t="s">
        <v>211</v>
      </c>
      <c r="B132" s="87" t="s">
        <v>212</v>
      </c>
      <c r="C132" s="36"/>
    </row>
    <row r="133" spans="1:4" ht="69" hidden="1" thickBot="1" x14ac:dyDescent="0.25">
      <c r="A133" s="73" t="s">
        <v>213</v>
      </c>
      <c r="B133" s="99" t="s">
        <v>214</v>
      </c>
      <c r="C133" s="75"/>
    </row>
    <row r="134" spans="1:4" s="90" customFormat="1" ht="13.5" thickBot="1" x14ac:dyDescent="0.25">
      <c r="A134" s="48"/>
      <c r="B134" s="76"/>
      <c r="C134" s="15"/>
    </row>
    <row r="135" spans="1:4" ht="26.25" customHeight="1" x14ac:dyDescent="0.2">
      <c r="A135" s="85" t="s">
        <v>215</v>
      </c>
      <c r="B135" s="100" t="s">
        <v>216</v>
      </c>
      <c r="C135" s="101">
        <f>[11]С2!F37</f>
        <v>20.818139999999996</v>
      </c>
    </row>
    <row r="136" spans="1:4" ht="14.25" x14ac:dyDescent="0.2">
      <c r="A136" s="60" t="s">
        <v>217</v>
      </c>
      <c r="B136" s="102" t="s">
        <v>218</v>
      </c>
      <c r="C136" s="35">
        <f>[11]С2!F38</f>
        <v>7</v>
      </c>
    </row>
    <row r="137" spans="1:4" ht="17.25" x14ac:dyDescent="0.2">
      <c r="A137" s="60" t="s">
        <v>219</v>
      </c>
      <c r="B137" s="102" t="s">
        <v>220</v>
      </c>
      <c r="C137" s="35">
        <f>[11]С2!F40</f>
        <v>0.97</v>
      </c>
    </row>
    <row r="138" spans="1:4" ht="15" thickBot="1" x14ac:dyDescent="0.25">
      <c r="A138" s="73" t="s">
        <v>221</v>
      </c>
      <c r="B138" s="103" t="s">
        <v>222</v>
      </c>
      <c r="C138" s="47">
        <f>[11]С2!F42</f>
        <v>0.35</v>
      </c>
    </row>
    <row r="139" spans="1:4" s="90" customFormat="1" ht="13.5" thickBot="1" x14ac:dyDescent="0.25">
      <c r="A139" s="48"/>
      <c r="B139" s="76"/>
      <c r="C139" s="15"/>
    </row>
    <row r="140" spans="1:4" ht="30" x14ac:dyDescent="0.2">
      <c r="A140" s="85" t="s">
        <v>223</v>
      </c>
      <c r="B140" s="104" t="s">
        <v>224</v>
      </c>
      <c r="C140" s="105">
        <f>[11]С2!F35</f>
        <v>1.3822747209000001</v>
      </c>
      <c r="D140" s="90"/>
    </row>
    <row r="141" spans="1:4" ht="22.7" customHeight="1" thickBot="1" x14ac:dyDescent="0.25">
      <c r="A141" s="73" t="s">
        <v>225</v>
      </c>
      <c r="B141" s="141" t="s">
        <v>226</v>
      </c>
      <c r="C141" s="141"/>
      <c r="D141" s="90"/>
    </row>
    <row r="142" spans="1:4" ht="13.5" thickBot="1" x14ac:dyDescent="0.25">
      <c r="A142" s="106"/>
      <c r="B142" s="107" t="s">
        <v>0</v>
      </c>
      <c r="C142" s="108"/>
      <c r="D142" s="90"/>
    </row>
    <row r="143" spans="1:4" x14ac:dyDescent="0.2">
      <c r="A143" s="106"/>
      <c r="B143" s="109">
        <v>2020</v>
      </c>
      <c r="C143" s="110">
        <f>[11]С2.5!$E$11</f>
        <v>-2.9000000000000026E-2</v>
      </c>
      <c r="D143" s="90"/>
    </row>
    <row r="144" spans="1:4" x14ac:dyDescent="0.2">
      <c r="A144" s="106"/>
      <c r="B144" s="111">
        <f>B143+1</f>
        <v>2021</v>
      </c>
      <c r="C144" s="112">
        <f>[11]С2.5!$F$11</f>
        <v>0.245</v>
      </c>
      <c r="D144" s="90"/>
    </row>
    <row r="145" spans="1:4" x14ac:dyDescent="0.2">
      <c r="A145" s="106"/>
      <c r="B145" s="111">
        <f t="shared" ref="B145:B208" si="0">B144+1</f>
        <v>2022</v>
      </c>
      <c r="C145" s="112">
        <f>[11]С2.5!$G$11</f>
        <v>0.121</v>
      </c>
      <c r="D145" s="90"/>
    </row>
    <row r="146" spans="1:4" ht="13.5" thickBot="1" x14ac:dyDescent="0.25">
      <c r="A146" s="106"/>
      <c r="B146" s="113">
        <f t="shared" si="0"/>
        <v>2023</v>
      </c>
      <c r="C146" s="114">
        <f>[11]С2.5!$H$11</f>
        <v>0.02</v>
      </c>
      <c r="D146" s="90"/>
    </row>
    <row r="147" spans="1:4" hidden="1" x14ac:dyDescent="0.2">
      <c r="A147" s="106"/>
      <c r="B147" s="115">
        <f t="shared" si="0"/>
        <v>2024</v>
      </c>
      <c r="C147" s="116">
        <f>[11]С2.5!$I$11</f>
        <v>-2.93E-2</v>
      </c>
      <c r="D147" s="90"/>
    </row>
    <row r="148" spans="1:4" hidden="1" x14ac:dyDescent="0.2">
      <c r="A148" s="106"/>
      <c r="B148" s="111">
        <f t="shared" si="0"/>
        <v>2025</v>
      </c>
      <c r="C148" s="112">
        <f>[11]С2.5!$J$11</f>
        <v>0.21215960863291</v>
      </c>
      <c r="D148" s="90"/>
    </row>
    <row r="149" spans="1:4" hidden="1" x14ac:dyDescent="0.2">
      <c r="A149" s="106"/>
      <c r="B149" s="111">
        <f t="shared" si="0"/>
        <v>2026</v>
      </c>
      <c r="C149" s="112">
        <f>[11]С2.5!$K$11</f>
        <v>3.5813361771260002E-2</v>
      </c>
      <c r="D149" s="90"/>
    </row>
    <row r="150" spans="1:4" hidden="1" x14ac:dyDescent="0.2">
      <c r="A150" s="106"/>
      <c r="B150" s="111">
        <f t="shared" si="0"/>
        <v>2027</v>
      </c>
      <c r="C150" s="112">
        <f>[11]С2.5!$L$11</f>
        <v>3.2682303599220003E-2</v>
      </c>
      <c r="D150" s="90"/>
    </row>
    <row r="151" spans="1:4" hidden="1" x14ac:dyDescent="0.2">
      <c r="A151" s="106"/>
      <c r="B151" s="111">
        <f t="shared" si="0"/>
        <v>2028</v>
      </c>
      <c r="C151" s="112">
        <f>[11]С2.5!$M$11</f>
        <v>0</v>
      </c>
      <c r="D151" s="90"/>
    </row>
    <row r="152" spans="1:4" hidden="1" x14ac:dyDescent="0.2">
      <c r="A152" s="106"/>
      <c r="B152" s="111">
        <f t="shared" si="0"/>
        <v>2029</v>
      </c>
      <c r="C152" s="112">
        <f>[11]С2.5!$N$11</f>
        <v>0</v>
      </c>
      <c r="D152" s="90"/>
    </row>
    <row r="153" spans="1:4" hidden="1" x14ac:dyDescent="0.2">
      <c r="A153" s="106"/>
      <c r="B153" s="111">
        <f t="shared" si="0"/>
        <v>2030</v>
      </c>
      <c r="C153" s="112">
        <f>[11]С2.5!$O$11</f>
        <v>0</v>
      </c>
      <c r="D153" s="90"/>
    </row>
    <row r="154" spans="1:4" hidden="1" x14ac:dyDescent="0.2">
      <c r="A154" s="106"/>
      <c r="B154" s="111">
        <f t="shared" si="0"/>
        <v>2031</v>
      </c>
      <c r="C154" s="112">
        <f>[11]С2.5!$P$11</f>
        <v>0</v>
      </c>
      <c r="D154" s="90"/>
    </row>
    <row r="155" spans="1:4" hidden="1" x14ac:dyDescent="0.2">
      <c r="A155" s="90"/>
      <c r="B155" s="111">
        <f t="shared" si="0"/>
        <v>2032</v>
      </c>
      <c r="C155" s="112">
        <f>[11]С2.5!$Q$11</f>
        <v>0</v>
      </c>
      <c r="D155" s="90"/>
    </row>
    <row r="156" spans="1:4" hidden="1" x14ac:dyDescent="0.2">
      <c r="A156" s="90"/>
      <c r="B156" s="111">
        <f t="shared" si="0"/>
        <v>2033</v>
      </c>
      <c r="C156" s="112">
        <f>[11]С2.5!$R$11</f>
        <v>0</v>
      </c>
      <c r="D156" s="90"/>
    </row>
    <row r="157" spans="1:4" hidden="1" x14ac:dyDescent="0.2">
      <c r="B157" s="111">
        <f t="shared" si="0"/>
        <v>2034</v>
      </c>
      <c r="C157" s="112">
        <f>[11]С2.5!$S$11</f>
        <v>0</v>
      </c>
    </row>
    <row r="158" spans="1:4" hidden="1" x14ac:dyDescent="0.2">
      <c r="B158" s="111">
        <f t="shared" si="0"/>
        <v>2035</v>
      </c>
      <c r="C158" s="112">
        <f>[11]С2.5!$T$11</f>
        <v>0</v>
      </c>
    </row>
    <row r="159" spans="1:4" hidden="1" x14ac:dyDescent="0.2">
      <c r="B159" s="111">
        <f t="shared" si="0"/>
        <v>2036</v>
      </c>
      <c r="C159" s="112">
        <f>[11]С2.5!$U$11</f>
        <v>0</v>
      </c>
    </row>
    <row r="160" spans="1:4" hidden="1" x14ac:dyDescent="0.2">
      <c r="B160" s="111">
        <f t="shared" si="0"/>
        <v>2037</v>
      </c>
      <c r="C160" s="112">
        <f>[11]С2.5!$V$11</f>
        <v>0</v>
      </c>
    </row>
    <row r="161" spans="2:3" hidden="1" x14ac:dyDescent="0.2">
      <c r="B161" s="111">
        <f t="shared" si="0"/>
        <v>2038</v>
      </c>
      <c r="C161" s="112">
        <f>[11]С2.5!$W$11</f>
        <v>0</v>
      </c>
    </row>
    <row r="162" spans="2:3" hidden="1" x14ac:dyDescent="0.2">
      <c r="B162" s="111">
        <f t="shared" si="0"/>
        <v>2039</v>
      </c>
      <c r="C162" s="112">
        <f>[11]С2.5!$X$11</f>
        <v>0</v>
      </c>
    </row>
    <row r="163" spans="2:3" hidden="1" x14ac:dyDescent="0.2">
      <c r="B163" s="111">
        <f t="shared" si="0"/>
        <v>2040</v>
      </c>
      <c r="C163" s="112">
        <f>[11]С2.5!$Y$11</f>
        <v>0</v>
      </c>
    </row>
    <row r="164" spans="2:3" hidden="1" x14ac:dyDescent="0.2">
      <c r="B164" s="111">
        <f t="shared" si="0"/>
        <v>2041</v>
      </c>
      <c r="C164" s="112">
        <f>[11]С2.5!$Z$11</f>
        <v>0</v>
      </c>
    </row>
    <row r="165" spans="2:3" hidden="1" x14ac:dyDescent="0.2">
      <c r="B165" s="111">
        <f t="shared" si="0"/>
        <v>2042</v>
      </c>
      <c r="C165" s="112">
        <f>[11]С2.5!$AA$11</f>
        <v>0</v>
      </c>
    </row>
    <row r="166" spans="2:3" hidden="1" x14ac:dyDescent="0.2">
      <c r="B166" s="111">
        <f t="shared" si="0"/>
        <v>2043</v>
      </c>
      <c r="C166" s="112">
        <f>[11]С2.5!$AB$11</f>
        <v>0</v>
      </c>
    </row>
    <row r="167" spans="2:3" hidden="1" x14ac:dyDescent="0.2">
      <c r="B167" s="111">
        <f t="shared" si="0"/>
        <v>2044</v>
      </c>
      <c r="C167" s="112">
        <f>[11]С2.5!$AC$11</f>
        <v>0</v>
      </c>
    </row>
    <row r="168" spans="2:3" hidden="1" x14ac:dyDescent="0.2">
      <c r="B168" s="111">
        <f t="shared" si="0"/>
        <v>2045</v>
      </c>
      <c r="C168" s="112">
        <f>[11]С2.5!$AD$11</f>
        <v>0</v>
      </c>
    </row>
    <row r="169" spans="2:3" hidden="1" x14ac:dyDescent="0.2">
      <c r="B169" s="111">
        <f t="shared" si="0"/>
        <v>2046</v>
      </c>
      <c r="C169" s="112">
        <f>[11]С2.5!$AE$11</f>
        <v>0</v>
      </c>
    </row>
    <row r="170" spans="2:3" hidden="1" x14ac:dyDescent="0.2">
      <c r="B170" s="111">
        <f t="shared" si="0"/>
        <v>2047</v>
      </c>
      <c r="C170" s="112">
        <f>[11]С2.5!$AF$11</f>
        <v>0</v>
      </c>
    </row>
    <row r="171" spans="2:3" hidden="1" x14ac:dyDescent="0.2">
      <c r="B171" s="111">
        <f t="shared" si="0"/>
        <v>2048</v>
      </c>
      <c r="C171" s="112">
        <f>[11]С2.5!$AG$11</f>
        <v>0</v>
      </c>
    </row>
    <row r="172" spans="2:3" hidden="1" x14ac:dyDescent="0.2">
      <c r="B172" s="111">
        <f t="shared" si="0"/>
        <v>2049</v>
      </c>
      <c r="C172" s="112">
        <f>[11]С2.5!$AH$11</f>
        <v>0</v>
      </c>
    </row>
    <row r="173" spans="2:3" hidden="1" x14ac:dyDescent="0.2">
      <c r="B173" s="111">
        <f t="shared" si="0"/>
        <v>2050</v>
      </c>
      <c r="C173" s="112">
        <f>[11]С2.5!$AI$11</f>
        <v>0</v>
      </c>
    </row>
    <row r="174" spans="2:3" hidden="1" x14ac:dyDescent="0.2">
      <c r="B174" s="111">
        <f t="shared" si="0"/>
        <v>2051</v>
      </c>
      <c r="C174" s="112">
        <f>[11]С2.5!$AJ$11</f>
        <v>0</v>
      </c>
    </row>
    <row r="175" spans="2:3" hidden="1" x14ac:dyDescent="0.2">
      <c r="B175" s="111">
        <f t="shared" si="0"/>
        <v>2052</v>
      </c>
      <c r="C175" s="112">
        <f>[11]С2.5!$AK$11</f>
        <v>0</v>
      </c>
    </row>
    <row r="176" spans="2:3" hidden="1" x14ac:dyDescent="0.2">
      <c r="B176" s="111">
        <f t="shared" si="0"/>
        <v>2053</v>
      </c>
      <c r="C176" s="112">
        <f>[11]С2.5!$AL$11</f>
        <v>0</v>
      </c>
    </row>
    <row r="177" spans="2:3" hidden="1" x14ac:dyDescent="0.2">
      <c r="B177" s="111">
        <f t="shared" si="0"/>
        <v>2054</v>
      </c>
      <c r="C177" s="112">
        <f>[11]С2.5!$AM$11</f>
        <v>0</v>
      </c>
    </row>
    <row r="178" spans="2:3" hidden="1" x14ac:dyDescent="0.2">
      <c r="B178" s="111">
        <f t="shared" si="0"/>
        <v>2055</v>
      </c>
      <c r="C178" s="112">
        <f>[11]С2.5!$AN$11</f>
        <v>0</v>
      </c>
    </row>
    <row r="179" spans="2:3" hidden="1" x14ac:dyDescent="0.2">
      <c r="B179" s="111">
        <f t="shared" si="0"/>
        <v>2056</v>
      </c>
      <c r="C179" s="112">
        <f>[11]С2.5!$AO$11</f>
        <v>0</v>
      </c>
    </row>
    <row r="180" spans="2:3" hidden="1" x14ac:dyDescent="0.2">
      <c r="B180" s="111">
        <f t="shared" si="0"/>
        <v>2057</v>
      </c>
      <c r="C180" s="112">
        <f>[11]С2.5!$AP$11</f>
        <v>0</v>
      </c>
    </row>
    <row r="181" spans="2:3" hidden="1" x14ac:dyDescent="0.2">
      <c r="B181" s="111">
        <f t="shared" si="0"/>
        <v>2058</v>
      </c>
      <c r="C181" s="112">
        <f>[11]С2.5!$AQ$11</f>
        <v>0</v>
      </c>
    </row>
    <row r="182" spans="2:3" hidden="1" x14ac:dyDescent="0.2">
      <c r="B182" s="111">
        <f t="shared" si="0"/>
        <v>2059</v>
      </c>
      <c r="C182" s="112">
        <f>[11]С2.5!$AR$11</f>
        <v>0</v>
      </c>
    </row>
    <row r="183" spans="2:3" hidden="1" x14ac:dyDescent="0.2">
      <c r="B183" s="111">
        <f t="shared" si="0"/>
        <v>2060</v>
      </c>
      <c r="C183" s="112">
        <f>[11]С2.5!$AS$11</f>
        <v>0</v>
      </c>
    </row>
    <row r="184" spans="2:3" hidden="1" x14ac:dyDescent="0.2">
      <c r="B184" s="111">
        <f t="shared" si="0"/>
        <v>2061</v>
      </c>
      <c r="C184" s="112">
        <f>[11]С2.5!$AT$11</f>
        <v>0</v>
      </c>
    </row>
    <row r="185" spans="2:3" hidden="1" x14ac:dyDescent="0.2">
      <c r="B185" s="111">
        <f t="shared" si="0"/>
        <v>2062</v>
      </c>
      <c r="C185" s="112">
        <f>[11]С2.5!$AU$11</f>
        <v>0</v>
      </c>
    </row>
    <row r="186" spans="2:3" hidden="1" x14ac:dyDescent="0.2">
      <c r="B186" s="111">
        <f t="shared" si="0"/>
        <v>2063</v>
      </c>
      <c r="C186" s="112">
        <f>[11]С2.5!$AV$11</f>
        <v>0</v>
      </c>
    </row>
    <row r="187" spans="2:3" hidden="1" x14ac:dyDescent="0.2">
      <c r="B187" s="111">
        <f t="shared" si="0"/>
        <v>2064</v>
      </c>
      <c r="C187" s="112">
        <f>[11]С2.5!$AW$11</f>
        <v>0</v>
      </c>
    </row>
    <row r="188" spans="2:3" hidden="1" x14ac:dyDescent="0.2">
      <c r="B188" s="111">
        <f t="shared" si="0"/>
        <v>2065</v>
      </c>
      <c r="C188" s="112">
        <f>[11]С2.5!$AX$11</f>
        <v>0</v>
      </c>
    </row>
    <row r="189" spans="2:3" hidden="1" x14ac:dyDescent="0.2">
      <c r="B189" s="111">
        <f t="shared" si="0"/>
        <v>2066</v>
      </c>
      <c r="C189" s="112">
        <f>[11]С2.5!$AY$11</f>
        <v>0</v>
      </c>
    </row>
    <row r="190" spans="2:3" hidden="1" x14ac:dyDescent="0.2">
      <c r="B190" s="111">
        <f t="shared" si="0"/>
        <v>2067</v>
      </c>
      <c r="C190" s="112">
        <f>[11]С2.5!$AZ$11</f>
        <v>0</v>
      </c>
    </row>
    <row r="191" spans="2:3" hidden="1" x14ac:dyDescent="0.2">
      <c r="B191" s="111">
        <f t="shared" si="0"/>
        <v>2068</v>
      </c>
      <c r="C191" s="112">
        <f>[11]С2.5!$BA$11</f>
        <v>0</v>
      </c>
    </row>
    <row r="192" spans="2:3" hidden="1" x14ac:dyDescent="0.2">
      <c r="B192" s="111">
        <f t="shared" si="0"/>
        <v>2069</v>
      </c>
      <c r="C192" s="112">
        <f>[11]С2.5!$BB$11</f>
        <v>0</v>
      </c>
    </row>
    <row r="193" spans="2:3" hidden="1" x14ac:dyDescent="0.2">
      <c r="B193" s="111">
        <f t="shared" si="0"/>
        <v>2070</v>
      </c>
      <c r="C193" s="112">
        <f>[11]С2.5!$BC$11</f>
        <v>0</v>
      </c>
    </row>
    <row r="194" spans="2:3" hidden="1" x14ac:dyDescent="0.2">
      <c r="B194" s="111">
        <f t="shared" si="0"/>
        <v>2071</v>
      </c>
      <c r="C194" s="112">
        <f>[11]С2.5!$BD$11</f>
        <v>0</v>
      </c>
    </row>
    <row r="195" spans="2:3" hidden="1" x14ac:dyDescent="0.2">
      <c r="B195" s="111">
        <f t="shared" si="0"/>
        <v>2072</v>
      </c>
      <c r="C195" s="112">
        <f>[11]С2.5!$BE$11</f>
        <v>0</v>
      </c>
    </row>
    <row r="196" spans="2:3" hidden="1" x14ac:dyDescent="0.2">
      <c r="B196" s="111">
        <f t="shared" si="0"/>
        <v>2073</v>
      </c>
      <c r="C196" s="112">
        <f>[11]С2.5!$BF$11</f>
        <v>0</v>
      </c>
    </row>
    <row r="197" spans="2:3" hidden="1" x14ac:dyDescent="0.2">
      <c r="B197" s="111">
        <f t="shared" si="0"/>
        <v>2074</v>
      </c>
      <c r="C197" s="112">
        <f>[11]С2.5!$BG$11</f>
        <v>0</v>
      </c>
    </row>
    <row r="198" spans="2:3" hidden="1" x14ac:dyDescent="0.2">
      <c r="B198" s="111">
        <f t="shared" si="0"/>
        <v>2075</v>
      </c>
      <c r="C198" s="112">
        <f>[11]С2.5!$BH$11</f>
        <v>0</v>
      </c>
    </row>
    <row r="199" spans="2:3" hidden="1" x14ac:dyDescent="0.2">
      <c r="B199" s="111">
        <f t="shared" si="0"/>
        <v>2076</v>
      </c>
      <c r="C199" s="112">
        <f>[11]С2.5!$BI$11</f>
        <v>0</v>
      </c>
    </row>
    <row r="200" spans="2:3" hidden="1" x14ac:dyDescent="0.2">
      <c r="B200" s="111">
        <f t="shared" si="0"/>
        <v>2077</v>
      </c>
      <c r="C200" s="112">
        <f>[11]С2.5!$BJ$11</f>
        <v>0</v>
      </c>
    </row>
    <row r="201" spans="2:3" hidden="1" x14ac:dyDescent="0.2">
      <c r="B201" s="111">
        <f t="shared" si="0"/>
        <v>2078</v>
      </c>
      <c r="C201" s="112">
        <f>[11]С2.5!$BK$11</f>
        <v>0</v>
      </c>
    </row>
    <row r="202" spans="2:3" hidden="1" x14ac:dyDescent="0.2">
      <c r="B202" s="111">
        <f t="shared" si="0"/>
        <v>2079</v>
      </c>
      <c r="C202" s="112">
        <f>[11]С2.5!$BL$11</f>
        <v>0</v>
      </c>
    </row>
    <row r="203" spans="2:3" hidden="1" x14ac:dyDescent="0.2">
      <c r="B203" s="111">
        <f t="shared" si="0"/>
        <v>2080</v>
      </c>
      <c r="C203" s="112">
        <f>[11]С2.5!$BM$11</f>
        <v>0</v>
      </c>
    </row>
    <row r="204" spans="2:3" hidden="1" x14ac:dyDescent="0.2">
      <c r="B204" s="111">
        <f t="shared" si="0"/>
        <v>2081</v>
      </c>
      <c r="C204" s="112">
        <f>[11]С2.5!$BN$11</f>
        <v>0</v>
      </c>
    </row>
    <row r="205" spans="2:3" hidden="1" x14ac:dyDescent="0.2">
      <c r="B205" s="111">
        <f t="shared" si="0"/>
        <v>2082</v>
      </c>
      <c r="C205" s="112">
        <f>[11]С2.5!$BO$11</f>
        <v>0</v>
      </c>
    </row>
    <row r="206" spans="2:3" hidden="1" x14ac:dyDescent="0.2">
      <c r="B206" s="111">
        <f t="shared" si="0"/>
        <v>2083</v>
      </c>
      <c r="C206" s="112">
        <f>[11]С2.5!$BP$11</f>
        <v>0</v>
      </c>
    </row>
    <row r="207" spans="2:3" hidden="1" x14ac:dyDescent="0.2">
      <c r="B207" s="111">
        <f t="shared" si="0"/>
        <v>2084</v>
      </c>
      <c r="C207" s="112">
        <f>[11]С2.5!$BQ$11</f>
        <v>0</v>
      </c>
    </row>
    <row r="208" spans="2:3" hidden="1" x14ac:dyDescent="0.2">
      <c r="B208" s="111">
        <f t="shared" si="0"/>
        <v>2085</v>
      </c>
      <c r="C208" s="112">
        <f>[11]С2.5!$BR$11</f>
        <v>0</v>
      </c>
    </row>
    <row r="209" spans="2:3" hidden="1" x14ac:dyDescent="0.2">
      <c r="B209" s="111">
        <f t="shared" ref="B209:B223" si="1">B208+1</f>
        <v>2086</v>
      </c>
      <c r="C209" s="112">
        <f>[11]С2.5!$BS$11</f>
        <v>0</v>
      </c>
    </row>
    <row r="210" spans="2:3" hidden="1" x14ac:dyDescent="0.2">
      <c r="B210" s="111">
        <f t="shared" si="1"/>
        <v>2087</v>
      </c>
      <c r="C210" s="112">
        <f>[11]С2.5!$BT$11</f>
        <v>0</v>
      </c>
    </row>
    <row r="211" spans="2:3" hidden="1" x14ac:dyDescent="0.2">
      <c r="B211" s="111">
        <f t="shared" si="1"/>
        <v>2088</v>
      </c>
      <c r="C211" s="112">
        <f>[11]С2.5!$BU$11</f>
        <v>0</v>
      </c>
    </row>
    <row r="212" spans="2:3" hidden="1" x14ac:dyDescent="0.2">
      <c r="B212" s="111">
        <f t="shared" si="1"/>
        <v>2089</v>
      </c>
      <c r="C212" s="112">
        <f>[11]С2.5!$BV$11</f>
        <v>0</v>
      </c>
    </row>
    <row r="213" spans="2:3" hidden="1" x14ac:dyDescent="0.2">
      <c r="B213" s="111">
        <f t="shared" si="1"/>
        <v>2090</v>
      </c>
      <c r="C213" s="112">
        <f>[11]С2.5!$BW$11</f>
        <v>0</v>
      </c>
    </row>
    <row r="214" spans="2:3" hidden="1" x14ac:dyDescent="0.2">
      <c r="B214" s="111">
        <f t="shared" si="1"/>
        <v>2091</v>
      </c>
      <c r="C214" s="112">
        <f>[11]С2.5!$BX$11</f>
        <v>0</v>
      </c>
    </row>
    <row r="215" spans="2:3" hidden="1" x14ac:dyDescent="0.2">
      <c r="B215" s="111">
        <f t="shared" si="1"/>
        <v>2092</v>
      </c>
      <c r="C215" s="112">
        <f>[11]С2.5!$BY$11</f>
        <v>0</v>
      </c>
    </row>
    <row r="216" spans="2:3" hidden="1" x14ac:dyDescent="0.2">
      <c r="B216" s="111">
        <f t="shared" si="1"/>
        <v>2093</v>
      </c>
      <c r="C216" s="112">
        <f>[11]С2.5!$BZ$11</f>
        <v>0</v>
      </c>
    </row>
    <row r="217" spans="2:3" hidden="1" x14ac:dyDescent="0.2">
      <c r="B217" s="111">
        <f t="shared" si="1"/>
        <v>2094</v>
      </c>
      <c r="C217" s="112">
        <f>[11]С2.5!$CA$11</f>
        <v>0</v>
      </c>
    </row>
    <row r="218" spans="2:3" hidden="1" x14ac:dyDescent="0.2">
      <c r="B218" s="111">
        <f t="shared" si="1"/>
        <v>2095</v>
      </c>
      <c r="C218" s="112">
        <f>[11]С2.5!$CB$11</f>
        <v>0</v>
      </c>
    </row>
    <row r="219" spans="2:3" hidden="1" x14ac:dyDescent="0.2">
      <c r="B219" s="111">
        <f t="shared" si="1"/>
        <v>2096</v>
      </c>
      <c r="C219" s="112">
        <f>[11]С2.5!$CC$11</f>
        <v>0</v>
      </c>
    </row>
    <row r="220" spans="2:3" hidden="1" x14ac:dyDescent="0.2">
      <c r="B220" s="111">
        <f t="shared" si="1"/>
        <v>2097</v>
      </c>
      <c r="C220" s="112">
        <f>[11]С2.5!$CD$11</f>
        <v>0</v>
      </c>
    </row>
    <row r="221" spans="2:3" hidden="1" x14ac:dyDescent="0.2">
      <c r="B221" s="111">
        <f t="shared" si="1"/>
        <v>2098</v>
      </c>
      <c r="C221" s="112">
        <f>[11]С2.5!$CE$11</f>
        <v>0</v>
      </c>
    </row>
    <row r="222" spans="2:3" hidden="1" x14ac:dyDescent="0.2">
      <c r="B222" s="111">
        <f t="shared" si="1"/>
        <v>2099</v>
      </c>
      <c r="C222" s="112">
        <f>[11]С2.5!$CF$11</f>
        <v>0</v>
      </c>
    </row>
    <row r="223" spans="2:3" ht="13.5" hidden="1" thickBot="1" x14ac:dyDescent="0.25">
      <c r="B223" s="113">
        <f t="shared" si="1"/>
        <v>2100</v>
      </c>
      <c r="C223" s="114">
        <f>[11]С2.5!$CG$11</f>
        <v>0</v>
      </c>
    </row>
    <row r="224" spans="2:3" hidden="1" x14ac:dyDescent="0.2">
      <c r="C224" s="117"/>
    </row>
    <row r="225" spans="3:3" hidden="1" x14ac:dyDescent="0.2">
      <c r="C225" s="117"/>
    </row>
    <row r="226" spans="3:3" x14ac:dyDescent="0.2">
      <c r="C226" s="117"/>
    </row>
  </sheetData>
  <mergeCells count="9">
    <mergeCell ref="B1:C1"/>
    <mergeCell ref="A14:C14"/>
    <mergeCell ref="B27:C27"/>
    <mergeCell ref="B141:C141"/>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6]!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mc:AlternateContent xmlns:mc="http://schemas.openxmlformats.org/markup-compatibility/2006">
          <mc:Choice Requires="x14">
            <control shapeId="9218" r:id="rId5" name="Button 2">
              <controlPr defaultSize="0" print="0" autoFill="0" autoPict="0" macro="[11]!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12</vt:i4>
      </vt:variant>
    </vt:vector>
  </HeadingPairs>
  <TitlesOfParts>
    <vt:vector size="24" baseType="lpstr">
      <vt:lpstr>Никоновский</vt:lpstr>
      <vt:lpstr>Пеньковский</vt:lpstr>
      <vt:lpstr>Бажинский</vt:lpstr>
      <vt:lpstr>Березовский</vt:lpstr>
      <vt:lpstr>Большеизыракский</vt:lpstr>
      <vt:lpstr>Борковский</vt:lpstr>
      <vt:lpstr>Дубровский</vt:lpstr>
      <vt:lpstr>Егорьевский</vt:lpstr>
      <vt:lpstr>Елбанский</vt:lpstr>
      <vt:lpstr>Малотомский</vt:lpstr>
      <vt:lpstr>Мамоновский</vt:lpstr>
      <vt:lpstr>р.п. Маслянино</vt:lpstr>
      <vt:lpstr>Бажинский!Область_печати</vt:lpstr>
      <vt:lpstr>Березовский!Область_печати</vt:lpstr>
      <vt:lpstr>Большеизыракский!Область_печати</vt:lpstr>
      <vt:lpstr>Борковский!Область_печати</vt:lpstr>
      <vt:lpstr>Дубровский!Область_печати</vt:lpstr>
      <vt:lpstr>Егорьевский!Область_печати</vt:lpstr>
      <vt:lpstr>Елбанский!Область_печати</vt:lpstr>
      <vt:lpstr>Малотомский!Область_печати</vt:lpstr>
      <vt:lpstr>Мамоновский!Область_печати</vt:lpstr>
      <vt:lpstr>Никоновский!Область_печати</vt:lpstr>
      <vt:lpstr>Пеньковский!Область_печати</vt:lpstr>
      <vt:lpstr>'р.п. Маслянино'!Область_печати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2023-01-18T04:31:46Z</dcterms:modified>
</cp:coreProperties>
</file>