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480" yWindow="75" windowWidth="27795" windowHeight="12075" tabRatio="864" firstSheet="9" activeTab="21"/>
  </bookViews>
  <sheets>
    <sheet name="р.п. Краснообск" sheetId="24" r:id="rId1"/>
    <sheet name="Барышевский уголь" sheetId="10" r:id="rId2"/>
    <sheet name="Барышевский газ" sheetId="25" r:id="rId3"/>
    <sheet name="Березовский" sheetId="11" r:id="rId4"/>
    <sheet name="Боровской" sheetId="12" r:id="rId5"/>
    <sheet name="Верх-Тулинский газ" sheetId="26" r:id="rId6"/>
    <sheet name="Верх-Тулинский уголь" sheetId="27" r:id="rId7"/>
    <sheet name="Каменский" sheetId="8" r:id="rId8"/>
    <sheet name="Криводановский" sheetId="7" r:id="rId9"/>
    <sheet name="Кубовинский" sheetId="9" r:id="rId10"/>
    <sheet name="Кудряшовский" sheetId="14" r:id="rId11"/>
    <sheet name="Мичуринский" sheetId="15" r:id="rId12"/>
    <sheet name="Морской" sheetId="16" r:id="rId13"/>
    <sheet name="Мочищенский уголь" sheetId="21" r:id="rId14"/>
    <sheet name="Мочищенский газ" sheetId="28" r:id="rId15"/>
    <sheet name="Новолуговской" sheetId="17" r:id="rId16"/>
    <sheet name="Плотниковский" sheetId="18" r:id="rId17"/>
    <sheet name="Раздольненский" sheetId="22" r:id="rId18"/>
    <sheet name="Станционный газ" sheetId="19" r:id="rId19"/>
    <sheet name="Станционный уголь" sheetId="29" r:id="rId20"/>
    <sheet name="Толмачевский" sheetId="20" r:id="rId21"/>
    <sheet name="Ярковский" sheetId="23" r:id="rId22"/>
  </sheets>
  <externalReferences>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5" i="19" l="1"/>
  <c r="C224" i="19"/>
  <c r="C223" i="19"/>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B146" i="19"/>
  <c r="B147" i="19" s="1"/>
  <c r="B148" i="19" s="1"/>
  <c r="B149" i="19" s="1"/>
  <c r="B150" i="19" s="1"/>
  <c r="B151" i="19" s="1"/>
  <c r="B152" i="19" s="1"/>
  <c r="B153" i="19" s="1"/>
  <c r="B154" i="19" s="1"/>
  <c r="B155" i="19" s="1"/>
  <c r="B156" i="19" s="1"/>
  <c r="B157" i="19" s="1"/>
  <c r="B158" i="19" s="1"/>
  <c r="B159" i="19" s="1"/>
  <c r="B160" i="19" s="1"/>
  <c r="B161" i="19" s="1"/>
  <c r="B162" i="19" s="1"/>
  <c r="C145" i="19"/>
  <c r="C142" i="19"/>
  <c r="C140" i="19"/>
  <c r="C139" i="19"/>
  <c r="C138" i="19"/>
  <c r="C137" i="19"/>
  <c r="C135" i="19"/>
  <c r="C134" i="19"/>
  <c r="C133" i="19"/>
  <c r="C132" i="19"/>
  <c r="C131" i="19"/>
  <c r="C130" i="19"/>
  <c r="C127" i="19"/>
  <c r="C124" i="19"/>
  <c r="C123" i="19"/>
  <c r="C122" i="19"/>
  <c r="C121" i="19"/>
  <c r="C120" i="19"/>
  <c r="C119" i="19"/>
  <c r="C118" i="19"/>
  <c r="C117" i="19"/>
  <c r="C116" i="19"/>
  <c r="C115" i="19"/>
  <c r="C114" i="19"/>
  <c r="C113" i="19"/>
  <c r="C112" i="19"/>
  <c r="C111" i="19"/>
  <c r="C110" i="19"/>
  <c r="C109" i="19"/>
  <c r="C108" i="19"/>
  <c r="C107" i="19"/>
  <c r="C106" i="19"/>
  <c r="C105" i="19"/>
  <c r="C104" i="19"/>
  <c r="C103" i="19"/>
  <c r="C102" i="19"/>
  <c r="C99" i="19"/>
  <c r="C98" i="19"/>
  <c r="C97" i="19"/>
  <c r="C96" i="19"/>
  <c r="C95" i="19"/>
  <c r="C94" i="19"/>
  <c r="C93" i="19"/>
  <c r="C92" i="19"/>
  <c r="C91" i="19"/>
  <c r="C88" i="19"/>
  <c r="C87" i="19"/>
  <c r="C86" i="19"/>
  <c r="C85" i="19"/>
  <c r="C84" i="19"/>
  <c r="C83"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3" i="19"/>
  <c r="C42" i="19"/>
  <c r="C41" i="19"/>
  <c r="C40" i="19"/>
  <c r="C39" i="19"/>
  <c r="C38" i="19"/>
  <c r="C37" i="19"/>
  <c r="C36" i="19"/>
  <c r="C35" i="19"/>
  <c r="C34" i="19"/>
  <c r="B34" i="19"/>
  <c r="C33" i="19"/>
  <c r="B33" i="19"/>
  <c r="C32" i="19"/>
  <c r="B32" i="19"/>
  <c r="C31" i="19"/>
  <c r="B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B145" i="29"/>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4" i="29"/>
  <c r="B144" i="29"/>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7" i="29" s="1"/>
  <c r="C13" i="29"/>
  <c r="B13" i="29"/>
  <c r="C12" i="29"/>
  <c r="B12" i="29"/>
  <c r="C11" i="29"/>
  <c r="B11" i="29"/>
  <c r="C10" i="29"/>
  <c r="B10" i="29"/>
  <c r="C9" i="29"/>
  <c r="B9" i="29"/>
  <c r="C8" i="29"/>
  <c r="B8" i="29"/>
  <c r="C7" i="29"/>
  <c r="B7" i="29"/>
  <c r="B6" i="29"/>
  <c r="C5" i="29"/>
  <c r="B5" i="29"/>
  <c r="C4" i="29"/>
  <c r="B4" i="29"/>
  <c r="C17" i="19" l="1"/>
  <c r="B225" i="19"/>
  <c r="B163" i="19"/>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B224" i="19" s="1"/>
  <c r="C223" i="2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7" i="21" s="1"/>
  <c r="C18" i="21"/>
  <c r="C13" i="21"/>
  <c r="B13" i="21"/>
  <c r="C12" i="21"/>
  <c r="B12" i="21"/>
  <c r="C11" i="21"/>
  <c r="B11" i="21"/>
  <c r="C10" i="21"/>
  <c r="B10" i="21"/>
  <c r="C9" i="21"/>
  <c r="B9" i="21"/>
  <c r="C8" i="21"/>
  <c r="B8" i="21"/>
  <c r="C7" i="21"/>
  <c r="B7" i="21"/>
  <c r="C6" i="21"/>
  <c r="B6" i="21"/>
  <c r="C5" i="21"/>
  <c r="B5" i="21"/>
  <c r="C4" i="21"/>
  <c r="B4" i="21"/>
  <c r="C225" i="28" l="1"/>
  <c r="C224" i="28"/>
  <c r="C223" i="28"/>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B146" i="28"/>
  <c r="B147" i="28" s="1"/>
  <c r="B148" i="28" s="1"/>
  <c r="B149" i="28" s="1"/>
  <c r="B150" i="28" s="1"/>
  <c r="B151" i="28" s="1"/>
  <c r="B152" i="28" s="1"/>
  <c r="B153" i="28" s="1"/>
  <c r="B154" i="28" s="1"/>
  <c r="B155" i="28" s="1"/>
  <c r="B156" i="28" s="1"/>
  <c r="B157" i="28" s="1"/>
  <c r="B158" i="28" s="1"/>
  <c r="B159" i="28" s="1"/>
  <c r="B160" i="28" s="1"/>
  <c r="B161" i="28" s="1"/>
  <c r="B162" i="28" s="1"/>
  <c r="C145" i="28"/>
  <c r="C142" i="28"/>
  <c r="C140" i="28"/>
  <c r="C139" i="28"/>
  <c r="C138" i="28"/>
  <c r="C137" i="28"/>
  <c r="C135" i="28"/>
  <c r="C134" i="28"/>
  <c r="C133" i="28"/>
  <c r="C132" i="28"/>
  <c r="C131" i="28"/>
  <c r="C130" i="28"/>
  <c r="C127" i="28"/>
  <c r="C124" i="28"/>
  <c r="C123" i="28"/>
  <c r="C122" i="28"/>
  <c r="C121" i="28"/>
  <c r="C120" i="28"/>
  <c r="C119" i="28"/>
  <c r="C118" i="28"/>
  <c r="C117" i="28"/>
  <c r="C116" i="28"/>
  <c r="C115" i="28"/>
  <c r="C114" i="28"/>
  <c r="C113" i="28"/>
  <c r="C112" i="28"/>
  <c r="C111" i="28"/>
  <c r="C110" i="28"/>
  <c r="C109" i="28"/>
  <c r="C108" i="28"/>
  <c r="C107" i="28"/>
  <c r="C106" i="28"/>
  <c r="C105" i="28"/>
  <c r="C104" i="28"/>
  <c r="C103" i="28"/>
  <c r="C102" i="28"/>
  <c r="C99" i="28"/>
  <c r="C98" i="28"/>
  <c r="C97" i="28"/>
  <c r="C96" i="28"/>
  <c r="C95" i="28"/>
  <c r="C94" i="28"/>
  <c r="C93" i="28"/>
  <c r="C92" i="28"/>
  <c r="C91" i="28"/>
  <c r="C88" i="28"/>
  <c r="C87" i="28"/>
  <c r="C86" i="28"/>
  <c r="C85" i="28"/>
  <c r="C84" i="28"/>
  <c r="C83"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3" i="28"/>
  <c r="C42" i="28"/>
  <c r="C41" i="28"/>
  <c r="C40" i="28"/>
  <c r="C39" i="28"/>
  <c r="C38" i="28"/>
  <c r="C37" i="28"/>
  <c r="C36" i="28"/>
  <c r="C35" i="28"/>
  <c r="C34" i="28"/>
  <c r="B34" i="28"/>
  <c r="C33" i="28"/>
  <c r="B33" i="28"/>
  <c r="C32" i="28"/>
  <c r="B32" i="28"/>
  <c r="C31" i="28"/>
  <c r="B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17" i="28" l="1"/>
  <c r="B225" i="28"/>
  <c r="B163" i="28"/>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B224" i="28" s="1"/>
  <c r="C223" i="27" l="1"/>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7" i="27" s="1"/>
  <c r="C18" i="27"/>
  <c r="C13" i="27"/>
  <c r="B13" i="27"/>
  <c r="C12" i="27"/>
  <c r="B12" i="27"/>
  <c r="C11" i="27"/>
  <c r="B11" i="27"/>
  <c r="C10" i="27"/>
  <c r="B10" i="27"/>
  <c r="C9" i="27"/>
  <c r="B9" i="27"/>
  <c r="C8" i="27"/>
  <c r="B8" i="27"/>
  <c r="C7" i="27"/>
  <c r="B7" i="27"/>
  <c r="C6" i="27"/>
  <c r="B6" i="27"/>
  <c r="C5" i="27"/>
  <c r="B5" i="27"/>
  <c r="C4" i="27"/>
  <c r="B4" i="27"/>
  <c r="C225" i="26" l="1"/>
  <c r="C224" i="26"/>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B146" i="26"/>
  <c r="B147" i="26" s="1"/>
  <c r="B148" i="26" s="1"/>
  <c r="B149" i="26" s="1"/>
  <c r="B150" i="26" s="1"/>
  <c r="B151" i="26" s="1"/>
  <c r="B152" i="26" s="1"/>
  <c r="B153" i="26" s="1"/>
  <c r="B154" i="26" s="1"/>
  <c r="B155" i="26" s="1"/>
  <c r="B156" i="26" s="1"/>
  <c r="B157" i="26" s="1"/>
  <c r="B158" i="26" s="1"/>
  <c r="B159" i="26" s="1"/>
  <c r="B160" i="26" s="1"/>
  <c r="B161" i="26" s="1"/>
  <c r="B162" i="26" s="1"/>
  <c r="C145" i="26"/>
  <c r="C142" i="26"/>
  <c r="C140" i="26"/>
  <c r="C139" i="26"/>
  <c r="C138" i="26"/>
  <c r="C137" i="26"/>
  <c r="C135" i="26"/>
  <c r="C134" i="26"/>
  <c r="C133" i="26"/>
  <c r="C132" i="26"/>
  <c r="C131" i="26"/>
  <c r="C130" i="26"/>
  <c r="C127" i="26"/>
  <c r="C124" i="26"/>
  <c r="C123" i="26"/>
  <c r="C122" i="26"/>
  <c r="C121" i="26"/>
  <c r="C120" i="26"/>
  <c r="C119" i="26"/>
  <c r="C118" i="26"/>
  <c r="C117" i="26"/>
  <c r="C116" i="26"/>
  <c r="C115" i="26"/>
  <c r="C114" i="26"/>
  <c r="C113" i="26"/>
  <c r="C112" i="26"/>
  <c r="C111" i="26"/>
  <c r="C110" i="26"/>
  <c r="C109" i="26"/>
  <c r="C108" i="26"/>
  <c r="C107" i="26"/>
  <c r="C106" i="26"/>
  <c r="C105" i="26"/>
  <c r="C104" i="26"/>
  <c r="C103" i="26"/>
  <c r="C102" i="26"/>
  <c r="C99" i="26"/>
  <c r="C98" i="26"/>
  <c r="C97" i="26"/>
  <c r="C96" i="26"/>
  <c r="C95" i="26"/>
  <c r="C94" i="26"/>
  <c r="C93" i="26"/>
  <c r="C92" i="26"/>
  <c r="C91" i="26"/>
  <c r="C88" i="26"/>
  <c r="C87" i="26"/>
  <c r="C86" i="26"/>
  <c r="C85" i="26"/>
  <c r="C84" i="26"/>
  <c r="C83"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3" i="26"/>
  <c r="C42" i="26"/>
  <c r="C41" i="26"/>
  <c r="C40" i="26"/>
  <c r="C39" i="26"/>
  <c r="C38" i="26"/>
  <c r="C37" i="26"/>
  <c r="C36" i="26"/>
  <c r="C35" i="26"/>
  <c r="C34" i="26"/>
  <c r="B34" i="26"/>
  <c r="C33" i="26"/>
  <c r="B33" i="26"/>
  <c r="C32" i="26"/>
  <c r="B32" i="26"/>
  <c r="C31" i="26"/>
  <c r="B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B225" i="26"/>
  <c r="B163" i="26"/>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B224" i="26" s="1"/>
  <c r="C225" i="25" l="1"/>
  <c r="C224" i="25"/>
  <c r="C223" i="25"/>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B146" i="25"/>
  <c r="B147" i="25" s="1"/>
  <c r="B148" i="25" s="1"/>
  <c r="B149" i="25" s="1"/>
  <c r="B150" i="25" s="1"/>
  <c r="B151" i="25" s="1"/>
  <c r="B152" i="25" s="1"/>
  <c r="B153" i="25" s="1"/>
  <c r="B154" i="25" s="1"/>
  <c r="B155" i="25" s="1"/>
  <c r="B156" i="25" s="1"/>
  <c r="B157" i="25" s="1"/>
  <c r="B158" i="25" s="1"/>
  <c r="B159" i="25" s="1"/>
  <c r="B160" i="25" s="1"/>
  <c r="B161" i="25" s="1"/>
  <c r="B162" i="25" s="1"/>
  <c r="C145" i="25"/>
  <c r="C142" i="25"/>
  <c r="C140" i="25"/>
  <c r="C139" i="25"/>
  <c r="C138" i="25"/>
  <c r="C137" i="25"/>
  <c r="C135" i="25"/>
  <c r="C134" i="25"/>
  <c r="C133" i="25"/>
  <c r="C132" i="25"/>
  <c r="C131" i="25"/>
  <c r="C130" i="25"/>
  <c r="C127" i="25"/>
  <c r="C124" i="25"/>
  <c r="C123" i="25"/>
  <c r="C122" i="25"/>
  <c r="C121" i="25"/>
  <c r="C120" i="25"/>
  <c r="C119" i="25"/>
  <c r="C118" i="25"/>
  <c r="C117" i="25"/>
  <c r="C116" i="25"/>
  <c r="C115" i="25"/>
  <c r="C114" i="25"/>
  <c r="C113" i="25"/>
  <c r="C112" i="25"/>
  <c r="C111" i="25"/>
  <c r="C110" i="25"/>
  <c r="C109" i="25"/>
  <c r="C108" i="25"/>
  <c r="C107" i="25"/>
  <c r="C106" i="25"/>
  <c r="C105" i="25"/>
  <c r="C104" i="25"/>
  <c r="C103" i="25"/>
  <c r="C102" i="25"/>
  <c r="C99" i="25"/>
  <c r="C98" i="25"/>
  <c r="C97" i="25"/>
  <c r="C96" i="25"/>
  <c r="C95" i="25"/>
  <c r="C94" i="25"/>
  <c r="C93" i="25"/>
  <c r="C92" i="25"/>
  <c r="C91" i="25"/>
  <c r="C88" i="25"/>
  <c r="C87" i="25"/>
  <c r="C86" i="25"/>
  <c r="C85" i="25"/>
  <c r="C84" i="25"/>
  <c r="C83"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3" i="25"/>
  <c r="C42" i="25"/>
  <c r="C41" i="25"/>
  <c r="C40" i="25"/>
  <c r="C39" i="25"/>
  <c r="C38" i="25"/>
  <c r="C37" i="25"/>
  <c r="C36" i="25"/>
  <c r="C35" i="25"/>
  <c r="C34" i="25"/>
  <c r="B34" i="25"/>
  <c r="C33" i="25"/>
  <c r="B33" i="25"/>
  <c r="C32" i="25"/>
  <c r="B32" i="25"/>
  <c r="C31" i="25"/>
  <c r="B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B225" i="25"/>
  <c r="B163" i="25"/>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B224" i="25" s="1"/>
  <c r="C225" i="24"/>
  <c r="C224" i="24"/>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B146" i="24"/>
  <c r="B147" i="24" s="1"/>
  <c r="B148" i="24" s="1"/>
  <c r="B149" i="24" s="1"/>
  <c r="B150" i="24" s="1"/>
  <c r="B151" i="24" s="1"/>
  <c r="B152" i="24" s="1"/>
  <c r="B153" i="24" s="1"/>
  <c r="B154" i="24" s="1"/>
  <c r="B155" i="24" s="1"/>
  <c r="B156" i="24" s="1"/>
  <c r="B157" i="24" s="1"/>
  <c r="B158" i="24" s="1"/>
  <c r="B159" i="24" s="1"/>
  <c r="B160" i="24" s="1"/>
  <c r="B161" i="24" s="1"/>
  <c r="B162" i="24" s="1"/>
  <c r="C145" i="24"/>
  <c r="C142" i="24"/>
  <c r="C140" i="24"/>
  <c r="C139" i="24"/>
  <c r="C138" i="24"/>
  <c r="C137" i="24"/>
  <c r="C135" i="24"/>
  <c r="C134" i="24"/>
  <c r="C133" i="24"/>
  <c r="C132" i="24"/>
  <c r="C131" i="24"/>
  <c r="C130" i="24"/>
  <c r="C127" i="24"/>
  <c r="C124" i="24"/>
  <c r="C123" i="24"/>
  <c r="C122" i="24"/>
  <c r="C121" i="24"/>
  <c r="C120" i="24"/>
  <c r="C119" i="24"/>
  <c r="C118" i="24"/>
  <c r="C117" i="24"/>
  <c r="C116" i="24"/>
  <c r="C115" i="24"/>
  <c r="C114" i="24"/>
  <c r="C113" i="24"/>
  <c r="C112" i="24"/>
  <c r="C111" i="24"/>
  <c r="C110" i="24"/>
  <c r="C109" i="24"/>
  <c r="C108" i="24"/>
  <c r="C107" i="24"/>
  <c r="C106" i="24"/>
  <c r="C105" i="24"/>
  <c r="C104" i="24"/>
  <c r="C103" i="24"/>
  <c r="C102" i="24"/>
  <c r="C99" i="24"/>
  <c r="C98" i="24"/>
  <c r="C97" i="24"/>
  <c r="C96" i="24"/>
  <c r="C95" i="24"/>
  <c r="C94" i="24"/>
  <c r="C93" i="24"/>
  <c r="C92" i="24"/>
  <c r="C91" i="24"/>
  <c r="C88" i="24"/>
  <c r="C87" i="24"/>
  <c r="C86" i="24"/>
  <c r="C85" i="24"/>
  <c r="C84" i="24"/>
  <c r="C83"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3" i="24"/>
  <c r="C42" i="24"/>
  <c r="C41" i="24"/>
  <c r="C40" i="24"/>
  <c r="C39" i="24"/>
  <c r="C38" i="24"/>
  <c r="C37" i="24"/>
  <c r="C36" i="24"/>
  <c r="C35" i="24"/>
  <c r="C34" i="24"/>
  <c r="B34" i="24"/>
  <c r="C33" i="24"/>
  <c r="B33" i="24"/>
  <c r="C32" i="24"/>
  <c r="B32" i="24"/>
  <c r="C31" i="24"/>
  <c r="B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B225" i="24"/>
  <c r="B163" i="24"/>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B224" i="24" s="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B145" i="23"/>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4" i="23"/>
  <c r="B144" i="23"/>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7" i="23"/>
  <c r="C13" i="23"/>
  <c r="B13" i="23"/>
  <c r="C12" i="23"/>
  <c r="B12" i="23"/>
  <c r="C11" i="23"/>
  <c r="B11" i="23"/>
  <c r="C10" i="23"/>
  <c r="B10" i="23"/>
  <c r="C9" i="23"/>
  <c r="B9" i="23"/>
  <c r="C8" i="23"/>
  <c r="B8" i="23"/>
  <c r="C7" i="23"/>
  <c r="B7" i="23"/>
  <c r="C6" i="23"/>
  <c r="B6" i="23"/>
  <c r="C5" i="23"/>
  <c r="B5" i="23"/>
  <c r="C4" i="23"/>
  <c r="B4" i="23"/>
  <c r="C223" i="22" l="1"/>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17" i="22" l="1"/>
  <c r="C225" i="20" l="1"/>
  <c r="C224" i="20"/>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B146" i="20"/>
  <c r="B147" i="20" s="1"/>
  <c r="B148" i="20" s="1"/>
  <c r="B149" i="20" s="1"/>
  <c r="B150" i="20" s="1"/>
  <c r="B151" i="20" s="1"/>
  <c r="B152" i="20" s="1"/>
  <c r="B153" i="20" s="1"/>
  <c r="B154" i="20" s="1"/>
  <c r="B155" i="20" s="1"/>
  <c r="B156" i="20" s="1"/>
  <c r="B157" i="20" s="1"/>
  <c r="B158" i="20" s="1"/>
  <c r="B159" i="20" s="1"/>
  <c r="B160" i="20" s="1"/>
  <c r="B161" i="20" s="1"/>
  <c r="B162" i="20" s="1"/>
  <c r="C145" i="20"/>
  <c r="C142" i="20"/>
  <c r="C140" i="20"/>
  <c r="C139" i="20"/>
  <c r="C138" i="20"/>
  <c r="C137" i="20"/>
  <c r="C135" i="20"/>
  <c r="C134" i="20"/>
  <c r="C133" i="20"/>
  <c r="C132" i="20"/>
  <c r="C131" i="20"/>
  <c r="C130" i="20"/>
  <c r="C127" i="20"/>
  <c r="C124" i="20"/>
  <c r="C123" i="20"/>
  <c r="C122" i="20"/>
  <c r="C121" i="20"/>
  <c r="C120" i="20"/>
  <c r="C119" i="20"/>
  <c r="C118" i="20"/>
  <c r="C117" i="20"/>
  <c r="C116" i="20"/>
  <c r="C115" i="20"/>
  <c r="C114" i="20"/>
  <c r="C113" i="20"/>
  <c r="C112" i="20"/>
  <c r="C111" i="20"/>
  <c r="C110" i="20"/>
  <c r="C109" i="20"/>
  <c r="C108" i="20"/>
  <c r="C107" i="20"/>
  <c r="C106" i="20"/>
  <c r="C105" i="20"/>
  <c r="C104" i="20"/>
  <c r="C103" i="20"/>
  <c r="C102" i="20"/>
  <c r="C99" i="20"/>
  <c r="C98" i="20"/>
  <c r="C97" i="20"/>
  <c r="C96" i="20"/>
  <c r="C95" i="20"/>
  <c r="C94" i="20"/>
  <c r="C93" i="20"/>
  <c r="C92" i="20"/>
  <c r="C91" i="20"/>
  <c r="C88" i="20"/>
  <c r="C87" i="20"/>
  <c r="C86" i="20"/>
  <c r="C85" i="20"/>
  <c r="C84" i="20"/>
  <c r="C83"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3" i="20"/>
  <c r="C42" i="20"/>
  <c r="C41" i="20"/>
  <c r="C40" i="20"/>
  <c r="C39" i="20"/>
  <c r="C38" i="20"/>
  <c r="C37" i="20"/>
  <c r="C36" i="20"/>
  <c r="C35" i="20"/>
  <c r="C34" i="20"/>
  <c r="B34" i="20"/>
  <c r="C33" i="20"/>
  <c r="B33" i="20"/>
  <c r="C32" i="20"/>
  <c r="B32" i="20"/>
  <c r="C31" i="20"/>
  <c r="B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17" i="20" l="1"/>
  <c r="B225" i="20"/>
  <c r="B163" i="20"/>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B224" i="20" s="1"/>
  <c r="C225" i="18" l="1"/>
  <c r="C224" i="18"/>
  <c r="C223" i="18"/>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B146" i="18"/>
  <c r="B147" i="18" s="1"/>
  <c r="B148" i="18" s="1"/>
  <c r="B149" i="18" s="1"/>
  <c r="B150" i="18" s="1"/>
  <c r="B151" i="18" s="1"/>
  <c r="B152" i="18" s="1"/>
  <c r="B153" i="18" s="1"/>
  <c r="B154" i="18" s="1"/>
  <c r="B155" i="18" s="1"/>
  <c r="B156" i="18" s="1"/>
  <c r="B157" i="18" s="1"/>
  <c r="B158" i="18" s="1"/>
  <c r="B159" i="18" s="1"/>
  <c r="B160" i="18" s="1"/>
  <c r="B161" i="18" s="1"/>
  <c r="B162" i="18" s="1"/>
  <c r="C145" i="18"/>
  <c r="C142" i="18"/>
  <c r="C140" i="18"/>
  <c r="C139" i="18"/>
  <c r="C138" i="18"/>
  <c r="C137" i="18"/>
  <c r="C135" i="18"/>
  <c r="C134" i="18"/>
  <c r="C133" i="18"/>
  <c r="C132" i="18"/>
  <c r="C131" i="18"/>
  <c r="C130" i="18"/>
  <c r="C127" i="18"/>
  <c r="C124" i="18"/>
  <c r="C123" i="18"/>
  <c r="C122" i="18"/>
  <c r="C121" i="18"/>
  <c r="C120" i="18"/>
  <c r="C119" i="18"/>
  <c r="C118" i="18"/>
  <c r="C117" i="18"/>
  <c r="C116" i="18"/>
  <c r="C115" i="18"/>
  <c r="C114" i="18"/>
  <c r="C113" i="18"/>
  <c r="C112" i="18"/>
  <c r="C111" i="18"/>
  <c r="C110" i="18"/>
  <c r="C109" i="18"/>
  <c r="C108" i="18"/>
  <c r="C107" i="18"/>
  <c r="C106" i="18"/>
  <c r="C105" i="18"/>
  <c r="C104" i="18"/>
  <c r="C103" i="18"/>
  <c r="C102" i="18"/>
  <c r="C99" i="18"/>
  <c r="C98" i="18"/>
  <c r="C97" i="18"/>
  <c r="C96" i="18"/>
  <c r="C95" i="18"/>
  <c r="C94" i="18"/>
  <c r="C93" i="18"/>
  <c r="C92" i="18"/>
  <c r="C91" i="18"/>
  <c r="C88" i="18"/>
  <c r="C87" i="18"/>
  <c r="C86" i="18"/>
  <c r="C85" i="18"/>
  <c r="C84" i="18"/>
  <c r="C83"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3" i="18"/>
  <c r="C42" i="18"/>
  <c r="C41" i="18"/>
  <c r="C40" i="18"/>
  <c r="C39" i="18"/>
  <c r="C38" i="18"/>
  <c r="C37" i="18"/>
  <c r="C36" i="18"/>
  <c r="C35" i="18"/>
  <c r="C34" i="18"/>
  <c r="B34" i="18"/>
  <c r="C33" i="18"/>
  <c r="B33" i="18"/>
  <c r="C32" i="18"/>
  <c r="B32" i="18"/>
  <c r="C31" i="18"/>
  <c r="B31" i="18"/>
  <c r="C30" i="18"/>
  <c r="C29" i="18"/>
  <c r="C28" i="18"/>
  <c r="C23" i="18"/>
  <c r="C22" i="18"/>
  <c r="C21" i="18"/>
  <c r="C20" i="18"/>
  <c r="C19" i="18"/>
  <c r="C18" i="18"/>
  <c r="C13" i="18"/>
  <c r="B13" i="18"/>
  <c r="C12" i="18"/>
  <c r="B12" i="18"/>
  <c r="C11" i="18"/>
  <c r="B11" i="18"/>
  <c r="C10" i="18"/>
  <c r="B10" i="18"/>
  <c r="C9" i="18"/>
  <c r="B9" i="18"/>
  <c r="C8" i="18"/>
  <c r="B8" i="18"/>
  <c r="C7" i="18"/>
  <c r="B7" i="18"/>
  <c r="C6" i="18"/>
  <c r="B6" i="18"/>
  <c r="C5" i="18"/>
  <c r="B5" i="18"/>
  <c r="C4" i="18"/>
  <c r="B4" i="18"/>
  <c r="C17" i="18" l="1"/>
  <c r="B225" i="18"/>
  <c r="B163" i="18"/>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B224" i="18" s="1"/>
  <c r="C225" i="17" l="1"/>
  <c r="C224" i="17"/>
  <c r="C223" i="17"/>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B147" i="17"/>
  <c r="B148" i="17" s="1"/>
  <c r="B149" i="17" s="1"/>
  <c r="B150" i="17" s="1"/>
  <c r="B151" i="17" s="1"/>
  <c r="B152" i="17" s="1"/>
  <c r="B153" i="17" s="1"/>
  <c r="B154" i="17" s="1"/>
  <c r="B155" i="17" s="1"/>
  <c r="B156" i="17" s="1"/>
  <c r="B157" i="17" s="1"/>
  <c r="B158" i="17" s="1"/>
  <c r="B159" i="17" s="1"/>
  <c r="B160" i="17" s="1"/>
  <c r="B161" i="17" s="1"/>
  <c r="B162" i="17" s="1"/>
  <c r="C146" i="17"/>
  <c r="B146" i="17"/>
  <c r="C145" i="17"/>
  <c r="C142" i="17"/>
  <c r="C140" i="17"/>
  <c r="C139" i="17"/>
  <c r="C138" i="17"/>
  <c r="C137" i="17"/>
  <c r="C135" i="17"/>
  <c r="C134" i="17"/>
  <c r="C133" i="17"/>
  <c r="C132" i="17"/>
  <c r="C131" i="17"/>
  <c r="C130" i="17"/>
  <c r="C127" i="17"/>
  <c r="C124" i="17"/>
  <c r="C123" i="17"/>
  <c r="C122" i="17"/>
  <c r="C121" i="17"/>
  <c r="C120" i="17"/>
  <c r="C119" i="17"/>
  <c r="C118" i="17"/>
  <c r="C117" i="17"/>
  <c r="C116" i="17"/>
  <c r="C115" i="17"/>
  <c r="C114" i="17"/>
  <c r="C113" i="17"/>
  <c r="C112" i="17"/>
  <c r="C111" i="17"/>
  <c r="C110" i="17"/>
  <c r="C109" i="17"/>
  <c r="C108" i="17"/>
  <c r="C107" i="17"/>
  <c r="C106" i="17"/>
  <c r="C105" i="17"/>
  <c r="C104" i="17"/>
  <c r="C103" i="17"/>
  <c r="C102" i="17"/>
  <c r="C99" i="17"/>
  <c r="C98" i="17"/>
  <c r="C97" i="17"/>
  <c r="C96" i="17"/>
  <c r="C95" i="17"/>
  <c r="C94" i="17"/>
  <c r="C93" i="17"/>
  <c r="C92" i="17"/>
  <c r="C91" i="17"/>
  <c r="C88" i="17"/>
  <c r="C87" i="17"/>
  <c r="C86" i="17"/>
  <c r="C85" i="17"/>
  <c r="C84" i="17"/>
  <c r="C83"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3" i="17"/>
  <c r="C42" i="17"/>
  <c r="C41" i="17"/>
  <c r="C40" i="17"/>
  <c r="C39" i="17"/>
  <c r="C38" i="17"/>
  <c r="C37" i="17"/>
  <c r="C36" i="17"/>
  <c r="C35" i="17"/>
  <c r="C34" i="17"/>
  <c r="B34" i="17"/>
  <c r="C33" i="17"/>
  <c r="B33" i="17"/>
  <c r="C32" i="17"/>
  <c r="B32" i="17"/>
  <c r="C31" i="17"/>
  <c r="B31" i="17"/>
  <c r="C30" i="17"/>
  <c r="C29" i="17"/>
  <c r="C28" i="17"/>
  <c r="C23" i="17"/>
  <c r="C22" i="17"/>
  <c r="C21" i="17"/>
  <c r="C20" i="17"/>
  <c r="C19" i="17"/>
  <c r="C18" i="17"/>
  <c r="C13" i="17"/>
  <c r="B13" i="17"/>
  <c r="C12" i="17"/>
  <c r="B12" i="17"/>
  <c r="C11" i="17"/>
  <c r="B11" i="17"/>
  <c r="C10" i="17"/>
  <c r="B10" i="17"/>
  <c r="C9" i="17"/>
  <c r="B9" i="17"/>
  <c r="C8" i="17"/>
  <c r="B8" i="17"/>
  <c r="C7" i="17"/>
  <c r="B7" i="17"/>
  <c r="C6" i="17"/>
  <c r="B6" i="17"/>
  <c r="C5" i="17"/>
  <c r="B5" i="17"/>
  <c r="C4" i="17"/>
  <c r="B4" i="17"/>
  <c r="C17" i="17" l="1"/>
  <c r="B225" i="17"/>
  <c r="B163" i="17"/>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B224" i="17" s="1"/>
  <c r="C225" i="16" l="1"/>
  <c r="C224" i="16"/>
  <c r="C223" i="16"/>
  <c r="C222" i="16"/>
  <c r="C221" i="16"/>
  <c r="C220" i="16"/>
  <c r="C219" i="16"/>
  <c r="C218" i="16"/>
  <c r="C217" i="16"/>
  <c r="C216" i="16"/>
  <c r="C215" i="16"/>
  <c r="C214" i="16"/>
  <c r="C213" i="16"/>
  <c r="C212" i="16"/>
  <c r="C211" i="16"/>
  <c r="C210" i="16"/>
  <c r="C209" i="16"/>
  <c r="C208" i="16"/>
  <c r="C207" i="16"/>
  <c r="C206" i="16"/>
  <c r="C205" i="16"/>
  <c r="C204" i="16"/>
  <c r="C203" i="16"/>
  <c r="C202" i="16"/>
  <c r="C201" i="16"/>
  <c r="C200" i="16"/>
  <c r="C199" i="16"/>
  <c r="C198" i="16"/>
  <c r="C197" i="16"/>
  <c r="C196" i="16"/>
  <c r="C195" i="16"/>
  <c r="C194" i="16"/>
  <c r="C193" i="16"/>
  <c r="C192" i="16"/>
  <c r="C191" i="16"/>
  <c r="C190" i="16"/>
  <c r="C189" i="16"/>
  <c r="C188" i="16"/>
  <c r="C187" i="16"/>
  <c r="C186" i="16"/>
  <c r="C185" i="16"/>
  <c r="C184" i="16"/>
  <c r="C183" i="16"/>
  <c r="C182" i="16"/>
  <c r="C181" i="16"/>
  <c r="C180" i="16"/>
  <c r="C179" i="16"/>
  <c r="C178" i="16"/>
  <c r="C177" i="16"/>
  <c r="C176" i="16"/>
  <c r="C175" i="16"/>
  <c r="C174" i="16"/>
  <c r="C173" i="16"/>
  <c r="C172" i="16"/>
  <c r="C171" i="16"/>
  <c r="C170" i="16"/>
  <c r="C169" i="16"/>
  <c r="C168" i="16"/>
  <c r="C167" i="16"/>
  <c r="C166" i="16"/>
  <c r="C165" i="16"/>
  <c r="C164" i="16"/>
  <c r="C163" i="16"/>
  <c r="C162" i="16"/>
  <c r="C161" i="16"/>
  <c r="C160" i="16"/>
  <c r="C159" i="16"/>
  <c r="C158" i="16"/>
  <c r="C157" i="16"/>
  <c r="C156" i="16"/>
  <c r="C155" i="16"/>
  <c r="C154" i="16"/>
  <c r="C153" i="16"/>
  <c r="C152" i="16"/>
  <c r="C151" i="16"/>
  <c r="C150" i="16"/>
  <c r="C149" i="16"/>
  <c r="C148" i="16"/>
  <c r="C147" i="16"/>
  <c r="B147" i="16"/>
  <c r="B148" i="16" s="1"/>
  <c r="B149" i="16" s="1"/>
  <c r="B150" i="16" s="1"/>
  <c r="B151" i="16" s="1"/>
  <c r="B152" i="16" s="1"/>
  <c r="B153" i="16" s="1"/>
  <c r="B154" i="16" s="1"/>
  <c r="B155" i="16" s="1"/>
  <c r="B156" i="16" s="1"/>
  <c r="B157" i="16" s="1"/>
  <c r="B158" i="16" s="1"/>
  <c r="B159" i="16" s="1"/>
  <c r="B160" i="16" s="1"/>
  <c r="B161" i="16" s="1"/>
  <c r="B162" i="16" s="1"/>
  <c r="C146" i="16"/>
  <c r="B146" i="16"/>
  <c r="C145" i="16"/>
  <c r="C142" i="16"/>
  <c r="C140" i="16"/>
  <c r="C139" i="16"/>
  <c r="C138" i="16"/>
  <c r="C137" i="16"/>
  <c r="C135" i="16"/>
  <c r="C134" i="16"/>
  <c r="C133" i="16"/>
  <c r="C132" i="16"/>
  <c r="C131" i="16"/>
  <c r="C130" i="16"/>
  <c r="C127" i="16"/>
  <c r="C124" i="16"/>
  <c r="C123" i="16"/>
  <c r="C122" i="16"/>
  <c r="C121" i="16"/>
  <c r="C120" i="16"/>
  <c r="C119" i="16"/>
  <c r="C118" i="16"/>
  <c r="C117" i="16"/>
  <c r="C116" i="16"/>
  <c r="C115" i="16"/>
  <c r="C114" i="16"/>
  <c r="C113" i="16"/>
  <c r="C112" i="16"/>
  <c r="C111" i="16"/>
  <c r="C110" i="16"/>
  <c r="C109" i="16"/>
  <c r="C108" i="16"/>
  <c r="C107" i="16"/>
  <c r="C106" i="16"/>
  <c r="C105" i="16"/>
  <c r="C104" i="16"/>
  <c r="C103" i="16"/>
  <c r="C102" i="16"/>
  <c r="C99" i="16"/>
  <c r="C98" i="16"/>
  <c r="C97" i="16"/>
  <c r="C96" i="16"/>
  <c r="C95" i="16"/>
  <c r="C94" i="16"/>
  <c r="C93" i="16"/>
  <c r="C92" i="16"/>
  <c r="C91" i="16"/>
  <c r="C88" i="16"/>
  <c r="C87" i="16"/>
  <c r="C86" i="16"/>
  <c r="C85" i="16"/>
  <c r="C84" i="16"/>
  <c r="C83" i="16"/>
  <c r="C82" i="16"/>
  <c r="C81" i="16"/>
  <c r="C80" i="16"/>
  <c r="C79" i="16"/>
  <c r="C78" i="16"/>
  <c r="C77" i="16"/>
  <c r="C76" i="16"/>
  <c r="C75" i="16"/>
  <c r="C74" i="16"/>
  <c r="C73" i="16"/>
  <c r="C72" i="16"/>
  <c r="C71" i="16"/>
  <c r="C70" i="16"/>
  <c r="C69" i="16"/>
  <c r="C68" i="16"/>
  <c r="C67" i="16"/>
  <c r="C66" i="16"/>
  <c r="C65" i="16"/>
  <c r="C64" i="16"/>
  <c r="C63" i="16"/>
  <c r="C62" i="16"/>
  <c r="C61" i="16"/>
  <c r="C60" i="16"/>
  <c r="C59" i="16"/>
  <c r="C58" i="16"/>
  <c r="C57" i="16"/>
  <c r="C56" i="16"/>
  <c r="C55" i="16"/>
  <c r="C54" i="16"/>
  <c r="C53" i="16"/>
  <c r="C52" i="16"/>
  <c r="C51" i="16"/>
  <c r="C50" i="16"/>
  <c r="C49" i="16"/>
  <c r="C48" i="16"/>
  <c r="C47" i="16"/>
  <c r="C46" i="16"/>
  <c r="C43" i="16"/>
  <c r="C42" i="16"/>
  <c r="C41" i="16"/>
  <c r="C40" i="16"/>
  <c r="C39" i="16"/>
  <c r="C38" i="16"/>
  <c r="C37" i="16"/>
  <c r="C36" i="16"/>
  <c r="C35" i="16"/>
  <c r="C34" i="16"/>
  <c r="B34" i="16"/>
  <c r="C33" i="16"/>
  <c r="B33" i="16"/>
  <c r="C32" i="16"/>
  <c r="B32" i="16"/>
  <c r="C31" i="16"/>
  <c r="B31" i="16"/>
  <c r="C30" i="16"/>
  <c r="C29" i="16"/>
  <c r="C28" i="16"/>
  <c r="C23" i="16"/>
  <c r="C22" i="16"/>
  <c r="C21" i="16"/>
  <c r="C20" i="16"/>
  <c r="C19" i="16"/>
  <c r="C18" i="16"/>
  <c r="C17" i="16" s="1"/>
  <c r="C13" i="16"/>
  <c r="B13" i="16"/>
  <c r="C12" i="16"/>
  <c r="B12" i="16"/>
  <c r="C11" i="16"/>
  <c r="B11" i="16"/>
  <c r="C10" i="16"/>
  <c r="B10" i="16"/>
  <c r="C9" i="16"/>
  <c r="B9" i="16"/>
  <c r="C8" i="16"/>
  <c r="B8" i="16"/>
  <c r="C7" i="16"/>
  <c r="B7" i="16"/>
  <c r="C6" i="16"/>
  <c r="B6" i="16"/>
  <c r="C5" i="16"/>
  <c r="B5" i="16"/>
  <c r="C4" i="16"/>
  <c r="B4" i="16"/>
  <c r="B225" i="16" l="1"/>
  <c r="B163" i="16"/>
  <c r="B164" i="16" s="1"/>
  <c r="B165" i="16" s="1"/>
  <c r="B166" i="16" s="1"/>
  <c r="B167" i="16" s="1"/>
  <c r="B168" i="16" s="1"/>
  <c r="B169" i="16" s="1"/>
  <c r="B170" i="16" s="1"/>
  <c r="B171" i="16" s="1"/>
  <c r="B172" i="16" s="1"/>
  <c r="B173" i="16" s="1"/>
  <c r="B174" i="16" s="1"/>
  <c r="B175" i="16" s="1"/>
  <c r="B176" i="16" s="1"/>
  <c r="B177" i="16" s="1"/>
  <c r="B178" i="16" s="1"/>
  <c r="B179" i="16" s="1"/>
  <c r="B180" i="16" s="1"/>
  <c r="B181" i="16" s="1"/>
  <c r="B182" i="16" s="1"/>
  <c r="B183" i="16" s="1"/>
  <c r="B184" i="16" s="1"/>
  <c r="B185" i="16" s="1"/>
  <c r="B186" i="16" s="1"/>
  <c r="B187" i="16" s="1"/>
  <c r="B188" i="16" s="1"/>
  <c r="B189" i="16" s="1"/>
  <c r="B190" i="16" s="1"/>
  <c r="B191" i="16" s="1"/>
  <c r="B192" i="16" s="1"/>
  <c r="B193" i="16" s="1"/>
  <c r="B194" i="16" s="1"/>
  <c r="B195" i="16" s="1"/>
  <c r="B196" i="16" s="1"/>
  <c r="B197" i="16" s="1"/>
  <c r="B198" i="16" s="1"/>
  <c r="B199" i="16" s="1"/>
  <c r="B200" i="16" s="1"/>
  <c r="B201" i="16" s="1"/>
  <c r="B202" i="16" s="1"/>
  <c r="B203" i="16" s="1"/>
  <c r="B204" i="16" s="1"/>
  <c r="B205" i="16" s="1"/>
  <c r="B206" i="16" s="1"/>
  <c r="B207" i="16" s="1"/>
  <c r="B208" i="16" s="1"/>
  <c r="B209" i="16" s="1"/>
  <c r="B210" i="16" s="1"/>
  <c r="B211" i="16" s="1"/>
  <c r="B212" i="16" s="1"/>
  <c r="B213" i="16" s="1"/>
  <c r="B214" i="16" s="1"/>
  <c r="B215" i="16" s="1"/>
  <c r="B216" i="16" s="1"/>
  <c r="B217" i="16" s="1"/>
  <c r="B218" i="16" s="1"/>
  <c r="B219" i="16" s="1"/>
  <c r="B220" i="16" s="1"/>
  <c r="B221" i="16" s="1"/>
  <c r="B222" i="16" s="1"/>
  <c r="B223" i="16" s="1"/>
  <c r="B224" i="16" s="1"/>
  <c r="C225" i="15" l="1"/>
  <c r="C224" i="15"/>
  <c r="C223" i="15"/>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B146" i="15"/>
  <c r="B147" i="15" s="1"/>
  <c r="B148" i="15" s="1"/>
  <c r="B149" i="15" s="1"/>
  <c r="B150" i="15" s="1"/>
  <c r="B151" i="15" s="1"/>
  <c r="B152" i="15" s="1"/>
  <c r="B153" i="15" s="1"/>
  <c r="B154" i="15" s="1"/>
  <c r="B155" i="15" s="1"/>
  <c r="B156" i="15" s="1"/>
  <c r="B157" i="15" s="1"/>
  <c r="B158" i="15" s="1"/>
  <c r="B159" i="15" s="1"/>
  <c r="B160" i="15" s="1"/>
  <c r="B161" i="15" s="1"/>
  <c r="B162" i="15" s="1"/>
  <c r="C145" i="15"/>
  <c r="C142" i="15"/>
  <c r="C140" i="15"/>
  <c r="C139" i="15"/>
  <c r="C138" i="15"/>
  <c r="C137" i="15"/>
  <c r="C135" i="15"/>
  <c r="C134" i="15"/>
  <c r="C133" i="15"/>
  <c r="C132" i="15"/>
  <c r="C131" i="15"/>
  <c r="C130" i="15"/>
  <c r="C127" i="15"/>
  <c r="C124" i="15"/>
  <c r="C123" i="15"/>
  <c r="C122" i="15"/>
  <c r="C121" i="15"/>
  <c r="C120" i="15"/>
  <c r="C119" i="15"/>
  <c r="C118" i="15"/>
  <c r="C117" i="15"/>
  <c r="C116" i="15"/>
  <c r="C115" i="15"/>
  <c r="C114" i="15"/>
  <c r="C113" i="15"/>
  <c r="C112" i="15"/>
  <c r="C111" i="15"/>
  <c r="C110" i="15"/>
  <c r="C109" i="15"/>
  <c r="C108" i="15"/>
  <c r="C107" i="15"/>
  <c r="C106" i="15"/>
  <c r="C105" i="15"/>
  <c r="C104" i="15"/>
  <c r="C103" i="15"/>
  <c r="C102" i="15"/>
  <c r="C99" i="15"/>
  <c r="C98" i="15"/>
  <c r="C97" i="15"/>
  <c r="C96" i="15"/>
  <c r="C95" i="15"/>
  <c r="C94" i="15"/>
  <c r="C93" i="15"/>
  <c r="C92" i="15"/>
  <c r="C91" i="15"/>
  <c r="C88" i="15"/>
  <c r="C87" i="15"/>
  <c r="C86" i="15"/>
  <c r="C85" i="15"/>
  <c r="C84" i="15"/>
  <c r="C83"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3" i="15"/>
  <c r="C42" i="15"/>
  <c r="C41" i="15"/>
  <c r="C40" i="15"/>
  <c r="C39" i="15"/>
  <c r="C38" i="15"/>
  <c r="C37" i="15"/>
  <c r="C36" i="15"/>
  <c r="C35" i="15"/>
  <c r="C34" i="15"/>
  <c r="B34" i="15"/>
  <c r="C33" i="15"/>
  <c r="B33" i="15"/>
  <c r="C32" i="15"/>
  <c r="B32" i="15"/>
  <c r="C31" i="15"/>
  <c r="B31" i="15"/>
  <c r="C30" i="15"/>
  <c r="C29" i="15"/>
  <c r="C28" i="15"/>
  <c r="C23" i="15"/>
  <c r="C22" i="15"/>
  <c r="C21" i="15"/>
  <c r="C20" i="15"/>
  <c r="C17" i="15" s="1"/>
  <c r="C19" i="15"/>
  <c r="C18" i="15"/>
  <c r="C13" i="15"/>
  <c r="B13" i="15"/>
  <c r="C12" i="15"/>
  <c r="B12" i="15"/>
  <c r="C11" i="15"/>
  <c r="B11" i="15"/>
  <c r="C10" i="15"/>
  <c r="B10" i="15"/>
  <c r="C9" i="15"/>
  <c r="B9" i="15"/>
  <c r="C8" i="15"/>
  <c r="B8" i="15"/>
  <c r="C7" i="15"/>
  <c r="B7" i="15"/>
  <c r="C6" i="15"/>
  <c r="B6" i="15"/>
  <c r="C5" i="15"/>
  <c r="B5" i="15"/>
  <c r="C4" i="15"/>
  <c r="B4" i="15"/>
  <c r="B225" i="15" l="1"/>
  <c r="B163" i="15"/>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B224" i="15" s="1"/>
  <c r="C225" i="14" l="1"/>
  <c r="C224" i="14"/>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B146" i="14"/>
  <c r="B147" i="14" s="1"/>
  <c r="B148" i="14" s="1"/>
  <c r="B149" i="14" s="1"/>
  <c r="B150" i="14" s="1"/>
  <c r="B151" i="14" s="1"/>
  <c r="B152" i="14" s="1"/>
  <c r="B153" i="14" s="1"/>
  <c r="B154" i="14" s="1"/>
  <c r="B155" i="14" s="1"/>
  <c r="B156" i="14" s="1"/>
  <c r="B157" i="14" s="1"/>
  <c r="B158" i="14" s="1"/>
  <c r="B159" i="14" s="1"/>
  <c r="B160" i="14" s="1"/>
  <c r="B161" i="14" s="1"/>
  <c r="B162" i="14" s="1"/>
  <c r="C145" i="14"/>
  <c r="C142" i="14"/>
  <c r="C140" i="14"/>
  <c r="C139" i="14"/>
  <c r="C138" i="14"/>
  <c r="C137" i="14"/>
  <c r="C135" i="14"/>
  <c r="C134" i="14"/>
  <c r="C133" i="14"/>
  <c r="C132" i="14"/>
  <c r="C131" i="14"/>
  <c r="C130" i="14"/>
  <c r="C127" i="14"/>
  <c r="C124" i="14"/>
  <c r="C123" i="14"/>
  <c r="C122" i="14"/>
  <c r="C121" i="14"/>
  <c r="C120" i="14"/>
  <c r="C119" i="14"/>
  <c r="C118" i="14"/>
  <c r="C117" i="14"/>
  <c r="C116" i="14"/>
  <c r="C115" i="14"/>
  <c r="C114" i="14"/>
  <c r="C113" i="14"/>
  <c r="C112" i="14"/>
  <c r="C111" i="14"/>
  <c r="C110" i="14"/>
  <c r="C109" i="14"/>
  <c r="C108" i="14"/>
  <c r="C107" i="14"/>
  <c r="C106" i="14"/>
  <c r="C105" i="14"/>
  <c r="C104" i="14"/>
  <c r="C103" i="14"/>
  <c r="C102" i="14"/>
  <c r="C99" i="14"/>
  <c r="C98" i="14"/>
  <c r="C97" i="14"/>
  <c r="C96" i="14"/>
  <c r="C95" i="14"/>
  <c r="C94" i="14"/>
  <c r="C93" i="14"/>
  <c r="C92" i="14"/>
  <c r="C91" i="14"/>
  <c r="C88" i="14"/>
  <c r="C87" i="14"/>
  <c r="C86" i="14"/>
  <c r="C85" i="14"/>
  <c r="C84" i="14"/>
  <c r="C83"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3" i="14"/>
  <c r="C42" i="14"/>
  <c r="C41" i="14"/>
  <c r="C40" i="14"/>
  <c r="C39" i="14"/>
  <c r="C38" i="14"/>
  <c r="C37" i="14"/>
  <c r="C36" i="14"/>
  <c r="C35" i="14"/>
  <c r="C34" i="14"/>
  <c r="B34" i="14"/>
  <c r="C33" i="14"/>
  <c r="B33" i="14"/>
  <c r="C32" i="14"/>
  <c r="B32" i="14"/>
  <c r="C31" i="14"/>
  <c r="B31" i="14"/>
  <c r="C30" i="14"/>
  <c r="C29" i="14"/>
  <c r="C28" i="14"/>
  <c r="C23" i="14"/>
  <c r="C22" i="14"/>
  <c r="C21" i="14"/>
  <c r="C20" i="14"/>
  <c r="C19" i="14"/>
  <c r="C18" i="14"/>
  <c r="C13" i="14"/>
  <c r="B13" i="14"/>
  <c r="C12" i="14"/>
  <c r="B12" i="14"/>
  <c r="C11" i="14"/>
  <c r="B11" i="14"/>
  <c r="C10" i="14"/>
  <c r="B10" i="14"/>
  <c r="C9" i="14"/>
  <c r="B9" i="14"/>
  <c r="C8" i="14"/>
  <c r="B8" i="14"/>
  <c r="C7" i="14"/>
  <c r="B7" i="14"/>
  <c r="C6" i="14"/>
  <c r="B6" i="14"/>
  <c r="C5" i="14"/>
  <c r="B5" i="14"/>
  <c r="C4" i="14"/>
  <c r="B4" i="14"/>
  <c r="C17" i="14" l="1"/>
  <c r="B225" i="14"/>
  <c r="B163" i="14"/>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B224" i="14" s="1"/>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C223" i="1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B145" i="1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4" i="11"/>
  <c r="B144" i="1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7" i="11" s="1"/>
  <c r="C13" i="11"/>
  <c r="B13" i="11"/>
  <c r="C12" i="11"/>
  <c r="B12" i="11"/>
  <c r="C11" i="11"/>
  <c r="B11" i="11"/>
  <c r="C10" i="11"/>
  <c r="B10" i="11"/>
  <c r="C9" i="11"/>
  <c r="B9" i="11"/>
  <c r="C8" i="11"/>
  <c r="B8" i="11"/>
  <c r="C7" i="11"/>
  <c r="B7" i="11"/>
  <c r="C6" i="11"/>
  <c r="B6" i="11"/>
  <c r="C5" i="11"/>
  <c r="B5" i="11"/>
  <c r="C4" i="11"/>
  <c r="B4" i="1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7" i="10"/>
  <c r="C13" i="10"/>
  <c r="B13" i="10"/>
  <c r="C12" i="10"/>
  <c r="B12" i="10"/>
  <c r="C11" i="10"/>
  <c r="B11" i="10"/>
  <c r="C10" i="10"/>
  <c r="B10" i="10"/>
  <c r="C9" i="10"/>
  <c r="B9" i="10"/>
  <c r="C8" i="10"/>
  <c r="B8" i="10"/>
  <c r="C7" i="10"/>
  <c r="B7" i="10"/>
  <c r="C6" i="10"/>
  <c r="B6" i="10"/>
  <c r="C5" i="10"/>
  <c r="B5" i="10"/>
  <c r="C4" i="10"/>
  <c r="B4" i="10"/>
  <c r="C225" i="9" l="1"/>
  <c r="C224" i="9"/>
  <c r="C223" i="9"/>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B147" i="9"/>
  <c r="B148" i="9" s="1"/>
  <c r="B149" i="9" s="1"/>
  <c r="B150" i="9" s="1"/>
  <c r="B151" i="9" s="1"/>
  <c r="B152" i="9" s="1"/>
  <c r="B153" i="9" s="1"/>
  <c r="B154" i="9" s="1"/>
  <c r="B155" i="9" s="1"/>
  <c r="B156" i="9" s="1"/>
  <c r="B157" i="9" s="1"/>
  <c r="B158" i="9" s="1"/>
  <c r="B159" i="9" s="1"/>
  <c r="B160" i="9" s="1"/>
  <c r="B161" i="9" s="1"/>
  <c r="B162" i="9" s="1"/>
  <c r="C146" i="9"/>
  <c r="B146" i="9"/>
  <c r="C145" i="9"/>
  <c r="C142" i="9"/>
  <c r="C140" i="9"/>
  <c r="C139" i="9"/>
  <c r="C138" i="9"/>
  <c r="C137" i="9"/>
  <c r="C135" i="9"/>
  <c r="C134" i="9"/>
  <c r="C133" i="9"/>
  <c r="C132" i="9"/>
  <c r="C131" i="9"/>
  <c r="C130" i="9"/>
  <c r="C127" i="9"/>
  <c r="C124" i="9"/>
  <c r="C123" i="9"/>
  <c r="C122" i="9"/>
  <c r="C121" i="9"/>
  <c r="C120" i="9"/>
  <c r="C119" i="9"/>
  <c r="C118" i="9"/>
  <c r="C117" i="9"/>
  <c r="C116" i="9"/>
  <c r="C115" i="9"/>
  <c r="C114" i="9"/>
  <c r="C113" i="9"/>
  <c r="C112" i="9"/>
  <c r="C111" i="9"/>
  <c r="C110" i="9"/>
  <c r="C109" i="9"/>
  <c r="C108" i="9"/>
  <c r="C107" i="9"/>
  <c r="C106" i="9"/>
  <c r="C105" i="9"/>
  <c r="C104" i="9"/>
  <c r="C103" i="9"/>
  <c r="C102" i="9"/>
  <c r="C99" i="9"/>
  <c r="C98" i="9"/>
  <c r="C97" i="9"/>
  <c r="C96" i="9"/>
  <c r="C95" i="9"/>
  <c r="C94" i="9"/>
  <c r="C93" i="9"/>
  <c r="C92" i="9"/>
  <c r="C91" i="9"/>
  <c r="C88" i="9"/>
  <c r="C87" i="9"/>
  <c r="C86" i="9"/>
  <c r="C85" i="9"/>
  <c r="C84" i="9"/>
  <c r="C83"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3" i="9"/>
  <c r="C42" i="9"/>
  <c r="C41" i="9"/>
  <c r="C40" i="9"/>
  <c r="C39" i="9"/>
  <c r="C38" i="9"/>
  <c r="C37" i="9"/>
  <c r="C36" i="9"/>
  <c r="C35" i="9"/>
  <c r="C34" i="9"/>
  <c r="B34" i="9"/>
  <c r="C33" i="9"/>
  <c r="B33" i="9"/>
  <c r="C32" i="9"/>
  <c r="B32" i="9"/>
  <c r="C31" i="9"/>
  <c r="B31" i="9"/>
  <c r="C30" i="9"/>
  <c r="C29" i="9"/>
  <c r="C28" i="9"/>
  <c r="C23" i="9"/>
  <c r="C22" i="9"/>
  <c r="C21" i="9"/>
  <c r="C20" i="9"/>
  <c r="C19" i="9"/>
  <c r="C18" i="9"/>
  <c r="C13" i="9"/>
  <c r="B13" i="9"/>
  <c r="C12" i="9"/>
  <c r="B12" i="9"/>
  <c r="C11" i="9"/>
  <c r="B11" i="9"/>
  <c r="C10" i="9"/>
  <c r="B10" i="9"/>
  <c r="C9" i="9"/>
  <c r="B9" i="9"/>
  <c r="C8" i="9"/>
  <c r="B8" i="9"/>
  <c r="C7" i="9"/>
  <c r="B7" i="9"/>
  <c r="C6" i="9"/>
  <c r="B6" i="9"/>
  <c r="C5" i="9"/>
  <c r="B5" i="9"/>
  <c r="C4" i="9"/>
  <c r="B4" i="9"/>
  <c r="C17" i="9" l="1"/>
  <c r="B225" i="9"/>
  <c r="B163" i="9"/>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B224" i="9" s="1"/>
  <c r="C225" i="8" l="1"/>
  <c r="C224" i="8"/>
  <c r="C223" i="8"/>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B146" i="8"/>
  <c r="B147" i="8" s="1"/>
  <c r="B148" i="8" s="1"/>
  <c r="B149" i="8" s="1"/>
  <c r="B150" i="8" s="1"/>
  <c r="B151" i="8" s="1"/>
  <c r="B152" i="8" s="1"/>
  <c r="B153" i="8" s="1"/>
  <c r="B154" i="8" s="1"/>
  <c r="B155" i="8" s="1"/>
  <c r="B156" i="8" s="1"/>
  <c r="B157" i="8" s="1"/>
  <c r="B158" i="8" s="1"/>
  <c r="B159" i="8" s="1"/>
  <c r="B160" i="8" s="1"/>
  <c r="B161" i="8" s="1"/>
  <c r="B162" i="8" s="1"/>
  <c r="C145" i="8"/>
  <c r="C142" i="8"/>
  <c r="C140" i="8"/>
  <c r="C139" i="8"/>
  <c r="C138" i="8"/>
  <c r="C137" i="8"/>
  <c r="C135" i="8"/>
  <c r="C134" i="8"/>
  <c r="C133" i="8"/>
  <c r="C132" i="8"/>
  <c r="C131" i="8"/>
  <c r="C130" i="8"/>
  <c r="C127" i="8"/>
  <c r="C124" i="8"/>
  <c r="C123" i="8"/>
  <c r="C122" i="8"/>
  <c r="C121" i="8"/>
  <c r="C120" i="8"/>
  <c r="C119" i="8"/>
  <c r="C118" i="8"/>
  <c r="C117" i="8"/>
  <c r="C116" i="8"/>
  <c r="C115" i="8"/>
  <c r="C114" i="8"/>
  <c r="C113" i="8"/>
  <c r="C112" i="8"/>
  <c r="C111" i="8"/>
  <c r="C110" i="8"/>
  <c r="C109" i="8"/>
  <c r="C108" i="8"/>
  <c r="C107" i="8"/>
  <c r="C106" i="8"/>
  <c r="C105" i="8"/>
  <c r="C104" i="8"/>
  <c r="C103" i="8"/>
  <c r="C102" i="8"/>
  <c r="C99" i="8"/>
  <c r="C98" i="8"/>
  <c r="C97" i="8"/>
  <c r="C96" i="8"/>
  <c r="C95" i="8"/>
  <c r="C94" i="8"/>
  <c r="C93" i="8"/>
  <c r="C92" i="8"/>
  <c r="C91" i="8"/>
  <c r="C88" i="8"/>
  <c r="C87" i="8"/>
  <c r="C86" i="8"/>
  <c r="C85" i="8"/>
  <c r="C84" i="8"/>
  <c r="C83"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3" i="8"/>
  <c r="C42" i="8"/>
  <c r="C41" i="8"/>
  <c r="C40" i="8"/>
  <c r="C39" i="8"/>
  <c r="C38" i="8"/>
  <c r="C37" i="8"/>
  <c r="C36" i="8"/>
  <c r="C35" i="8"/>
  <c r="C34" i="8"/>
  <c r="B34" i="8"/>
  <c r="C33" i="8"/>
  <c r="B33" i="8"/>
  <c r="C32" i="8"/>
  <c r="B32" i="8"/>
  <c r="C31" i="8"/>
  <c r="B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B225" i="8" l="1"/>
  <c r="B163" i="8"/>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B224" i="8" s="1"/>
  <c r="C225" i="7" l="1"/>
  <c r="C224" i="7"/>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B146" i="7"/>
  <c r="B147" i="7" s="1"/>
  <c r="B148" i="7" s="1"/>
  <c r="B149" i="7" s="1"/>
  <c r="B150" i="7" s="1"/>
  <c r="B151" i="7" s="1"/>
  <c r="B152" i="7" s="1"/>
  <c r="B153" i="7" s="1"/>
  <c r="B154" i="7" s="1"/>
  <c r="B155" i="7" s="1"/>
  <c r="B156" i="7" s="1"/>
  <c r="B157" i="7" s="1"/>
  <c r="B158" i="7" s="1"/>
  <c r="B159" i="7" s="1"/>
  <c r="B160" i="7" s="1"/>
  <c r="B161" i="7" s="1"/>
  <c r="B162" i="7" s="1"/>
  <c r="C145" i="7"/>
  <c r="C142" i="7"/>
  <c r="C140" i="7"/>
  <c r="C139" i="7"/>
  <c r="C138" i="7"/>
  <c r="C137" i="7"/>
  <c r="C135" i="7"/>
  <c r="C134" i="7"/>
  <c r="C133" i="7"/>
  <c r="C132" i="7"/>
  <c r="C131" i="7"/>
  <c r="C130" i="7"/>
  <c r="C127" i="7"/>
  <c r="C124" i="7"/>
  <c r="C123" i="7"/>
  <c r="C122" i="7"/>
  <c r="C121" i="7"/>
  <c r="C120" i="7"/>
  <c r="C119" i="7"/>
  <c r="C118" i="7"/>
  <c r="C117" i="7"/>
  <c r="C116" i="7"/>
  <c r="C115" i="7"/>
  <c r="C114" i="7"/>
  <c r="C113" i="7"/>
  <c r="C112" i="7"/>
  <c r="C111" i="7"/>
  <c r="C110" i="7"/>
  <c r="C109" i="7"/>
  <c r="C108" i="7"/>
  <c r="C107" i="7"/>
  <c r="C106" i="7"/>
  <c r="C105" i="7"/>
  <c r="C104" i="7"/>
  <c r="C103" i="7"/>
  <c r="C102" i="7"/>
  <c r="C99" i="7"/>
  <c r="C98" i="7"/>
  <c r="C97" i="7"/>
  <c r="C96" i="7"/>
  <c r="C95" i="7"/>
  <c r="C94" i="7"/>
  <c r="C93" i="7"/>
  <c r="C92" i="7"/>
  <c r="C91" i="7"/>
  <c r="C88" i="7"/>
  <c r="C87" i="7"/>
  <c r="C86" i="7"/>
  <c r="C85" i="7"/>
  <c r="C84" i="7"/>
  <c r="C83"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3" i="7"/>
  <c r="C42" i="7"/>
  <c r="C41" i="7"/>
  <c r="C40" i="7"/>
  <c r="C39" i="7"/>
  <c r="C38" i="7"/>
  <c r="C37" i="7"/>
  <c r="C36" i="7"/>
  <c r="C35" i="7"/>
  <c r="C34" i="7"/>
  <c r="B34" i="7"/>
  <c r="C33" i="7"/>
  <c r="B33" i="7"/>
  <c r="C32" i="7"/>
  <c r="B32" i="7"/>
  <c r="C31" i="7"/>
  <c r="B31" i="7"/>
  <c r="C30" i="7"/>
  <c r="C29" i="7"/>
  <c r="C28" i="7"/>
  <c r="C23" i="7"/>
  <c r="C22" i="7"/>
  <c r="C21" i="7"/>
  <c r="C20" i="7"/>
  <c r="C19" i="7"/>
  <c r="C17" i="7" s="1"/>
  <c r="C18" i="7"/>
  <c r="C13" i="7"/>
  <c r="B13" i="7"/>
  <c r="C12" i="7"/>
  <c r="B12" i="7"/>
  <c r="C11" i="7"/>
  <c r="B11" i="7"/>
  <c r="C10" i="7"/>
  <c r="B10" i="7"/>
  <c r="C9" i="7"/>
  <c r="B9" i="7"/>
  <c r="C8" i="7"/>
  <c r="B8" i="7"/>
  <c r="C7" i="7"/>
  <c r="B7" i="7"/>
  <c r="C6" i="7"/>
  <c r="B6" i="7"/>
  <c r="C5" i="7"/>
  <c r="B5" i="7"/>
  <c r="C4" i="7"/>
  <c r="B4" i="7"/>
  <c r="B225" i="7" l="1"/>
  <c r="B163" i="7"/>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B224" i="7" s="1"/>
</calcChain>
</file>

<file path=xl/sharedStrings.xml><?xml version="1.0" encoding="utf-8"?>
<sst xmlns="http://schemas.openxmlformats.org/spreadsheetml/2006/main" count="5274" uniqueCount="259">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</sst>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75" fillId="0" borderId="0">
      <alignment horizontal="center" vertical="top" wrapText="1"/>
    </xf>
    <xf numFmtId="0" fontId="225" fillId="0" borderId="0">
      <alignment horizontal="centerContinuous" vertical="center"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52">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44" xfId="2" applyFont="1" applyFill="1" applyBorder="1"/>
    <xf numFmtId="0" fontId="7" fillId="6" borderId="44" xfId="2" applyFont="1" applyFill="1" applyBorder="1" applyAlignment="1">
      <alignment vertical="center"/>
    </xf>
    <xf numFmtId="0" fontId="7" fillId="6" borderId="0" xfId="2" applyFont="1" applyFill="1" applyAlignment="1">
      <alignment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center" wrapText="1"/>
    </xf>
    <xf numFmtId="0" fontId="9" fillId="6" borderId="19"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left"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й заголовок" xfId="40231"/>
    <cellStyle name="Мой заголовок листа" xfId="40232"/>
    <cellStyle name="Мои наименования показателей" xfId="40233"/>
    <cellStyle name="Мои наименования показателей 2" xfId="40234"/>
    <cellStyle name="Мои наименования показателей 2 2" xfId="40235"/>
    <cellStyle name="Мои наименования показателей 3" xfId="40236"/>
    <cellStyle name="Мои наименования показателей 3 2" xfId="40237"/>
    <cellStyle name="Мои наименования показателей 4" xfId="40238"/>
    <cellStyle name="Мои наименования показателей 4 2" xfId="40239"/>
    <cellStyle name="Мои наименования показателей 5" xfId="40240"/>
    <cellStyle name="Мои наименования показателей 5 2" xfId="40241"/>
    <cellStyle name="Мои наименования показателей_BALANCE.TBO.1.71"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4.xml"/><Relationship Id="rId39" Type="http://schemas.openxmlformats.org/officeDocument/2006/relationships/externalLink" Target="externalLinks/externalLink17.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12.xml"/><Relationship Id="rId42" Type="http://schemas.openxmlformats.org/officeDocument/2006/relationships/externalLink" Target="externalLinks/externalLink20.xml"/><Relationship Id="rId47" Type="http://schemas.openxmlformats.org/officeDocument/2006/relationships/externalLink" Target="externalLinks/externalLink25.xml"/><Relationship Id="rId50"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3.xml"/><Relationship Id="rId33" Type="http://schemas.openxmlformats.org/officeDocument/2006/relationships/externalLink" Target="externalLinks/externalLink11.xml"/><Relationship Id="rId38" Type="http://schemas.openxmlformats.org/officeDocument/2006/relationships/externalLink" Target="externalLinks/externalLink16.xml"/><Relationship Id="rId46" Type="http://schemas.openxmlformats.org/officeDocument/2006/relationships/externalLink" Target="externalLinks/externalLink2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7.xml"/><Relationship Id="rId41"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2.xml"/><Relationship Id="rId32" Type="http://schemas.openxmlformats.org/officeDocument/2006/relationships/externalLink" Target="externalLinks/externalLink10.xml"/><Relationship Id="rId37" Type="http://schemas.openxmlformats.org/officeDocument/2006/relationships/externalLink" Target="externalLinks/externalLink15.xml"/><Relationship Id="rId40" Type="http://schemas.openxmlformats.org/officeDocument/2006/relationships/externalLink" Target="externalLinks/externalLink18.xml"/><Relationship Id="rId45" Type="http://schemas.openxmlformats.org/officeDocument/2006/relationships/externalLink" Target="externalLinks/externalLink2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1.xml"/><Relationship Id="rId28" Type="http://schemas.openxmlformats.org/officeDocument/2006/relationships/externalLink" Target="externalLinks/externalLink6.xml"/><Relationship Id="rId36" Type="http://schemas.openxmlformats.org/officeDocument/2006/relationships/externalLink" Target="externalLinks/externalLink14.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9.xml"/><Relationship Id="rId44" Type="http://schemas.openxmlformats.org/officeDocument/2006/relationships/externalLink" Target="externalLinks/externalLink22.xml"/><Relationship Id="rId52"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5.xml"/><Relationship Id="rId30" Type="http://schemas.openxmlformats.org/officeDocument/2006/relationships/externalLink" Target="externalLinks/externalLink8.xml"/><Relationship Id="rId35" Type="http://schemas.openxmlformats.org/officeDocument/2006/relationships/externalLink" Target="externalLinks/externalLink13.xml"/><Relationship Id="rId43" Type="http://schemas.openxmlformats.org/officeDocument/2006/relationships/externalLink" Target="externalLinks/externalLink21.xml"/><Relationship Id="rId48" Type="http://schemas.openxmlformats.org/officeDocument/2006/relationships/externalLink" Target="externalLinks/externalLink26.xml"/><Relationship Id="rId8" Type="http://schemas.openxmlformats.org/officeDocument/2006/relationships/worksheet" Target="worksheets/sheet8.xml"/><Relationship Id="rId51"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88;.&#1087;.%20&#1050;&#1088;&#1072;&#1089;&#1085;&#1086;&#1086;&#1073;&#1089;&#1082;.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41;&#1072;&#1088;&#1099;&#1096;&#1077;&#107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41;&#1072;&#1088;&#1099;&#1096;&#1077;&#1074;&#1089;&#1082;&#1080;&#1081;%20&#1075;&#1072;&#107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41;&#1077;&#1088;&#1077;&#1079;&#1086;&#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20&#1064;&#1072;&#1073;&#1083;&#1086;&#1085;%20&#1062;&#1040;&#1050;_&#1091;&#1075;&#1086;&#1083;&#1100;_&#1062;&#1055;%20(&#1073;&#1077;&#1079;%20&#1053;&#1044;&#1057;)_2&#1087;&#1075;2023&#1075;_&#1084;&#1077;&#1085;&#1077;&#1077;%2050%20&#1090;&#1099;&#1089;%20&#1041;&#1086;&#1088;&#1086;&#1074;&#1089;&#1082;&#1086;&#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42;&#1077;&#1088;&#1093;-&#1058;&#1091;&#1083;&#1080;&#1085;&#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42;&#1077;&#1088;&#1093;-&#1058;&#1091;&#1083;&#1080;&#1085;&#1089;&#1082;&#1080;&#1081;%20&#1091;&#1075;&#1086;&#1083;&#1100;.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0;&#1072;&#1084;&#1077;&#1085;&#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50;&#1088;&#1080;&#1074;&#1086;&#1076;&#1072;&#1085;&#1086;&#1074;&#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0;&#1091;&#1073;&#1086;&#1074;&#1080;&#1085;&#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0;&#1091;&#1076;&#1088;&#1103;&#1096;&#1086;&#1074;&#1089;&#1082;&#1080;&#1081;.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2;&#1080;&#1095;&#1091;&#1088;&#1080;&#1085;&#1089;&#1082;&#1080;&#1081;.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2;&#1086;&#1088;&#1089;&#1082;&#1086;&#1081;.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52;&#1086;&#1095;&#1080;&#1097;&#1077;&#1085;&#1089;&#1082;&#1080;&#1081;%20&#1091;&#1075;&#1086;&#1083;&#1100;.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2;&#1086;&#1095;&#1080;&#1097;&#1077;&#1085;&#1089;&#1082;&#1080;&#1081;%20&#1075;&#1072;&#107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3;&#1086;&#1074;&#1086;&#1083;&#1091;&#1075;&#1086;&#1074;&#1089;&#1082;&#1086;&#1081;.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5;&#1083;&#1086;&#1090;&#1085;&#1080;&#1082;&#1086;&#1074;&#1089;&#1082;&#1080;&#1081;.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56;&#1072;&#1079;&#1076;&#1086;&#1083;&#1100;&#1085;&#1077;&#1085;&#1089;&#1082;&#1080;&#1081;.xlsm"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7;&#1090;&#1072;&#1085;&#1094;&#1080;&#1086;&#1085;&#1085;&#1099;&#1081;%20&#1075;&#1072;&#1079;.xlsm"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57;&#1090;&#1072;&#1085;&#1094;&#1080;&#1086;&#1085;&#1085;&#1099;&#1081;%20&#1091;&#1075;&#1086;&#1083;&#1100;.xlsm"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20&#1058;&#1086;&#1083;&#1084;&#1072;&#1095;&#1077;&#1074;&#1089;&#1082;&#1080;&#1081;.xlsm"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20&#1071;&#1088;&#1082;&#1086;&#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Титульный"/>
      <sheetName val="TSheet"/>
      <sheetName val="к2"/>
      <sheetName val="Контроль"/>
      <sheetName val="tsh"/>
      <sheetName val="Анализ"/>
      <sheetName val="11"/>
      <sheetName val="ORGS"/>
      <sheetName val="Обнулить"/>
      <sheetName val="TEHSHEET"/>
      <sheetName val="REESTR_MO"/>
      <sheetName val="таблица7 (технол.нужды)"/>
      <sheetName val="таблица7 (хоз.нужды)"/>
      <sheetName val="REESTR"/>
      <sheetName val="FST5"/>
      <sheetName val="СЛ7"/>
      <sheetName val="СЛ3"/>
      <sheetName val="Титульный лист"/>
      <sheetName val="Инструкция"/>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Краснообск</v>
          </cell>
        </row>
        <row r="15">
          <cell r="D15" t="str">
            <v/>
          </cell>
        </row>
        <row r="16">
          <cell r="D16" t="str">
            <v>Код ОКТМО</v>
          </cell>
          <cell r="E16" t="str">
            <v>50640154051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sheetData sheetId="24">
        <row r="12">
          <cell r="F12">
            <v>259.08449510966852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37.330460000000002</v>
          </cell>
        </row>
        <row r="27">
          <cell r="F27">
            <v>1296.7467102743137</v>
          </cell>
        </row>
        <row r="28">
          <cell r="F28">
            <v>995.96521526444985</v>
          </cell>
        </row>
        <row r="29">
          <cell r="F29">
            <v>300.78149500986387</v>
          </cell>
        </row>
        <row r="30">
          <cell r="F30">
            <v>504.15323753469221</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18.8</v>
          </cell>
        </row>
        <row r="19">
          <cell r="E19">
            <v>13.82</v>
          </cell>
        </row>
      </sheetData>
      <sheetData sheetId="28" refreshError="1"/>
      <sheetData sheetId="29">
        <row r="12">
          <cell r="F12">
            <v>58.164042273848409</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Барышево, Новосибирский муниципальный район </v>
          </cell>
        </row>
        <row r="15">
          <cell r="D15" t="str">
            <v/>
          </cell>
        </row>
        <row r="16">
          <cell r="D16" t="str">
            <v>Код ОКТМО</v>
          </cell>
          <cell r="E16" t="str">
            <v>50640402101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617.19180318197039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2773.0695591037916</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479.5953975722918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109.08405</v>
          </cell>
        </row>
        <row r="27">
          <cell r="F27">
            <v>1851.0127650478018</v>
          </cell>
        </row>
        <row r="28">
          <cell r="F28">
            <v>1421.6687903592947</v>
          </cell>
        </row>
        <row r="29">
          <cell r="F29">
            <v>429.3439746885071</v>
          </cell>
        </row>
        <row r="30">
          <cell r="F30">
            <v>1678.758717739106</v>
          </cell>
        </row>
        <row r="33">
          <cell r="F33">
            <v>916.4556565846292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29.27</v>
          </cell>
        </row>
        <row r="19">
          <cell r="E19">
            <v>31.54</v>
          </cell>
        </row>
      </sheetData>
      <sheetData sheetId="29" refreshError="1"/>
      <sheetData sheetId="30">
        <row r="12">
          <cell r="F12">
            <v>71.147861198534216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Барышево, Новосибирский муниципальный район </v>
          </cell>
        </row>
        <row r="15">
          <cell r="D15" t="str">
            <v/>
          </cell>
        </row>
        <row r="16">
          <cell r="D16" t="str">
            <v>Код ОКТМО</v>
          </cell>
          <cell r="E16" t="str">
            <v>50640402101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sheetData sheetId="24">
        <row r="12">
          <cell r="F12">
            <v>260.65625049662776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58.852059999999994</v>
          </cell>
        </row>
        <row r="27">
          <cell r="F27">
            <v>1296.7467102743137</v>
          </cell>
        </row>
        <row r="28">
          <cell r="F28">
            <v>995.96521526444985</v>
          </cell>
        </row>
        <row r="29">
          <cell r="F29">
            <v>300.78149500986387</v>
          </cell>
        </row>
        <row r="30">
          <cell r="F30">
            <v>505.76480359949664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29.27</v>
          </cell>
        </row>
        <row r="19">
          <cell r="E19">
            <v>31.54</v>
          </cell>
        </row>
      </sheetData>
      <sheetData sheetId="28" refreshError="1"/>
      <sheetData sheetId="29">
        <row r="12">
          <cell r="F12">
            <v>58.195477381587587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поселок Железнодорожный, Новосибирский муниципальный район </v>
          </cell>
        </row>
        <row r="15">
          <cell r="D15" t="str">
            <v/>
          </cell>
        </row>
        <row r="16">
          <cell r="D16" t="str">
            <v>Код ОКТМО</v>
          </cell>
          <cell r="E16" t="str">
            <v>50640404101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695.58772759307203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3125.3058500289503</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480.93080595475607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54.112439999999999</v>
          </cell>
        </row>
        <row r="27">
          <cell r="F27">
            <v>1851.0127650478018</v>
          </cell>
        </row>
        <row r="28">
          <cell r="F28">
            <v>1421.6687903592947</v>
          </cell>
        </row>
        <row r="29">
          <cell r="F29">
            <v>429.3439746885071</v>
          </cell>
        </row>
        <row r="30">
          <cell r="F30">
            <v>1788.8863834729605</v>
          </cell>
        </row>
        <row r="33">
          <cell r="F33">
            <v>1030.6996696720105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12.8</v>
          </cell>
        </row>
        <row r="19">
          <cell r="E19">
            <v>45.21</v>
          </cell>
        </row>
      </sheetData>
      <sheetData sheetId="29" refreshError="1"/>
      <sheetData sheetId="30">
        <row r="12">
          <cell r="F12">
            <v>72.742487854405525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 Шаблон ЦАК_уголь_ЦП (без НДС)"/>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Боровое, Новосибирский муниципальный район </v>
          </cell>
        </row>
        <row r="15">
          <cell r="D15" t="str">
            <v/>
          </cell>
        </row>
        <row r="16">
          <cell r="D16" t="str">
            <v>Код ОКТМО</v>
          </cell>
          <cell r="E16" t="str">
            <v>50640407101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514.94676889622713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2313.6781824109253</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468.1031989079799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51.693179999999998</v>
          </cell>
        </row>
        <row r="27">
          <cell r="F27">
            <v>1851.0127650478018</v>
          </cell>
        </row>
        <row r="28">
          <cell r="F28">
            <v>1421.6687903592947</v>
          </cell>
        </row>
        <row r="29">
          <cell r="F29">
            <v>429.3439746885071</v>
          </cell>
        </row>
        <row r="30">
          <cell r="F30">
            <v>1525.4626123108669</v>
          </cell>
        </row>
        <row r="33">
          <cell r="F33">
            <v>767.45705592005106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14.74</v>
          </cell>
        </row>
      </sheetData>
      <sheetData sheetId="29" refreshError="1"/>
      <sheetData sheetId="30">
        <row r="12">
          <cell r="F12">
            <v>68.8731165395331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Верх-Тула, Новосибирский муниципальный район</v>
          </cell>
        </row>
        <row r="15">
          <cell r="D15" t="str">
            <v/>
          </cell>
        </row>
        <row r="16">
          <cell r="D16" t="str">
            <v>Код ОКТМО</v>
          </cell>
          <cell r="E16" t="str">
            <v>50640410101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sheetData sheetId="24">
        <row r="12">
          <cell r="F12">
            <v>259.77817268682895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46.828789999999998</v>
          </cell>
        </row>
        <row r="27">
          <cell r="F27">
            <v>1296.7467102743137</v>
          </cell>
        </row>
        <row r="28">
          <cell r="F28">
            <v>995.96521526444985</v>
          </cell>
        </row>
        <row r="29">
          <cell r="F29">
            <v>300.78149500986387</v>
          </cell>
        </row>
        <row r="30">
          <cell r="F30">
            <v>504.8644851324691</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23.79</v>
          </cell>
        </row>
        <row r="19">
          <cell r="E19">
            <v>11.87</v>
          </cell>
        </row>
      </sheetData>
      <sheetData sheetId="28" refreshError="1"/>
      <sheetData sheetId="29">
        <row r="12">
          <cell r="F12">
            <v>58.177915825391608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Верх-Тула, Новосибирский муниципальный район</v>
          </cell>
        </row>
        <row r="15">
          <cell r="D15" t="str">
            <v/>
          </cell>
        </row>
        <row r="16">
          <cell r="D16" t="str">
            <v>Код ОКТМО</v>
          </cell>
          <cell r="E16" t="str">
            <v>50640410101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648.79979517892946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2915.0856389986834</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480.05318951738798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85.853009999999998</v>
          </cell>
        </row>
        <row r="27">
          <cell r="F27">
            <v>1851.0127650478018</v>
          </cell>
        </row>
        <row r="28">
          <cell r="F28">
            <v>1421.6687903592947</v>
          </cell>
        </row>
        <row r="29">
          <cell r="F29">
            <v>429.3439746885071</v>
          </cell>
        </row>
        <row r="30">
          <cell r="F30">
            <v>1723.0805187067294</v>
          </cell>
        </row>
        <row r="33">
          <cell r="F33">
            <v>962.51702876043942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23.79</v>
          </cell>
        </row>
        <row r="19">
          <cell r="E19">
            <v>11.87</v>
          </cell>
        </row>
      </sheetData>
      <sheetData sheetId="29" refreshError="1"/>
      <sheetData sheetId="30">
        <row r="12">
          <cell r="F12">
            <v>71.789176877375311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поселок Восход, Новосибирский муниципальный район </v>
          </cell>
        </row>
        <row r="15">
          <cell r="D15" t="str">
            <v/>
          </cell>
        </row>
        <row r="16">
          <cell r="D16" t="str">
            <v>Код ОКТМО</v>
          </cell>
          <cell r="E16" t="str">
            <v>50640416101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259.5069540313545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43.11507000000001</v>
          </cell>
        </row>
        <row r="27">
          <cell r="F27">
            <v>1296.7467102743137</v>
          </cell>
        </row>
        <row r="28">
          <cell r="F28">
            <v>995.96521526444985</v>
          </cell>
        </row>
        <row r="29">
          <cell r="F29">
            <v>300.78149500986387</v>
          </cell>
        </row>
        <row r="30">
          <cell r="F30">
            <v>504.58639683391385</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21.1</v>
          </cell>
        </row>
        <row r="19">
          <cell r="E19">
            <v>32.19</v>
          </cell>
        </row>
      </sheetData>
      <sheetData sheetId="28" refreshError="1"/>
      <sheetData sheetId="29">
        <row r="12">
          <cell r="F12">
            <v>58.172491452282124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Криводановка, Новосибирский муниципальный район </v>
          </cell>
        </row>
        <row r="15">
          <cell r="D15" t="str">
            <v/>
          </cell>
        </row>
        <row r="16">
          <cell r="D16" t="str">
            <v>Код ОКТМО</v>
          </cell>
          <cell r="E16" t="str">
            <v>50640419101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sheetData sheetId="24">
        <row r="12">
          <cell r="F12">
            <v>258.36851029495307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27.526683333333335</v>
          </cell>
        </row>
        <row r="27">
          <cell r="F27">
            <v>1296.7467102743137</v>
          </cell>
        </row>
        <row r="28">
          <cell r="F28">
            <v>995.96521526444985</v>
          </cell>
        </row>
        <row r="29">
          <cell r="F29">
            <v>300.78149500986387</v>
          </cell>
        </row>
        <row r="30">
          <cell r="F30">
            <v>503.41911768380191</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13.3</v>
          </cell>
        </row>
        <row r="19">
          <cell r="E19">
            <v>25.083333333333336</v>
          </cell>
        </row>
      </sheetData>
      <sheetData sheetId="28"/>
      <sheetData sheetId="29">
        <row r="12">
          <cell r="F12">
            <v>58.149722577554094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Кубовая, Новосибирский муниципальный район</v>
          </cell>
        </row>
        <row r="15">
          <cell r="D15" t="str">
            <v/>
          </cell>
        </row>
        <row r="16">
          <cell r="D16" t="str">
            <v>Код ОКТМО</v>
          </cell>
          <cell r="E16" t="str">
            <v xml:space="preserve"> 50640422101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258.33075275024254</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27.009679999999999</v>
          </cell>
        </row>
        <row r="27">
          <cell r="F27">
            <v>1296.7467102743137</v>
          </cell>
        </row>
        <row r="28">
          <cell r="F28">
            <v>995.96521526444985</v>
          </cell>
        </row>
        <row r="29">
          <cell r="F29">
            <v>300.78149500986387</v>
          </cell>
        </row>
        <row r="30">
          <cell r="F30">
            <v>503.38040378579285</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13.56</v>
          </cell>
        </row>
        <row r="19">
          <cell r="E19">
            <v>11.12</v>
          </cell>
        </row>
      </sheetData>
      <sheetData sheetId="28" refreshError="1"/>
      <sheetData sheetId="29">
        <row r="12">
          <cell r="F12">
            <v>58.148967426659887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дачный поселок Кудряшовский, Новосибирский муниципальный район</v>
          </cell>
        </row>
        <row r="15">
          <cell r="D15" t="str">
            <v/>
          </cell>
        </row>
        <row r="16">
          <cell r="D16" t="str">
            <v>Код ОКТМО</v>
          </cell>
          <cell r="E16" t="str">
            <v xml:space="preserve"> 50640425101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258.60424633789228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503.66082463782544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15.47</v>
          </cell>
        </row>
        <row r="19">
          <cell r="E19">
            <v>11.87</v>
          </cell>
        </row>
      </sheetData>
      <sheetData sheetId="28" refreshError="1"/>
      <sheetData sheetId="29">
        <row r="12">
          <cell r="F12">
            <v>58.15443729841288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поселок Мичуринский, Новосибирский муниципальный район </v>
          </cell>
        </row>
        <row r="15">
          <cell r="D15" t="str">
            <v/>
          </cell>
        </row>
        <row r="16">
          <cell r="D16" t="str">
            <v>Код ОКТМО</v>
          </cell>
          <cell r="E16" t="str">
            <v>50640428101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258.60424633789228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503.66082463782544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15.47</v>
          </cell>
        </row>
        <row r="19">
          <cell r="E19">
            <v>11.87</v>
          </cell>
        </row>
      </sheetData>
      <sheetData sheetId="28" refreshError="1"/>
      <sheetData sheetId="29">
        <row r="12">
          <cell r="F12">
            <v>58.15443729841288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Ленинское, Новосибирский муниципальный район </v>
          </cell>
        </row>
        <row r="15">
          <cell r="D15" t="str">
            <v/>
          </cell>
        </row>
        <row r="16">
          <cell r="D16" t="str">
            <v>Код ОКТМО</v>
          </cell>
          <cell r="E16" t="str">
            <v>50640429101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258.70865805642745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32.184229999999999</v>
          </cell>
        </row>
        <row r="27">
          <cell r="F27">
            <v>1296.7467102743137</v>
          </cell>
        </row>
        <row r="28">
          <cell r="F28">
            <v>995.96521526444985</v>
          </cell>
        </row>
        <row r="29">
          <cell r="F29">
            <v>300.78149500986387</v>
          </cell>
        </row>
        <row r="30">
          <cell r="F30">
            <v>503.76788097989714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16.21</v>
          </cell>
        </row>
        <row r="19">
          <cell r="E19">
            <v>11.87</v>
          </cell>
        </row>
      </sheetData>
      <sheetData sheetId="28" refreshError="1"/>
      <sheetData sheetId="29">
        <row r="12">
          <cell r="F12">
            <v>58.156525532783583</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дачный поселок Мочище, Новосибирский муниципальный район </v>
          </cell>
        </row>
        <row r="15">
          <cell r="D15" t="str">
            <v/>
          </cell>
        </row>
        <row r="16">
          <cell r="D16" t="str">
            <v>Код ОКТМО</v>
          </cell>
          <cell r="E16" t="str">
            <v>50640431101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657.11605258205464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2952.4509444537834</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479.9874190314498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77.275469999999999</v>
          </cell>
        </row>
        <row r="27">
          <cell r="F27">
            <v>1851.0127650478018</v>
          </cell>
        </row>
        <row r="28">
          <cell r="F28">
            <v>1421.6687903592947</v>
          </cell>
        </row>
        <row r="29">
          <cell r="F29">
            <v>429.3439746885071</v>
          </cell>
        </row>
        <row r="30">
          <cell r="F30">
            <v>1734.557251852819</v>
          </cell>
        </row>
        <row r="33">
          <cell r="F33">
            <v>974.6360595230401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20.93</v>
          </cell>
        </row>
        <row r="19">
          <cell r="E19">
            <v>18.989999999999998</v>
          </cell>
        </row>
      </sheetData>
      <sheetData sheetId="29" refreshError="1"/>
      <sheetData sheetId="30">
        <row r="12">
          <cell r="F12">
            <v>71.954186615719053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дачный поселок Мочище, Новосибирский муниципальный район </v>
          </cell>
        </row>
        <row r="15">
          <cell r="D15" t="str">
            <v/>
          </cell>
        </row>
        <row r="16">
          <cell r="D16" t="str">
            <v>Код ОКТМО</v>
          </cell>
          <cell r="E16" t="str">
            <v>50640431101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sheetData sheetId="24">
        <row r="12">
          <cell r="F12">
            <v>259.41259437267831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41.823029999999996</v>
          </cell>
        </row>
        <row r="27">
          <cell r="F27">
            <v>1296.7467102743137</v>
          </cell>
        </row>
        <row r="28">
          <cell r="F28">
            <v>995.96521526444985</v>
          </cell>
        </row>
        <row r="29">
          <cell r="F29">
            <v>300.78149500986387</v>
          </cell>
        </row>
        <row r="30">
          <cell r="F30">
            <v>504.48964715831494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20.93</v>
          </cell>
        </row>
        <row r="19">
          <cell r="E19">
            <v>18.989999999999998</v>
          </cell>
        </row>
      </sheetData>
      <sheetData sheetId="28" refreshError="1"/>
      <sheetData sheetId="29">
        <row r="12">
          <cell r="F12">
            <v>58.170604259108607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Новолуговое, Новосибирский муниципальный район </v>
          </cell>
        </row>
        <row r="15">
          <cell r="D15" t="str">
            <v/>
          </cell>
        </row>
        <row r="16">
          <cell r="D16" t="str">
            <v>Код ОКТМО</v>
          </cell>
          <cell r="E16" t="str">
            <v>50640434101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258.60424633789228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503.66082463782544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15.47</v>
          </cell>
        </row>
        <row r="19">
          <cell r="E19">
            <v>11.87</v>
          </cell>
        </row>
      </sheetData>
      <sheetData sheetId="28" refreshError="1"/>
      <sheetData sheetId="29">
        <row r="12">
          <cell r="F12">
            <v>58.15443729841288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Плотниково, Новосибирский муниципальный район </v>
          </cell>
        </row>
        <row r="15">
          <cell r="D15" t="str">
            <v/>
          </cell>
        </row>
        <row r="16">
          <cell r="D16" t="str">
            <v>Код ОКТМО</v>
          </cell>
          <cell r="E16" t="str">
            <v>50640437101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259.60955968014031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44.520020000000002</v>
          </cell>
        </row>
        <row r="27">
          <cell r="F27">
            <v>1296.7467102743137</v>
          </cell>
        </row>
        <row r="28">
          <cell r="F28">
            <v>995.96521526444985</v>
          </cell>
        </row>
        <row r="29">
          <cell r="F29">
            <v>300.78149500986387</v>
          </cell>
        </row>
        <row r="30">
          <cell r="F30">
            <v>504.69160136065659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22.68</v>
          </cell>
        </row>
        <row r="19">
          <cell r="E19">
            <v>9.6199999999999992</v>
          </cell>
        </row>
      </sheetData>
      <sheetData sheetId="28" refreshError="1"/>
      <sheetData sheetId="29">
        <row r="12">
          <cell r="F12">
            <v>58.174543565257835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Раздольное, Новосибирский муниципальный район</v>
          </cell>
        </row>
        <row r="15">
          <cell r="D15" t="str">
            <v/>
          </cell>
        </row>
        <row r="16">
          <cell r="D16" t="str">
            <v>Код ОКТМО</v>
          </cell>
          <cell r="E16" t="str">
            <v xml:space="preserve"> 50640438101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605.91260002061301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2722.3916097589499</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477.6982510914508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94.420709999999985</v>
          </cell>
        </row>
        <row r="27">
          <cell r="F27">
            <v>1851.0127650478018</v>
          </cell>
        </row>
        <row r="28">
          <cell r="F28">
            <v>1421.6687903592947</v>
          </cell>
        </row>
        <row r="29">
          <cell r="F29">
            <v>429.3439746885071</v>
          </cell>
        </row>
        <row r="30">
          <cell r="F30">
            <v>1661.2238651800171</v>
          </cell>
        </row>
        <row r="33">
          <cell r="F33">
            <v>900.01881444951857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25.77</v>
          </cell>
        </row>
        <row r="19">
          <cell r="E19">
            <v>19.829999999999998</v>
          </cell>
        </row>
      </sheetData>
      <sheetData sheetId="29" refreshError="1"/>
      <sheetData sheetId="30">
        <row r="12">
          <cell r="F12">
            <v>70.884334205690237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станция Мочище, Новосибирский муниципальный район </v>
          </cell>
        </row>
        <row r="15">
          <cell r="D15" t="str">
            <v/>
          </cell>
        </row>
        <row r="16">
          <cell r="D16" t="str">
            <v>Код ОКТМО</v>
          </cell>
          <cell r="E16" t="str">
            <v>50640440101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sheetData sheetId="24">
        <row r="12">
          <cell r="F12">
            <v>259.8014573297005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47.147619999999996</v>
          </cell>
        </row>
        <row r="27">
          <cell r="F27">
            <v>1296.7467102743137</v>
          </cell>
        </row>
        <row r="28">
          <cell r="F28">
            <v>995.96521526444985</v>
          </cell>
        </row>
        <row r="29">
          <cell r="F29">
            <v>300.78149500986387</v>
          </cell>
        </row>
        <row r="30">
          <cell r="F30">
            <v>504.88835954740301</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23.57</v>
          </cell>
        </row>
        <row r="19">
          <cell r="E19">
            <v>22.06</v>
          </cell>
        </row>
      </sheetData>
      <sheetData sheetId="28" refreshError="1"/>
      <sheetData sheetId="29">
        <row r="12">
          <cell r="F12">
            <v>58.178381518249047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станция Мочище, Новосибирский муниципальный район </v>
          </cell>
        </row>
        <row r="15">
          <cell r="D15" t="str">
            <v/>
          </cell>
          <cell r="E15" t="str">
            <v xml:space="preserve">станция Мочище, Новосибирский муниципальный район </v>
          </cell>
        </row>
        <row r="16">
          <cell r="D16" t="str">
            <v>Код ОКТМО</v>
          </cell>
          <cell r="E16" t="str">
            <v>50640440101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683.33733758630206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3070.2643160361417</v>
          </cell>
        </row>
      </sheetData>
      <sheetData sheetId="9" refreshError="1"/>
      <sheetData sheetId="10" refreshError="1"/>
      <sheetData sheetId="11"/>
      <sheetData sheetId="12" refreshError="1"/>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482.56955896129267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87.160230000000013</v>
          </cell>
        </row>
        <row r="27">
          <cell r="F27">
            <v>1851.0127650478018</v>
          </cell>
        </row>
        <row r="28">
          <cell r="F28">
            <v>1421.6687903592947</v>
          </cell>
        </row>
        <row r="29">
          <cell r="F29">
            <v>429.3439746885071</v>
          </cell>
        </row>
        <row r="30">
          <cell r="F30">
            <v>1773.5089225974243</v>
          </cell>
        </row>
        <row r="33">
          <cell r="F33">
            <v>1012.8475462769227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23.57</v>
          </cell>
        </row>
        <row r="19">
          <cell r="E19">
            <v>22.06</v>
          </cell>
        </row>
      </sheetData>
      <sheetData sheetId="29" refreshError="1"/>
      <sheetData sheetId="30">
        <row r="12">
          <cell r="F12">
            <v>72.530255114400859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Толмачево, Новосибирский муниципальный район </v>
          </cell>
        </row>
        <row r="15">
          <cell r="D15" t="str">
            <v/>
          </cell>
        </row>
        <row r="16">
          <cell r="D16" t="str">
            <v>Код ОКТМО</v>
          </cell>
          <cell r="E16" t="str">
            <v>50640443101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1337.1646821037446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141.64867100230373</v>
          </cell>
        </row>
        <row r="29">
          <cell r="F29">
            <v>0.18916419899999998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317.6025648848447</v>
          </cell>
        </row>
        <row r="14">
          <cell r="F14">
            <v>4199.9055432306041</v>
          </cell>
        </row>
        <row r="15">
          <cell r="F15">
            <v>0.2</v>
          </cell>
        </row>
        <row r="18">
          <cell r="F18">
            <v>15</v>
          </cell>
        </row>
        <row r="19">
          <cell r="F19">
            <v>2638.2577020926874</v>
          </cell>
        </row>
        <row r="20">
          <cell r="F20">
            <v>2.1999999999999999E-2</v>
          </cell>
        </row>
        <row r="21">
          <cell r="F21">
            <v>10</v>
          </cell>
        </row>
        <row r="22">
          <cell r="F22">
            <v>0.42494601300691121</v>
          </cell>
        </row>
        <row r="23">
          <cell r="F23">
            <v>3.0000000000000001E-3</v>
          </cell>
        </row>
        <row r="24">
          <cell r="F24">
            <v>141.64867100230373</v>
          </cell>
        </row>
      </sheetData>
      <sheetData sheetId="23">
        <row r="12">
          <cell r="F12" t="str">
            <v xml:space="preserve">Налоговый кодекс Российской Федерации </v>
          </cell>
        </row>
      </sheetData>
      <sheetData sheetId="24">
        <row r="12">
          <cell r="F12">
            <v>260.92090069624834</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62.475839999999998</v>
          </cell>
        </row>
        <row r="27">
          <cell r="F27">
            <v>1296.7467102743137</v>
          </cell>
        </row>
        <row r="28">
          <cell r="F28">
            <v>995.96521526444985</v>
          </cell>
        </row>
        <row r="29">
          <cell r="F29">
            <v>300.78149500986387</v>
          </cell>
        </row>
        <row r="30">
          <cell r="F30">
            <v>506.03615707109338</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31.29</v>
          </cell>
        </row>
        <row r="19">
          <cell r="E19">
            <v>27.72</v>
          </cell>
        </row>
      </sheetData>
      <sheetData sheetId="28" refreshError="1"/>
      <sheetData sheetId="29">
        <row r="12">
          <cell r="F12">
            <v>58.20077038558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Ярково, Новосибирский муниципальный район</v>
          </cell>
        </row>
        <row r="15">
          <cell r="D15" t="str">
            <v/>
          </cell>
        </row>
        <row r="16">
          <cell r="D16" t="str">
            <v>Код ОКТМО</v>
          </cell>
          <cell r="E16" t="str">
            <v xml:space="preserve"> 50640446101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602.5370654619162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2707.2251864815084</v>
          </cell>
        </row>
      </sheetData>
      <sheetData sheetId="9"/>
      <sheetData sheetId="10"/>
      <sheetData sheetId="11"/>
      <sheetData sheetId="12"/>
      <sheetData sheetId="13">
        <row r="12">
          <cell r="F12">
            <v>1988.145782203278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1189.8488364193513</v>
          </cell>
        </row>
        <row r="27">
          <cell r="F27">
            <v>0.18916419899999998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sheetData sheetId="23">
        <row r="12">
          <cell r="F12">
            <v>472.46007696916996</v>
          </cell>
        </row>
        <row r="14">
          <cell r="F14">
            <v>6054.0090724656739</v>
          </cell>
        </row>
        <row r="15">
          <cell r="F15">
            <v>0.2</v>
          </cell>
        </row>
        <row r="18">
          <cell r="F18">
            <v>15</v>
          </cell>
        </row>
        <row r="19">
          <cell r="F19">
            <v>3778.1614077800232</v>
          </cell>
        </row>
        <row r="20">
          <cell r="F20">
            <v>2.1999999999999999E-2</v>
          </cell>
        </row>
        <row r="21">
          <cell r="F21">
            <v>10</v>
          </cell>
        </row>
        <row r="22">
          <cell r="F22">
            <v>3.5695465092580538</v>
          </cell>
        </row>
        <row r="23">
          <cell r="F23">
            <v>3.0000000000000001E-3</v>
          </cell>
        </row>
        <row r="24">
          <cell r="F24">
            <v>1189.8488364193513</v>
          </cell>
        </row>
      </sheetData>
      <sheetData sheetId="24"/>
      <sheetData sheetId="25">
        <row r="12">
          <cell r="F12">
            <v>474.20961562354915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51.363479999999996</v>
          </cell>
        </row>
        <row r="27">
          <cell r="F27">
            <v>1851.0127650478018</v>
          </cell>
        </row>
        <row r="28">
          <cell r="F28">
            <v>1421.6687903592947</v>
          </cell>
        </row>
        <row r="29">
          <cell r="F29">
            <v>429.3439746885071</v>
          </cell>
        </row>
        <row r="30">
          <cell r="F30">
            <v>1653.0806178940816</v>
          </cell>
        </row>
        <row r="33">
          <cell r="F33">
            <v>895.09974987827343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14.08</v>
          </cell>
        </row>
        <row r="19">
          <cell r="E19">
            <v>9.73</v>
          </cell>
        </row>
      </sheetData>
      <sheetData sheetId="29"/>
      <sheetData sheetId="30">
        <row r="12">
          <cell r="F12">
            <v>70.747050805158281</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49" width="9.140625" style="2"/>
    <col min="150" max="231" width="0" style="2" hidden="1" customWidth="1"/>
    <col min="232" max="240" width="9.140625" style="2"/>
    <col min="241" max="241" width="3.7109375" style="2" customWidth="1"/>
    <col min="242" max="242" width="96.85546875" style="2" customWidth="1"/>
    <col min="243" max="243" width="30.85546875" style="2" customWidth="1"/>
    <col min="244" max="244" width="12.5703125" style="2" customWidth="1"/>
    <col min="245" max="245" width="5.140625" style="2" customWidth="1"/>
    <col min="246" max="246" width="9.140625" style="2"/>
    <col min="247" max="247" width="4.85546875" style="2" customWidth="1"/>
    <col min="248" max="248" width="30.5703125" style="2" customWidth="1"/>
    <col min="249" max="249" width="33.85546875" style="2" customWidth="1"/>
    <col min="250" max="250" width="5.140625" style="2" customWidth="1"/>
    <col min="251" max="252" width="17.5703125" style="2" customWidth="1"/>
    <col min="253" max="496" width="9.140625" style="2"/>
    <col min="497" max="497" width="3.7109375" style="2" customWidth="1"/>
    <col min="498" max="498" width="96.85546875" style="2" customWidth="1"/>
    <col min="499" max="499" width="30.85546875" style="2" customWidth="1"/>
    <col min="500" max="500" width="12.5703125" style="2" customWidth="1"/>
    <col min="501" max="501" width="5.140625" style="2" customWidth="1"/>
    <col min="502" max="502" width="9.140625" style="2"/>
    <col min="503" max="503" width="4.85546875" style="2" customWidth="1"/>
    <col min="504" max="504" width="30.5703125" style="2" customWidth="1"/>
    <col min="505" max="505" width="33.85546875" style="2" customWidth="1"/>
    <col min="506" max="506" width="5.140625" style="2" customWidth="1"/>
    <col min="507" max="508" width="17.5703125" style="2" customWidth="1"/>
    <col min="509" max="752" width="9.140625" style="2"/>
    <col min="753" max="753" width="3.7109375" style="2" customWidth="1"/>
    <col min="754" max="754" width="96.85546875" style="2" customWidth="1"/>
    <col min="755" max="755" width="30.85546875" style="2" customWidth="1"/>
    <col min="756" max="756" width="12.5703125" style="2" customWidth="1"/>
    <col min="757" max="757" width="5.140625" style="2" customWidth="1"/>
    <col min="758" max="758" width="9.140625" style="2"/>
    <col min="759" max="759" width="4.85546875" style="2" customWidth="1"/>
    <col min="760" max="760" width="30.5703125" style="2" customWidth="1"/>
    <col min="761" max="761" width="33.85546875" style="2" customWidth="1"/>
    <col min="762" max="762" width="5.140625" style="2" customWidth="1"/>
    <col min="763" max="764" width="17.5703125" style="2" customWidth="1"/>
    <col min="765" max="1008" width="9.140625" style="2"/>
    <col min="1009" max="1009" width="3.7109375" style="2" customWidth="1"/>
    <col min="1010" max="1010" width="96.85546875" style="2" customWidth="1"/>
    <col min="1011" max="1011" width="30.85546875" style="2" customWidth="1"/>
    <col min="1012" max="1012" width="12.5703125" style="2" customWidth="1"/>
    <col min="1013" max="1013" width="5.140625" style="2" customWidth="1"/>
    <col min="1014" max="1014" width="9.140625" style="2"/>
    <col min="1015" max="1015" width="4.85546875" style="2" customWidth="1"/>
    <col min="1016" max="1016" width="30.5703125" style="2" customWidth="1"/>
    <col min="1017" max="1017" width="33.85546875" style="2" customWidth="1"/>
    <col min="1018" max="1018" width="5.140625" style="2" customWidth="1"/>
    <col min="1019" max="1020" width="17.5703125" style="2" customWidth="1"/>
    <col min="1021" max="1264" width="9.140625" style="2"/>
    <col min="1265" max="1265" width="3.7109375" style="2" customWidth="1"/>
    <col min="1266" max="1266" width="96.85546875" style="2" customWidth="1"/>
    <col min="1267" max="1267" width="30.85546875" style="2" customWidth="1"/>
    <col min="1268" max="1268" width="12.5703125" style="2" customWidth="1"/>
    <col min="1269" max="1269" width="5.140625" style="2" customWidth="1"/>
    <col min="1270" max="1270" width="9.140625" style="2"/>
    <col min="1271" max="1271" width="4.85546875" style="2" customWidth="1"/>
    <col min="1272" max="1272" width="30.5703125" style="2" customWidth="1"/>
    <col min="1273" max="1273" width="33.85546875" style="2" customWidth="1"/>
    <col min="1274" max="1274" width="5.140625" style="2" customWidth="1"/>
    <col min="1275" max="1276" width="17.5703125" style="2" customWidth="1"/>
    <col min="1277" max="1520" width="9.140625" style="2"/>
    <col min="1521" max="1521" width="3.7109375" style="2" customWidth="1"/>
    <col min="1522" max="1522" width="96.85546875" style="2" customWidth="1"/>
    <col min="1523" max="1523" width="30.85546875" style="2" customWidth="1"/>
    <col min="1524" max="1524" width="12.5703125" style="2" customWidth="1"/>
    <col min="1525" max="1525" width="5.140625" style="2" customWidth="1"/>
    <col min="1526" max="1526" width="9.140625" style="2"/>
    <col min="1527" max="1527" width="4.85546875" style="2" customWidth="1"/>
    <col min="1528" max="1528" width="30.5703125" style="2" customWidth="1"/>
    <col min="1529" max="1529" width="33.85546875" style="2" customWidth="1"/>
    <col min="1530" max="1530" width="5.140625" style="2" customWidth="1"/>
    <col min="1531" max="1532" width="17.5703125" style="2" customWidth="1"/>
    <col min="1533" max="1776" width="9.140625" style="2"/>
    <col min="1777" max="1777" width="3.7109375" style="2" customWidth="1"/>
    <col min="1778" max="1778" width="96.85546875" style="2" customWidth="1"/>
    <col min="1779" max="1779" width="30.85546875" style="2" customWidth="1"/>
    <col min="1780" max="1780" width="12.5703125" style="2" customWidth="1"/>
    <col min="1781" max="1781" width="5.140625" style="2" customWidth="1"/>
    <col min="1782" max="1782" width="9.140625" style="2"/>
    <col min="1783" max="1783" width="4.85546875" style="2" customWidth="1"/>
    <col min="1784" max="1784" width="30.5703125" style="2" customWidth="1"/>
    <col min="1785" max="1785" width="33.85546875" style="2" customWidth="1"/>
    <col min="1786" max="1786" width="5.140625" style="2" customWidth="1"/>
    <col min="1787" max="1788" width="17.5703125" style="2" customWidth="1"/>
    <col min="1789" max="2032" width="9.140625" style="2"/>
    <col min="2033" max="2033" width="3.7109375" style="2" customWidth="1"/>
    <col min="2034" max="2034" width="96.85546875" style="2" customWidth="1"/>
    <col min="2035" max="2035" width="30.85546875" style="2" customWidth="1"/>
    <col min="2036" max="2036" width="12.5703125" style="2" customWidth="1"/>
    <col min="2037" max="2037" width="5.140625" style="2" customWidth="1"/>
    <col min="2038" max="2038" width="9.140625" style="2"/>
    <col min="2039" max="2039" width="4.85546875" style="2" customWidth="1"/>
    <col min="2040" max="2040" width="30.5703125" style="2" customWidth="1"/>
    <col min="2041" max="2041" width="33.85546875" style="2" customWidth="1"/>
    <col min="2042" max="2042" width="5.140625" style="2" customWidth="1"/>
    <col min="2043" max="2044" width="17.5703125" style="2" customWidth="1"/>
    <col min="2045" max="2288" width="9.140625" style="2"/>
    <col min="2289" max="2289" width="3.7109375" style="2" customWidth="1"/>
    <col min="2290" max="2290" width="96.85546875" style="2" customWidth="1"/>
    <col min="2291" max="2291" width="30.85546875" style="2" customWidth="1"/>
    <col min="2292" max="2292" width="12.5703125" style="2" customWidth="1"/>
    <col min="2293" max="2293" width="5.140625" style="2" customWidth="1"/>
    <col min="2294" max="2294" width="9.140625" style="2"/>
    <col min="2295" max="2295" width="4.85546875" style="2" customWidth="1"/>
    <col min="2296" max="2296" width="30.5703125" style="2" customWidth="1"/>
    <col min="2297" max="2297" width="33.85546875" style="2" customWidth="1"/>
    <col min="2298" max="2298" width="5.140625" style="2" customWidth="1"/>
    <col min="2299" max="2300" width="17.5703125" style="2" customWidth="1"/>
    <col min="2301" max="2544" width="9.140625" style="2"/>
    <col min="2545" max="2545" width="3.7109375" style="2" customWidth="1"/>
    <col min="2546" max="2546" width="96.85546875" style="2" customWidth="1"/>
    <col min="2547" max="2547" width="30.85546875" style="2" customWidth="1"/>
    <col min="2548" max="2548" width="12.5703125" style="2" customWidth="1"/>
    <col min="2549" max="2549" width="5.140625" style="2" customWidth="1"/>
    <col min="2550" max="2550" width="9.140625" style="2"/>
    <col min="2551" max="2551" width="4.85546875" style="2" customWidth="1"/>
    <col min="2552" max="2552" width="30.5703125" style="2" customWidth="1"/>
    <col min="2553" max="2553" width="33.85546875" style="2" customWidth="1"/>
    <col min="2554" max="2554" width="5.140625" style="2" customWidth="1"/>
    <col min="2555" max="2556" width="17.5703125" style="2" customWidth="1"/>
    <col min="2557" max="2800" width="9.140625" style="2"/>
    <col min="2801" max="2801" width="3.7109375" style="2" customWidth="1"/>
    <col min="2802" max="2802" width="96.85546875" style="2" customWidth="1"/>
    <col min="2803" max="2803" width="30.85546875" style="2" customWidth="1"/>
    <col min="2804" max="2804" width="12.5703125" style="2" customWidth="1"/>
    <col min="2805" max="2805" width="5.140625" style="2" customWidth="1"/>
    <col min="2806" max="2806" width="9.140625" style="2"/>
    <col min="2807" max="2807" width="4.85546875" style="2" customWidth="1"/>
    <col min="2808" max="2808" width="30.5703125" style="2" customWidth="1"/>
    <col min="2809" max="2809" width="33.85546875" style="2" customWidth="1"/>
    <col min="2810" max="2810" width="5.140625" style="2" customWidth="1"/>
    <col min="2811" max="2812" width="17.5703125" style="2" customWidth="1"/>
    <col min="2813" max="3056" width="9.140625" style="2"/>
    <col min="3057" max="3057" width="3.7109375" style="2" customWidth="1"/>
    <col min="3058" max="3058" width="96.85546875" style="2" customWidth="1"/>
    <col min="3059" max="3059" width="30.85546875" style="2" customWidth="1"/>
    <col min="3060" max="3060" width="12.5703125" style="2" customWidth="1"/>
    <col min="3061" max="3061" width="5.140625" style="2" customWidth="1"/>
    <col min="3062" max="3062" width="9.140625" style="2"/>
    <col min="3063" max="3063" width="4.85546875" style="2" customWidth="1"/>
    <col min="3064" max="3064" width="30.5703125" style="2" customWidth="1"/>
    <col min="3065" max="3065" width="33.85546875" style="2" customWidth="1"/>
    <col min="3066" max="3066" width="5.140625" style="2" customWidth="1"/>
    <col min="3067" max="3068" width="17.5703125" style="2" customWidth="1"/>
    <col min="3069" max="3312" width="9.140625" style="2"/>
    <col min="3313" max="3313" width="3.7109375" style="2" customWidth="1"/>
    <col min="3314" max="3314" width="96.85546875" style="2" customWidth="1"/>
    <col min="3315" max="3315" width="30.85546875" style="2" customWidth="1"/>
    <col min="3316" max="3316" width="12.5703125" style="2" customWidth="1"/>
    <col min="3317" max="3317" width="5.140625" style="2" customWidth="1"/>
    <col min="3318" max="3318" width="9.140625" style="2"/>
    <col min="3319" max="3319" width="4.85546875" style="2" customWidth="1"/>
    <col min="3320" max="3320" width="30.5703125" style="2" customWidth="1"/>
    <col min="3321" max="3321" width="33.85546875" style="2" customWidth="1"/>
    <col min="3322" max="3322" width="5.140625" style="2" customWidth="1"/>
    <col min="3323" max="3324" width="17.5703125" style="2" customWidth="1"/>
    <col min="3325" max="3568" width="9.140625" style="2"/>
    <col min="3569" max="3569" width="3.7109375" style="2" customWidth="1"/>
    <col min="3570" max="3570" width="96.85546875" style="2" customWidth="1"/>
    <col min="3571" max="3571" width="30.85546875" style="2" customWidth="1"/>
    <col min="3572" max="3572" width="12.5703125" style="2" customWidth="1"/>
    <col min="3573" max="3573" width="5.140625" style="2" customWidth="1"/>
    <col min="3574" max="3574" width="9.140625" style="2"/>
    <col min="3575" max="3575" width="4.85546875" style="2" customWidth="1"/>
    <col min="3576" max="3576" width="30.5703125" style="2" customWidth="1"/>
    <col min="3577" max="3577" width="33.85546875" style="2" customWidth="1"/>
    <col min="3578" max="3578" width="5.140625" style="2" customWidth="1"/>
    <col min="3579" max="3580" width="17.5703125" style="2" customWidth="1"/>
    <col min="3581" max="3824" width="9.140625" style="2"/>
    <col min="3825" max="3825" width="3.7109375" style="2" customWidth="1"/>
    <col min="3826" max="3826" width="96.85546875" style="2" customWidth="1"/>
    <col min="3827" max="3827" width="30.85546875" style="2" customWidth="1"/>
    <col min="3828" max="3828" width="12.5703125" style="2" customWidth="1"/>
    <col min="3829" max="3829" width="5.140625" style="2" customWidth="1"/>
    <col min="3830" max="3830" width="9.140625" style="2"/>
    <col min="3831" max="3831" width="4.85546875" style="2" customWidth="1"/>
    <col min="3832" max="3832" width="30.5703125" style="2" customWidth="1"/>
    <col min="3833" max="3833" width="33.85546875" style="2" customWidth="1"/>
    <col min="3834" max="3834" width="5.140625" style="2" customWidth="1"/>
    <col min="3835" max="3836" width="17.5703125" style="2" customWidth="1"/>
    <col min="3837" max="4080" width="9.140625" style="2"/>
    <col min="4081" max="4081" width="3.7109375" style="2" customWidth="1"/>
    <col min="4082" max="4082" width="96.85546875" style="2" customWidth="1"/>
    <col min="4083" max="4083" width="30.85546875" style="2" customWidth="1"/>
    <col min="4084" max="4084" width="12.5703125" style="2" customWidth="1"/>
    <col min="4085" max="4085" width="5.140625" style="2" customWidth="1"/>
    <col min="4086" max="4086" width="9.140625" style="2"/>
    <col min="4087" max="4087" width="4.85546875" style="2" customWidth="1"/>
    <col min="4088" max="4088" width="30.5703125" style="2" customWidth="1"/>
    <col min="4089" max="4089" width="33.85546875" style="2" customWidth="1"/>
    <col min="4090" max="4090" width="5.140625" style="2" customWidth="1"/>
    <col min="4091" max="4092" width="17.5703125" style="2" customWidth="1"/>
    <col min="4093" max="4336" width="9.140625" style="2"/>
    <col min="4337" max="4337" width="3.7109375" style="2" customWidth="1"/>
    <col min="4338" max="4338" width="96.85546875" style="2" customWidth="1"/>
    <col min="4339" max="4339" width="30.85546875" style="2" customWidth="1"/>
    <col min="4340" max="4340" width="12.5703125" style="2" customWidth="1"/>
    <col min="4341" max="4341" width="5.140625" style="2" customWidth="1"/>
    <col min="4342" max="4342" width="9.140625" style="2"/>
    <col min="4343" max="4343" width="4.85546875" style="2" customWidth="1"/>
    <col min="4344" max="4344" width="30.5703125" style="2" customWidth="1"/>
    <col min="4345" max="4345" width="33.85546875" style="2" customWidth="1"/>
    <col min="4346" max="4346" width="5.140625" style="2" customWidth="1"/>
    <col min="4347" max="4348" width="17.5703125" style="2" customWidth="1"/>
    <col min="4349" max="4592" width="9.140625" style="2"/>
    <col min="4593" max="4593" width="3.7109375" style="2" customWidth="1"/>
    <col min="4594" max="4594" width="96.85546875" style="2" customWidth="1"/>
    <col min="4595" max="4595" width="30.85546875" style="2" customWidth="1"/>
    <col min="4596" max="4596" width="12.5703125" style="2" customWidth="1"/>
    <col min="4597" max="4597" width="5.140625" style="2" customWidth="1"/>
    <col min="4598" max="4598" width="9.140625" style="2"/>
    <col min="4599" max="4599" width="4.85546875" style="2" customWidth="1"/>
    <col min="4600" max="4600" width="30.5703125" style="2" customWidth="1"/>
    <col min="4601" max="4601" width="33.85546875" style="2" customWidth="1"/>
    <col min="4602" max="4602" width="5.140625" style="2" customWidth="1"/>
    <col min="4603" max="4604" width="17.5703125" style="2" customWidth="1"/>
    <col min="4605" max="4848" width="9.140625" style="2"/>
    <col min="4849" max="4849" width="3.7109375" style="2" customWidth="1"/>
    <col min="4850" max="4850" width="96.85546875" style="2" customWidth="1"/>
    <col min="4851" max="4851" width="30.85546875" style="2" customWidth="1"/>
    <col min="4852" max="4852" width="12.5703125" style="2" customWidth="1"/>
    <col min="4853" max="4853" width="5.140625" style="2" customWidth="1"/>
    <col min="4854" max="4854" width="9.140625" style="2"/>
    <col min="4855" max="4855" width="4.85546875" style="2" customWidth="1"/>
    <col min="4856" max="4856" width="30.5703125" style="2" customWidth="1"/>
    <col min="4857" max="4857" width="33.85546875" style="2" customWidth="1"/>
    <col min="4858" max="4858" width="5.140625" style="2" customWidth="1"/>
    <col min="4859" max="4860" width="17.5703125" style="2" customWidth="1"/>
    <col min="4861" max="5104" width="9.140625" style="2"/>
    <col min="5105" max="5105" width="3.7109375" style="2" customWidth="1"/>
    <col min="5106" max="5106" width="96.85546875" style="2" customWidth="1"/>
    <col min="5107" max="5107" width="30.85546875" style="2" customWidth="1"/>
    <col min="5108" max="5108" width="12.5703125" style="2" customWidth="1"/>
    <col min="5109" max="5109" width="5.140625" style="2" customWidth="1"/>
    <col min="5110" max="5110" width="9.140625" style="2"/>
    <col min="5111" max="5111" width="4.85546875" style="2" customWidth="1"/>
    <col min="5112" max="5112" width="30.5703125" style="2" customWidth="1"/>
    <col min="5113" max="5113" width="33.85546875" style="2" customWidth="1"/>
    <col min="5114" max="5114" width="5.140625" style="2" customWidth="1"/>
    <col min="5115" max="5116" width="17.5703125" style="2" customWidth="1"/>
    <col min="5117" max="5360" width="9.140625" style="2"/>
    <col min="5361" max="5361" width="3.7109375" style="2" customWidth="1"/>
    <col min="5362" max="5362" width="96.85546875" style="2" customWidth="1"/>
    <col min="5363" max="5363" width="30.85546875" style="2" customWidth="1"/>
    <col min="5364" max="5364" width="12.5703125" style="2" customWidth="1"/>
    <col min="5365" max="5365" width="5.140625" style="2" customWidth="1"/>
    <col min="5366" max="5366" width="9.140625" style="2"/>
    <col min="5367" max="5367" width="4.85546875" style="2" customWidth="1"/>
    <col min="5368" max="5368" width="30.5703125" style="2" customWidth="1"/>
    <col min="5369" max="5369" width="33.85546875" style="2" customWidth="1"/>
    <col min="5370" max="5370" width="5.140625" style="2" customWidth="1"/>
    <col min="5371" max="5372" width="17.5703125" style="2" customWidth="1"/>
    <col min="5373" max="5616" width="9.140625" style="2"/>
    <col min="5617" max="5617" width="3.7109375" style="2" customWidth="1"/>
    <col min="5618" max="5618" width="96.85546875" style="2" customWidth="1"/>
    <col min="5619" max="5619" width="30.85546875" style="2" customWidth="1"/>
    <col min="5620" max="5620" width="12.5703125" style="2" customWidth="1"/>
    <col min="5621" max="5621" width="5.140625" style="2" customWidth="1"/>
    <col min="5622" max="5622" width="9.140625" style="2"/>
    <col min="5623" max="5623" width="4.85546875" style="2" customWidth="1"/>
    <col min="5624" max="5624" width="30.5703125" style="2" customWidth="1"/>
    <col min="5625" max="5625" width="33.85546875" style="2" customWidth="1"/>
    <col min="5626" max="5626" width="5.140625" style="2" customWidth="1"/>
    <col min="5627" max="5628" width="17.5703125" style="2" customWidth="1"/>
    <col min="5629" max="5872" width="9.140625" style="2"/>
    <col min="5873" max="5873" width="3.7109375" style="2" customWidth="1"/>
    <col min="5874" max="5874" width="96.85546875" style="2" customWidth="1"/>
    <col min="5875" max="5875" width="30.85546875" style="2" customWidth="1"/>
    <col min="5876" max="5876" width="12.5703125" style="2" customWidth="1"/>
    <col min="5877" max="5877" width="5.140625" style="2" customWidth="1"/>
    <col min="5878" max="5878" width="9.140625" style="2"/>
    <col min="5879" max="5879" width="4.85546875" style="2" customWidth="1"/>
    <col min="5880" max="5880" width="30.5703125" style="2" customWidth="1"/>
    <col min="5881" max="5881" width="33.85546875" style="2" customWidth="1"/>
    <col min="5882" max="5882" width="5.140625" style="2" customWidth="1"/>
    <col min="5883" max="5884" width="17.5703125" style="2" customWidth="1"/>
    <col min="5885" max="6128" width="9.140625" style="2"/>
    <col min="6129" max="6129" width="3.7109375" style="2" customWidth="1"/>
    <col min="6130" max="6130" width="96.85546875" style="2" customWidth="1"/>
    <col min="6131" max="6131" width="30.85546875" style="2" customWidth="1"/>
    <col min="6132" max="6132" width="12.5703125" style="2" customWidth="1"/>
    <col min="6133" max="6133" width="5.140625" style="2" customWidth="1"/>
    <col min="6134" max="6134" width="9.140625" style="2"/>
    <col min="6135" max="6135" width="4.85546875" style="2" customWidth="1"/>
    <col min="6136" max="6136" width="30.5703125" style="2" customWidth="1"/>
    <col min="6137" max="6137" width="33.85546875" style="2" customWidth="1"/>
    <col min="6138" max="6138" width="5.140625" style="2" customWidth="1"/>
    <col min="6139" max="6140" width="17.5703125" style="2" customWidth="1"/>
    <col min="6141" max="6384" width="9.140625" style="2"/>
    <col min="6385" max="6385" width="3.7109375" style="2" customWidth="1"/>
    <col min="6386" max="6386" width="96.85546875" style="2" customWidth="1"/>
    <col min="6387" max="6387" width="30.85546875" style="2" customWidth="1"/>
    <col min="6388" max="6388" width="12.5703125" style="2" customWidth="1"/>
    <col min="6389" max="6389" width="5.140625" style="2" customWidth="1"/>
    <col min="6390" max="6390" width="9.140625" style="2"/>
    <col min="6391" max="6391" width="4.85546875" style="2" customWidth="1"/>
    <col min="6392" max="6392" width="30.5703125" style="2" customWidth="1"/>
    <col min="6393" max="6393" width="33.85546875" style="2" customWidth="1"/>
    <col min="6394" max="6394" width="5.140625" style="2" customWidth="1"/>
    <col min="6395" max="6396" width="17.5703125" style="2" customWidth="1"/>
    <col min="6397" max="6640" width="9.140625" style="2"/>
    <col min="6641" max="6641" width="3.7109375" style="2" customWidth="1"/>
    <col min="6642" max="6642" width="96.85546875" style="2" customWidth="1"/>
    <col min="6643" max="6643" width="30.85546875" style="2" customWidth="1"/>
    <col min="6644" max="6644" width="12.5703125" style="2" customWidth="1"/>
    <col min="6645" max="6645" width="5.140625" style="2" customWidth="1"/>
    <col min="6646" max="6646" width="9.140625" style="2"/>
    <col min="6647" max="6647" width="4.85546875" style="2" customWidth="1"/>
    <col min="6648" max="6648" width="30.5703125" style="2" customWidth="1"/>
    <col min="6649" max="6649" width="33.85546875" style="2" customWidth="1"/>
    <col min="6650" max="6650" width="5.140625" style="2" customWidth="1"/>
    <col min="6651" max="6652" width="17.5703125" style="2" customWidth="1"/>
    <col min="6653" max="6896" width="9.140625" style="2"/>
    <col min="6897" max="6897" width="3.7109375" style="2" customWidth="1"/>
    <col min="6898" max="6898" width="96.85546875" style="2" customWidth="1"/>
    <col min="6899" max="6899" width="30.85546875" style="2" customWidth="1"/>
    <col min="6900" max="6900" width="12.5703125" style="2" customWidth="1"/>
    <col min="6901" max="6901" width="5.140625" style="2" customWidth="1"/>
    <col min="6902" max="6902" width="9.140625" style="2"/>
    <col min="6903" max="6903" width="4.85546875" style="2" customWidth="1"/>
    <col min="6904" max="6904" width="30.5703125" style="2" customWidth="1"/>
    <col min="6905" max="6905" width="33.85546875" style="2" customWidth="1"/>
    <col min="6906" max="6906" width="5.140625" style="2" customWidth="1"/>
    <col min="6907" max="6908" width="17.5703125" style="2" customWidth="1"/>
    <col min="6909" max="7152" width="9.140625" style="2"/>
    <col min="7153" max="7153" width="3.7109375" style="2" customWidth="1"/>
    <col min="7154" max="7154" width="96.85546875" style="2" customWidth="1"/>
    <col min="7155" max="7155" width="30.85546875" style="2" customWidth="1"/>
    <col min="7156" max="7156" width="12.5703125" style="2" customWidth="1"/>
    <col min="7157" max="7157" width="5.140625" style="2" customWidth="1"/>
    <col min="7158" max="7158" width="9.140625" style="2"/>
    <col min="7159" max="7159" width="4.85546875" style="2" customWidth="1"/>
    <col min="7160" max="7160" width="30.5703125" style="2" customWidth="1"/>
    <col min="7161" max="7161" width="33.85546875" style="2" customWidth="1"/>
    <col min="7162" max="7162" width="5.140625" style="2" customWidth="1"/>
    <col min="7163" max="7164" width="17.5703125" style="2" customWidth="1"/>
    <col min="7165" max="7408" width="9.140625" style="2"/>
    <col min="7409" max="7409" width="3.7109375" style="2" customWidth="1"/>
    <col min="7410" max="7410" width="96.85546875" style="2" customWidth="1"/>
    <col min="7411" max="7411" width="30.85546875" style="2" customWidth="1"/>
    <col min="7412" max="7412" width="12.5703125" style="2" customWidth="1"/>
    <col min="7413" max="7413" width="5.140625" style="2" customWidth="1"/>
    <col min="7414" max="7414" width="9.140625" style="2"/>
    <col min="7415" max="7415" width="4.85546875" style="2" customWidth="1"/>
    <col min="7416" max="7416" width="30.5703125" style="2" customWidth="1"/>
    <col min="7417" max="7417" width="33.85546875" style="2" customWidth="1"/>
    <col min="7418" max="7418" width="5.140625" style="2" customWidth="1"/>
    <col min="7419" max="7420" width="17.5703125" style="2" customWidth="1"/>
    <col min="7421" max="7664" width="9.140625" style="2"/>
    <col min="7665" max="7665" width="3.7109375" style="2" customWidth="1"/>
    <col min="7666" max="7666" width="96.85546875" style="2" customWidth="1"/>
    <col min="7667" max="7667" width="30.85546875" style="2" customWidth="1"/>
    <col min="7668" max="7668" width="12.5703125" style="2" customWidth="1"/>
    <col min="7669" max="7669" width="5.140625" style="2" customWidth="1"/>
    <col min="7670" max="7670" width="9.140625" style="2"/>
    <col min="7671" max="7671" width="4.85546875" style="2" customWidth="1"/>
    <col min="7672" max="7672" width="30.5703125" style="2" customWidth="1"/>
    <col min="7673" max="7673" width="33.85546875" style="2" customWidth="1"/>
    <col min="7674" max="7674" width="5.140625" style="2" customWidth="1"/>
    <col min="7675" max="7676" width="17.5703125" style="2" customWidth="1"/>
    <col min="7677" max="7920" width="9.140625" style="2"/>
    <col min="7921" max="7921" width="3.7109375" style="2" customWidth="1"/>
    <col min="7922" max="7922" width="96.85546875" style="2" customWidth="1"/>
    <col min="7923" max="7923" width="30.85546875" style="2" customWidth="1"/>
    <col min="7924" max="7924" width="12.5703125" style="2" customWidth="1"/>
    <col min="7925" max="7925" width="5.140625" style="2" customWidth="1"/>
    <col min="7926" max="7926" width="9.140625" style="2"/>
    <col min="7927" max="7927" width="4.85546875" style="2" customWidth="1"/>
    <col min="7928" max="7928" width="30.5703125" style="2" customWidth="1"/>
    <col min="7929" max="7929" width="33.85546875" style="2" customWidth="1"/>
    <col min="7930" max="7930" width="5.140625" style="2" customWidth="1"/>
    <col min="7931" max="7932" width="17.5703125" style="2" customWidth="1"/>
    <col min="7933" max="8176" width="9.140625" style="2"/>
    <col min="8177" max="8177" width="3.7109375" style="2" customWidth="1"/>
    <col min="8178" max="8178" width="96.85546875" style="2" customWidth="1"/>
    <col min="8179" max="8179" width="30.85546875" style="2" customWidth="1"/>
    <col min="8180" max="8180" width="12.5703125" style="2" customWidth="1"/>
    <col min="8181" max="8181" width="5.140625" style="2" customWidth="1"/>
    <col min="8182" max="8182" width="9.140625" style="2"/>
    <col min="8183" max="8183" width="4.85546875" style="2" customWidth="1"/>
    <col min="8184" max="8184" width="30.5703125" style="2" customWidth="1"/>
    <col min="8185" max="8185" width="33.85546875" style="2" customWidth="1"/>
    <col min="8186" max="8186" width="5.140625" style="2" customWidth="1"/>
    <col min="8187" max="8188" width="17.5703125" style="2" customWidth="1"/>
    <col min="8189" max="8432" width="9.140625" style="2"/>
    <col min="8433" max="8433" width="3.7109375" style="2" customWidth="1"/>
    <col min="8434" max="8434" width="96.85546875" style="2" customWidth="1"/>
    <col min="8435" max="8435" width="30.85546875" style="2" customWidth="1"/>
    <col min="8436" max="8436" width="12.5703125" style="2" customWidth="1"/>
    <col min="8437" max="8437" width="5.140625" style="2" customWidth="1"/>
    <col min="8438" max="8438" width="9.140625" style="2"/>
    <col min="8439" max="8439" width="4.85546875" style="2" customWidth="1"/>
    <col min="8440" max="8440" width="30.5703125" style="2" customWidth="1"/>
    <col min="8441" max="8441" width="33.85546875" style="2" customWidth="1"/>
    <col min="8442" max="8442" width="5.140625" style="2" customWidth="1"/>
    <col min="8443" max="8444" width="17.5703125" style="2" customWidth="1"/>
    <col min="8445" max="8688" width="9.140625" style="2"/>
    <col min="8689" max="8689" width="3.7109375" style="2" customWidth="1"/>
    <col min="8690" max="8690" width="96.85546875" style="2" customWidth="1"/>
    <col min="8691" max="8691" width="30.85546875" style="2" customWidth="1"/>
    <col min="8692" max="8692" width="12.5703125" style="2" customWidth="1"/>
    <col min="8693" max="8693" width="5.140625" style="2" customWidth="1"/>
    <col min="8694" max="8694" width="9.140625" style="2"/>
    <col min="8695" max="8695" width="4.85546875" style="2" customWidth="1"/>
    <col min="8696" max="8696" width="30.5703125" style="2" customWidth="1"/>
    <col min="8697" max="8697" width="33.85546875" style="2" customWidth="1"/>
    <col min="8698" max="8698" width="5.140625" style="2" customWidth="1"/>
    <col min="8699" max="8700" width="17.5703125" style="2" customWidth="1"/>
    <col min="8701" max="8944" width="9.140625" style="2"/>
    <col min="8945" max="8945" width="3.7109375" style="2" customWidth="1"/>
    <col min="8946" max="8946" width="96.85546875" style="2" customWidth="1"/>
    <col min="8947" max="8947" width="30.85546875" style="2" customWidth="1"/>
    <col min="8948" max="8948" width="12.5703125" style="2" customWidth="1"/>
    <col min="8949" max="8949" width="5.140625" style="2" customWidth="1"/>
    <col min="8950" max="8950" width="9.140625" style="2"/>
    <col min="8951" max="8951" width="4.85546875" style="2" customWidth="1"/>
    <col min="8952" max="8952" width="30.5703125" style="2" customWidth="1"/>
    <col min="8953" max="8953" width="33.85546875" style="2" customWidth="1"/>
    <col min="8954" max="8954" width="5.140625" style="2" customWidth="1"/>
    <col min="8955" max="8956" width="17.5703125" style="2" customWidth="1"/>
    <col min="8957" max="9200" width="9.140625" style="2"/>
    <col min="9201" max="9201" width="3.7109375" style="2" customWidth="1"/>
    <col min="9202" max="9202" width="96.85546875" style="2" customWidth="1"/>
    <col min="9203" max="9203" width="30.85546875" style="2" customWidth="1"/>
    <col min="9204" max="9204" width="12.5703125" style="2" customWidth="1"/>
    <col min="9205" max="9205" width="5.140625" style="2" customWidth="1"/>
    <col min="9206" max="9206" width="9.140625" style="2"/>
    <col min="9207" max="9207" width="4.85546875" style="2" customWidth="1"/>
    <col min="9208" max="9208" width="30.5703125" style="2" customWidth="1"/>
    <col min="9209" max="9209" width="33.85546875" style="2" customWidth="1"/>
    <col min="9210" max="9210" width="5.140625" style="2" customWidth="1"/>
    <col min="9211" max="9212" width="17.5703125" style="2" customWidth="1"/>
    <col min="9213" max="9456" width="9.140625" style="2"/>
    <col min="9457" max="9457" width="3.7109375" style="2" customWidth="1"/>
    <col min="9458" max="9458" width="96.85546875" style="2" customWidth="1"/>
    <col min="9459" max="9459" width="30.85546875" style="2" customWidth="1"/>
    <col min="9460" max="9460" width="12.5703125" style="2" customWidth="1"/>
    <col min="9461" max="9461" width="5.140625" style="2" customWidth="1"/>
    <col min="9462" max="9462" width="9.140625" style="2"/>
    <col min="9463" max="9463" width="4.85546875" style="2" customWidth="1"/>
    <col min="9464" max="9464" width="30.5703125" style="2" customWidth="1"/>
    <col min="9465" max="9465" width="33.85546875" style="2" customWidth="1"/>
    <col min="9466" max="9466" width="5.140625" style="2" customWidth="1"/>
    <col min="9467" max="9468" width="17.5703125" style="2" customWidth="1"/>
    <col min="9469" max="9712" width="9.140625" style="2"/>
    <col min="9713" max="9713" width="3.7109375" style="2" customWidth="1"/>
    <col min="9714" max="9714" width="96.85546875" style="2" customWidth="1"/>
    <col min="9715" max="9715" width="30.85546875" style="2" customWidth="1"/>
    <col min="9716" max="9716" width="12.5703125" style="2" customWidth="1"/>
    <col min="9717" max="9717" width="5.140625" style="2" customWidth="1"/>
    <col min="9718" max="9718" width="9.140625" style="2"/>
    <col min="9719" max="9719" width="4.85546875" style="2" customWidth="1"/>
    <col min="9720" max="9720" width="30.5703125" style="2" customWidth="1"/>
    <col min="9721" max="9721" width="33.85546875" style="2" customWidth="1"/>
    <col min="9722" max="9722" width="5.140625" style="2" customWidth="1"/>
    <col min="9723" max="9724" width="17.5703125" style="2" customWidth="1"/>
    <col min="9725" max="9968" width="9.140625" style="2"/>
    <col min="9969" max="9969" width="3.7109375" style="2" customWidth="1"/>
    <col min="9970" max="9970" width="96.85546875" style="2" customWidth="1"/>
    <col min="9971" max="9971" width="30.85546875" style="2" customWidth="1"/>
    <col min="9972" max="9972" width="12.5703125" style="2" customWidth="1"/>
    <col min="9973" max="9973" width="5.140625" style="2" customWidth="1"/>
    <col min="9974" max="9974" width="9.140625" style="2"/>
    <col min="9975" max="9975" width="4.85546875" style="2" customWidth="1"/>
    <col min="9976" max="9976" width="30.5703125" style="2" customWidth="1"/>
    <col min="9977" max="9977" width="33.85546875" style="2" customWidth="1"/>
    <col min="9978" max="9978" width="5.140625" style="2" customWidth="1"/>
    <col min="9979" max="9980" width="17.5703125" style="2" customWidth="1"/>
    <col min="9981" max="10224" width="9.140625" style="2"/>
    <col min="10225" max="10225" width="3.7109375" style="2" customWidth="1"/>
    <col min="10226" max="10226" width="96.85546875" style="2" customWidth="1"/>
    <col min="10227" max="10227" width="30.85546875" style="2" customWidth="1"/>
    <col min="10228" max="10228" width="12.5703125" style="2" customWidth="1"/>
    <col min="10229" max="10229" width="5.140625" style="2" customWidth="1"/>
    <col min="10230" max="10230" width="9.140625" style="2"/>
    <col min="10231" max="10231" width="4.85546875" style="2" customWidth="1"/>
    <col min="10232" max="10232" width="30.5703125" style="2" customWidth="1"/>
    <col min="10233" max="10233" width="33.85546875" style="2" customWidth="1"/>
    <col min="10234" max="10234" width="5.140625" style="2" customWidth="1"/>
    <col min="10235" max="10236" width="17.5703125" style="2" customWidth="1"/>
    <col min="10237" max="10480" width="9.140625" style="2"/>
    <col min="10481" max="10481" width="3.7109375" style="2" customWidth="1"/>
    <col min="10482" max="10482" width="96.85546875" style="2" customWidth="1"/>
    <col min="10483" max="10483" width="30.85546875" style="2" customWidth="1"/>
    <col min="10484" max="10484" width="12.5703125" style="2" customWidth="1"/>
    <col min="10485" max="10485" width="5.140625" style="2" customWidth="1"/>
    <col min="10486" max="10486" width="9.140625" style="2"/>
    <col min="10487" max="10487" width="4.85546875" style="2" customWidth="1"/>
    <col min="10488" max="10488" width="30.5703125" style="2" customWidth="1"/>
    <col min="10489" max="10489" width="33.85546875" style="2" customWidth="1"/>
    <col min="10490" max="10490" width="5.140625" style="2" customWidth="1"/>
    <col min="10491" max="10492" width="17.5703125" style="2" customWidth="1"/>
    <col min="10493" max="10736" width="9.140625" style="2"/>
    <col min="10737" max="10737" width="3.7109375" style="2" customWidth="1"/>
    <col min="10738" max="10738" width="96.85546875" style="2" customWidth="1"/>
    <col min="10739" max="10739" width="30.85546875" style="2" customWidth="1"/>
    <col min="10740" max="10740" width="12.5703125" style="2" customWidth="1"/>
    <col min="10741" max="10741" width="5.140625" style="2" customWidth="1"/>
    <col min="10742" max="10742" width="9.140625" style="2"/>
    <col min="10743" max="10743" width="4.85546875" style="2" customWidth="1"/>
    <col min="10744" max="10744" width="30.5703125" style="2" customWidth="1"/>
    <col min="10745" max="10745" width="33.85546875" style="2" customWidth="1"/>
    <col min="10746" max="10746" width="5.140625" style="2" customWidth="1"/>
    <col min="10747" max="10748" width="17.5703125" style="2" customWidth="1"/>
    <col min="10749" max="10992" width="9.140625" style="2"/>
    <col min="10993" max="10993" width="3.7109375" style="2" customWidth="1"/>
    <col min="10994" max="10994" width="96.85546875" style="2" customWidth="1"/>
    <col min="10995" max="10995" width="30.85546875" style="2" customWidth="1"/>
    <col min="10996" max="10996" width="12.5703125" style="2" customWidth="1"/>
    <col min="10997" max="10997" width="5.140625" style="2" customWidth="1"/>
    <col min="10998" max="10998" width="9.140625" style="2"/>
    <col min="10999" max="10999" width="4.85546875" style="2" customWidth="1"/>
    <col min="11000" max="11000" width="30.5703125" style="2" customWidth="1"/>
    <col min="11001" max="11001" width="33.85546875" style="2" customWidth="1"/>
    <col min="11002" max="11002" width="5.140625" style="2" customWidth="1"/>
    <col min="11003" max="11004" width="17.5703125" style="2" customWidth="1"/>
    <col min="11005" max="11248" width="9.140625" style="2"/>
    <col min="11249" max="11249" width="3.7109375" style="2" customWidth="1"/>
    <col min="11250" max="11250" width="96.85546875" style="2" customWidth="1"/>
    <col min="11251" max="11251" width="30.85546875" style="2" customWidth="1"/>
    <col min="11252" max="11252" width="12.5703125" style="2" customWidth="1"/>
    <col min="11253" max="11253" width="5.140625" style="2" customWidth="1"/>
    <col min="11254" max="11254" width="9.140625" style="2"/>
    <col min="11255" max="11255" width="4.85546875" style="2" customWidth="1"/>
    <col min="11256" max="11256" width="30.5703125" style="2" customWidth="1"/>
    <col min="11257" max="11257" width="33.85546875" style="2" customWidth="1"/>
    <col min="11258" max="11258" width="5.140625" style="2" customWidth="1"/>
    <col min="11259" max="11260" width="17.5703125" style="2" customWidth="1"/>
    <col min="11261" max="11504" width="9.140625" style="2"/>
    <col min="11505" max="11505" width="3.7109375" style="2" customWidth="1"/>
    <col min="11506" max="11506" width="96.85546875" style="2" customWidth="1"/>
    <col min="11507" max="11507" width="30.85546875" style="2" customWidth="1"/>
    <col min="11508" max="11508" width="12.5703125" style="2" customWidth="1"/>
    <col min="11509" max="11509" width="5.140625" style="2" customWidth="1"/>
    <col min="11510" max="11510" width="9.140625" style="2"/>
    <col min="11511" max="11511" width="4.85546875" style="2" customWidth="1"/>
    <col min="11512" max="11512" width="30.5703125" style="2" customWidth="1"/>
    <col min="11513" max="11513" width="33.85546875" style="2" customWidth="1"/>
    <col min="11514" max="11514" width="5.140625" style="2" customWidth="1"/>
    <col min="11515" max="11516" width="17.5703125" style="2" customWidth="1"/>
    <col min="11517" max="11760" width="9.140625" style="2"/>
    <col min="11761" max="11761" width="3.7109375" style="2" customWidth="1"/>
    <col min="11762" max="11762" width="96.85546875" style="2" customWidth="1"/>
    <col min="11763" max="11763" width="30.85546875" style="2" customWidth="1"/>
    <col min="11764" max="11764" width="12.5703125" style="2" customWidth="1"/>
    <col min="11765" max="11765" width="5.140625" style="2" customWidth="1"/>
    <col min="11766" max="11766" width="9.140625" style="2"/>
    <col min="11767" max="11767" width="4.85546875" style="2" customWidth="1"/>
    <col min="11768" max="11768" width="30.5703125" style="2" customWidth="1"/>
    <col min="11769" max="11769" width="33.85546875" style="2" customWidth="1"/>
    <col min="11770" max="11770" width="5.140625" style="2" customWidth="1"/>
    <col min="11771" max="11772" width="17.5703125" style="2" customWidth="1"/>
    <col min="11773" max="12016" width="9.140625" style="2"/>
    <col min="12017" max="12017" width="3.7109375" style="2" customWidth="1"/>
    <col min="12018" max="12018" width="96.85546875" style="2" customWidth="1"/>
    <col min="12019" max="12019" width="30.85546875" style="2" customWidth="1"/>
    <col min="12020" max="12020" width="12.5703125" style="2" customWidth="1"/>
    <col min="12021" max="12021" width="5.140625" style="2" customWidth="1"/>
    <col min="12022" max="12022" width="9.140625" style="2"/>
    <col min="12023" max="12023" width="4.85546875" style="2" customWidth="1"/>
    <col min="12024" max="12024" width="30.5703125" style="2" customWidth="1"/>
    <col min="12025" max="12025" width="33.85546875" style="2" customWidth="1"/>
    <col min="12026" max="12026" width="5.140625" style="2" customWidth="1"/>
    <col min="12027" max="12028" width="17.5703125" style="2" customWidth="1"/>
    <col min="12029" max="12272" width="9.140625" style="2"/>
    <col min="12273" max="12273" width="3.7109375" style="2" customWidth="1"/>
    <col min="12274" max="12274" width="96.85546875" style="2" customWidth="1"/>
    <col min="12275" max="12275" width="30.85546875" style="2" customWidth="1"/>
    <col min="12276" max="12276" width="12.5703125" style="2" customWidth="1"/>
    <col min="12277" max="12277" width="5.140625" style="2" customWidth="1"/>
    <col min="12278" max="12278" width="9.140625" style="2"/>
    <col min="12279" max="12279" width="4.85546875" style="2" customWidth="1"/>
    <col min="12280" max="12280" width="30.5703125" style="2" customWidth="1"/>
    <col min="12281" max="12281" width="33.85546875" style="2" customWidth="1"/>
    <col min="12282" max="12282" width="5.140625" style="2" customWidth="1"/>
    <col min="12283" max="12284" width="17.5703125" style="2" customWidth="1"/>
    <col min="12285" max="12528" width="9.140625" style="2"/>
    <col min="12529" max="12529" width="3.7109375" style="2" customWidth="1"/>
    <col min="12530" max="12530" width="96.85546875" style="2" customWidth="1"/>
    <col min="12531" max="12531" width="30.85546875" style="2" customWidth="1"/>
    <col min="12532" max="12532" width="12.5703125" style="2" customWidth="1"/>
    <col min="12533" max="12533" width="5.140625" style="2" customWidth="1"/>
    <col min="12534" max="12534" width="9.140625" style="2"/>
    <col min="12535" max="12535" width="4.85546875" style="2" customWidth="1"/>
    <col min="12536" max="12536" width="30.5703125" style="2" customWidth="1"/>
    <col min="12537" max="12537" width="33.85546875" style="2" customWidth="1"/>
    <col min="12538" max="12538" width="5.140625" style="2" customWidth="1"/>
    <col min="12539" max="12540" width="17.5703125" style="2" customWidth="1"/>
    <col min="12541" max="12784" width="9.140625" style="2"/>
    <col min="12785" max="12785" width="3.7109375" style="2" customWidth="1"/>
    <col min="12786" max="12786" width="96.85546875" style="2" customWidth="1"/>
    <col min="12787" max="12787" width="30.85546875" style="2" customWidth="1"/>
    <col min="12788" max="12788" width="12.5703125" style="2" customWidth="1"/>
    <col min="12789" max="12789" width="5.140625" style="2" customWidth="1"/>
    <col min="12790" max="12790" width="9.140625" style="2"/>
    <col min="12791" max="12791" width="4.85546875" style="2" customWidth="1"/>
    <col min="12792" max="12792" width="30.5703125" style="2" customWidth="1"/>
    <col min="12793" max="12793" width="33.85546875" style="2" customWidth="1"/>
    <col min="12794" max="12794" width="5.140625" style="2" customWidth="1"/>
    <col min="12795" max="12796" width="17.5703125" style="2" customWidth="1"/>
    <col min="12797" max="13040" width="9.140625" style="2"/>
    <col min="13041" max="13041" width="3.7109375" style="2" customWidth="1"/>
    <col min="13042" max="13042" width="96.85546875" style="2" customWidth="1"/>
    <col min="13043" max="13043" width="30.85546875" style="2" customWidth="1"/>
    <col min="13044" max="13044" width="12.5703125" style="2" customWidth="1"/>
    <col min="13045" max="13045" width="5.140625" style="2" customWidth="1"/>
    <col min="13046" max="13046" width="9.140625" style="2"/>
    <col min="13047" max="13047" width="4.85546875" style="2" customWidth="1"/>
    <col min="13048" max="13048" width="30.5703125" style="2" customWidth="1"/>
    <col min="13049" max="13049" width="33.85546875" style="2" customWidth="1"/>
    <col min="13050" max="13050" width="5.140625" style="2" customWidth="1"/>
    <col min="13051" max="13052" width="17.5703125" style="2" customWidth="1"/>
    <col min="13053" max="13296" width="9.140625" style="2"/>
    <col min="13297" max="13297" width="3.7109375" style="2" customWidth="1"/>
    <col min="13298" max="13298" width="96.85546875" style="2" customWidth="1"/>
    <col min="13299" max="13299" width="30.85546875" style="2" customWidth="1"/>
    <col min="13300" max="13300" width="12.5703125" style="2" customWidth="1"/>
    <col min="13301" max="13301" width="5.140625" style="2" customWidth="1"/>
    <col min="13302" max="13302" width="9.140625" style="2"/>
    <col min="13303" max="13303" width="4.85546875" style="2" customWidth="1"/>
    <col min="13304" max="13304" width="30.5703125" style="2" customWidth="1"/>
    <col min="13305" max="13305" width="33.85546875" style="2" customWidth="1"/>
    <col min="13306" max="13306" width="5.140625" style="2" customWidth="1"/>
    <col min="13307" max="13308" width="17.5703125" style="2" customWidth="1"/>
    <col min="13309" max="13552" width="9.140625" style="2"/>
    <col min="13553" max="13553" width="3.7109375" style="2" customWidth="1"/>
    <col min="13554" max="13554" width="96.85546875" style="2" customWidth="1"/>
    <col min="13555" max="13555" width="30.85546875" style="2" customWidth="1"/>
    <col min="13556" max="13556" width="12.5703125" style="2" customWidth="1"/>
    <col min="13557" max="13557" width="5.140625" style="2" customWidth="1"/>
    <col min="13558" max="13558" width="9.140625" style="2"/>
    <col min="13559" max="13559" width="4.85546875" style="2" customWidth="1"/>
    <col min="13560" max="13560" width="30.5703125" style="2" customWidth="1"/>
    <col min="13561" max="13561" width="33.85546875" style="2" customWidth="1"/>
    <col min="13562" max="13562" width="5.140625" style="2" customWidth="1"/>
    <col min="13563" max="13564" width="17.5703125" style="2" customWidth="1"/>
    <col min="13565" max="13808" width="9.140625" style="2"/>
    <col min="13809" max="13809" width="3.7109375" style="2" customWidth="1"/>
    <col min="13810" max="13810" width="96.85546875" style="2" customWidth="1"/>
    <col min="13811" max="13811" width="30.85546875" style="2" customWidth="1"/>
    <col min="13812" max="13812" width="12.5703125" style="2" customWidth="1"/>
    <col min="13813" max="13813" width="5.140625" style="2" customWidth="1"/>
    <col min="13814" max="13814" width="9.140625" style="2"/>
    <col min="13815" max="13815" width="4.85546875" style="2" customWidth="1"/>
    <col min="13816" max="13816" width="30.5703125" style="2" customWidth="1"/>
    <col min="13817" max="13817" width="33.85546875" style="2" customWidth="1"/>
    <col min="13818" max="13818" width="5.140625" style="2" customWidth="1"/>
    <col min="13819" max="13820" width="17.5703125" style="2" customWidth="1"/>
    <col min="13821" max="14064" width="9.140625" style="2"/>
    <col min="14065" max="14065" width="3.7109375" style="2" customWidth="1"/>
    <col min="14066" max="14066" width="96.85546875" style="2" customWidth="1"/>
    <col min="14067" max="14067" width="30.85546875" style="2" customWidth="1"/>
    <col min="14068" max="14068" width="12.5703125" style="2" customWidth="1"/>
    <col min="14069" max="14069" width="5.140625" style="2" customWidth="1"/>
    <col min="14070" max="14070" width="9.140625" style="2"/>
    <col min="14071" max="14071" width="4.85546875" style="2" customWidth="1"/>
    <col min="14072" max="14072" width="30.5703125" style="2" customWidth="1"/>
    <col min="14073" max="14073" width="33.85546875" style="2" customWidth="1"/>
    <col min="14074" max="14074" width="5.140625" style="2" customWidth="1"/>
    <col min="14075" max="14076" width="17.5703125" style="2" customWidth="1"/>
    <col min="14077" max="14320" width="9.140625" style="2"/>
    <col min="14321" max="14321" width="3.7109375" style="2" customWidth="1"/>
    <col min="14322" max="14322" width="96.85546875" style="2" customWidth="1"/>
    <col min="14323" max="14323" width="30.85546875" style="2" customWidth="1"/>
    <col min="14324" max="14324" width="12.5703125" style="2" customWidth="1"/>
    <col min="14325" max="14325" width="5.140625" style="2" customWidth="1"/>
    <col min="14326" max="14326" width="9.140625" style="2"/>
    <col min="14327" max="14327" width="4.85546875" style="2" customWidth="1"/>
    <col min="14328" max="14328" width="30.5703125" style="2" customWidth="1"/>
    <col min="14329" max="14329" width="33.85546875" style="2" customWidth="1"/>
    <col min="14330" max="14330" width="5.140625" style="2" customWidth="1"/>
    <col min="14331" max="14332" width="17.5703125" style="2" customWidth="1"/>
    <col min="14333" max="14576" width="9.140625" style="2"/>
    <col min="14577" max="14577" width="3.7109375" style="2" customWidth="1"/>
    <col min="14578" max="14578" width="96.85546875" style="2" customWidth="1"/>
    <col min="14579" max="14579" width="30.85546875" style="2" customWidth="1"/>
    <col min="14580" max="14580" width="12.5703125" style="2" customWidth="1"/>
    <col min="14581" max="14581" width="5.140625" style="2" customWidth="1"/>
    <col min="14582" max="14582" width="9.140625" style="2"/>
    <col min="14583" max="14583" width="4.85546875" style="2" customWidth="1"/>
    <col min="14584" max="14584" width="30.5703125" style="2" customWidth="1"/>
    <col min="14585" max="14585" width="33.85546875" style="2" customWidth="1"/>
    <col min="14586" max="14586" width="5.140625" style="2" customWidth="1"/>
    <col min="14587" max="14588" width="17.5703125" style="2" customWidth="1"/>
    <col min="14589" max="14832" width="9.140625" style="2"/>
    <col min="14833" max="14833" width="3.7109375" style="2" customWidth="1"/>
    <col min="14834" max="14834" width="96.85546875" style="2" customWidth="1"/>
    <col min="14835" max="14835" width="30.85546875" style="2" customWidth="1"/>
    <col min="14836" max="14836" width="12.5703125" style="2" customWidth="1"/>
    <col min="14837" max="14837" width="5.140625" style="2" customWidth="1"/>
    <col min="14838" max="14838" width="9.140625" style="2"/>
    <col min="14839" max="14839" width="4.85546875" style="2" customWidth="1"/>
    <col min="14840" max="14840" width="30.5703125" style="2" customWidth="1"/>
    <col min="14841" max="14841" width="33.85546875" style="2" customWidth="1"/>
    <col min="14842" max="14842" width="5.140625" style="2" customWidth="1"/>
    <col min="14843" max="14844" width="17.5703125" style="2" customWidth="1"/>
    <col min="14845" max="15088" width="9.140625" style="2"/>
    <col min="15089" max="15089" width="3.7109375" style="2" customWidth="1"/>
    <col min="15090" max="15090" width="96.85546875" style="2" customWidth="1"/>
    <col min="15091" max="15091" width="30.85546875" style="2" customWidth="1"/>
    <col min="15092" max="15092" width="12.5703125" style="2" customWidth="1"/>
    <col min="15093" max="15093" width="5.140625" style="2" customWidth="1"/>
    <col min="15094" max="15094" width="9.140625" style="2"/>
    <col min="15095" max="15095" width="4.85546875" style="2" customWidth="1"/>
    <col min="15096" max="15096" width="30.5703125" style="2" customWidth="1"/>
    <col min="15097" max="15097" width="33.85546875" style="2" customWidth="1"/>
    <col min="15098" max="15098" width="5.140625" style="2" customWidth="1"/>
    <col min="15099" max="15100" width="17.5703125" style="2" customWidth="1"/>
    <col min="15101" max="15344" width="9.140625" style="2"/>
    <col min="15345" max="15345" width="3.7109375" style="2" customWidth="1"/>
    <col min="15346" max="15346" width="96.85546875" style="2" customWidth="1"/>
    <col min="15347" max="15347" width="30.85546875" style="2" customWidth="1"/>
    <col min="15348" max="15348" width="12.5703125" style="2" customWidth="1"/>
    <col min="15349" max="15349" width="5.140625" style="2" customWidth="1"/>
    <col min="15350" max="15350" width="9.140625" style="2"/>
    <col min="15351" max="15351" width="4.85546875" style="2" customWidth="1"/>
    <col min="15352" max="15352" width="30.5703125" style="2" customWidth="1"/>
    <col min="15353" max="15353" width="33.85546875" style="2" customWidth="1"/>
    <col min="15354" max="15354" width="5.140625" style="2" customWidth="1"/>
    <col min="15355" max="15356" width="17.5703125" style="2" customWidth="1"/>
    <col min="15357" max="15600" width="9.140625" style="2"/>
    <col min="15601" max="15601" width="3.7109375" style="2" customWidth="1"/>
    <col min="15602" max="15602" width="96.85546875" style="2" customWidth="1"/>
    <col min="15603" max="15603" width="30.85546875" style="2" customWidth="1"/>
    <col min="15604" max="15604" width="12.5703125" style="2" customWidth="1"/>
    <col min="15605" max="15605" width="5.140625" style="2" customWidth="1"/>
    <col min="15606" max="15606" width="9.140625" style="2"/>
    <col min="15607" max="15607" width="4.85546875" style="2" customWidth="1"/>
    <col min="15608" max="15608" width="30.5703125" style="2" customWidth="1"/>
    <col min="15609" max="15609" width="33.85546875" style="2" customWidth="1"/>
    <col min="15610" max="15610" width="5.140625" style="2" customWidth="1"/>
    <col min="15611" max="15612" width="17.5703125" style="2" customWidth="1"/>
    <col min="15613" max="15856" width="9.140625" style="2"/>
    <col min="15857" max="15857" width="3.7109375" style="2" customWidth="1"/>
    <col min="15858" max="15858" width="96.85546875" style="2" customWidth="1"/>
    <col min="15859" max="15859" width="30.85546875" style="2" customWidth="1"/>
    <col min="15860" max="15860" width="12.5703125" style="2" customWidth="1"/>
    <col min="15861" max="15861" width="5.140625" style="2" customWidth="1"/>
    <col min="15862" max="15862" width="9.140625" style="2"/>
    <col min="15863" max="15863" width="4.85546875" style="2" customWidth="1"/>
    <col min="15864" max="15864" width="30.5703125" style="2" customWidth="1"/>
    <col min="15865" max="15865" width="33.85546875" style="2" customWidth="1"/>
    <col min="15866" max="15866" width="5.140625" style="2" customWidth="1"/>
    <col min="15867" max="15868" width="17.5703125" style="2" customWidth="1"/>
    <col min="15869" max="16112" width="9.140625" style="2"/>
    <col min="16113" max="16113" width="3.7109375" style="2" customWidth="1"/>
    <col min="16114" max="16114" width="96.85546875" style="2" customWidth="1"/>
    <col min="16115" max="16115" width="30.85546875" style="2" customWidth="1"/>
    <col min="16116" max="16116" width="12.5703125" style="2" customWidth="1"/>
    <col min="16117" max="16117" width="5.140625" style="2" customWidth="1"/>
    <col min="16118" max="16118" width="9.140625" style="2"/>
    <col min="16119" max="16119" width="4.85546875" style="2" customWidth="1"/>
    <col min="16120" max="16120" width="30.5703125" style="2" customWidth="1"/>
    <col min="16121" max="16121" width="33.85546875" style="2" customWidth="1"/>
    <col min="16122" max="16122" width="5.140625" style="2" customWidth="1"/>
    <col min="16123" max="16124" width="17.5703125" style="2" customWidth="1"/>
    <col min="16125"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[5]И1!D13</f>
        <v>Субъект Российской Федерации</v>
      </c>
      <c r="C4" s="10" t="str">
        <f>[5]И1!E13</f>
        <v>Новосибирская область</v>
      </c>
    </row>
    <row r="5" spans="1:3" ht="15.95" customHeight="1">
      <c r="A5" s="8"/>
      <c r="B5" s="9" t="str">
        <f>[5]И1!D14</f>
        <v>Тип муниципального образования (выберите из списка)</v>
      </c>
      <c r="C5" s="10" t="str">
        <f>[5]И1!E14</f>
        <v>р.п. Краснообск</v>
      </c>
    </row>
    <row r="6" spans="1:3">
      <c r="A6" s="8"/>
      <c r="B6" s="9" t="str">
        <f>IF([5]И1!E15="","",[5]И1!D15)</f>
        <v/>
      </c>
      <c r="C6" s="7" t="str">
        <f>IF([5]И1!E15="","",[5]И1!E15)</f>
        <v/>
      </c>
    </row>
    <row r="7" spans="1:3">
      <c r="A7" s="8"/>
      <c r="B7" s="9" t="str">
        <f>[5]И1!D16</f>
        <v>Код ОКТМО</v>
      </c>
      <c r="C7" s="11" t="str">
        <f>[5]И1!E16</f>
        <v>50640154051</v>
      </c>
    </row>
    <row r="8" spans="1:3">
      <c r="A8" s="8"/>
      <c r="B8" s="12" t="str">
        <f>[5]И1!D17</f>
        <v>Система теплоснабжения</v>
      </c>
      <c r="C8" s="13">
        <f>[5]И1!E17</f>
        <v>0</v>
      </c>
    </row>
    <row r="9" spans="1:3">
      <c r="A9" s="8"/>
      <c r="B9" s="9" t="str">
        <f>[5]И1!D8</f>
        <v>Период регулирования (i)-й</v>
      </c>
      <c r="C9" s="14">
        <f>[5]И1!E8</f>
        <v>2024</v>
      </c>
    </row>
    <row r="10" spans="1:3">
      <c r="A10" s="8"/>
      <c r="B10" s="9" t="str">
        <f>[5]И1!D9</f>
        <v>Период регулирования (i-1)-й</v>
      </c>
      <c r="C10" s="14">
        <f>[5]И1!E9</f>
        <v>2023</v>
      </c>
    </row>
    <row r="11" spans="1:3">
      <c r="A11" s="8"/>
      <c r="B11" s="9" t="str">
        <f>[5]И1!D10</f>
        <v>Период регулирования (i-2)-й</v>
      </c>
      <c r="C11" s="14">
        <f>[5]И1!E10</f>
        <v>2022</v>
      </c>
    </row>
    <row r="12" spans="1:3">
      <c r="A12" s="8"/>
      <c r="B12" s="9" t="str">
        <f>[5]И1!D11</f>
        <v>Базовый год (б)</v>
      </c>
      <c r="C12" s="14">
        <f>[5]И1!E11</f>
        <v>2019</v>
      </c>
    </row>
    <row r="13" spans="1:3">
      <c r="A13" s="8"/>
      <c r="B13" s="9" t="str">
        <f>[5]И1!D18</f>
        <v>Вид топлива, использование которого преобладает в системе теплоснабжения</v>
      </c>
      <c r="C13" s="15" t="str">
        <f>[5]И1!E18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2966.3661559662687</v>
      </c>
    </row>
    <row r="18" spans="1:3" ht="42.75">
      <c r="A18" s="22" t="s">
        <v>8</v>
      </c>
      <c r="B18" s="25" t="s">
        <v>9</v>
      </c>
      <c r="C18" s="26">
        <f>[5]С1!F12</f>
        <v>994.35037159416254</v>
      </c>
    </row>
    <row r="19" spans="1:3" ht="42.75">
      <c r="A19" s="22" t="s">
        <v>10</v>
      </c>
      <c r="B19" s="25" t="s">
        <v>11</v>
      </c>
      <c r="C19" s="26">
        <f>[5]С2!F12</f>
        <v>1337.1646821037446</v>
      </c>
    </row>
    <row r="20" spans="1:3" ht="30">
      <c r="A20" s="22" t="s">
        <v>12</v>
      </c>
      <c r="B20" s="25" t="s">
        <v>13</v>
      </c>
      <c r="C20" s="26">
        <f>[5]С3!F12</f>
        <v>317.6025648848447</v>
      </c>
    </row>
    <row r="21" spans="1:3" ht="42.75">
      <c r="A21" s="22" t="s">
        <v>14</v>
      </c>
      <c r="B21" s="25" t="s">
        <v>228</v>
      </c>
      <c r="C21" s="26">
        <f>[5]С4!F12</f>
        <v>259.08449510966852</v>
      </c>
    </row>
    <row r="22" spans="1:3" ht="33" customHeight="1">
      <c r="A22" s="22" t="s">
        <v>16</v>
      </c>
      <c r="B22" s="25" t="s">
        <v>229</v>
      </c>
      <c r="C22" s="26">
        <f>[5]С5!F12</f>
        <v>58.164042273848409</v>
      </c>
    </row>
    <row r="23" spans="1:3" ht="45.75" customHeight="1" thickBot="1">
      <c r="A23" s="27" t="s">
        <v>18</v>
      </c>
      <c r="B23" s="142" t="s">
        <v>230</v>
      </c>
      <c r="C23" s="28">
        <f>[5]С6!F12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[5]С1.1!E16</f>
        <v>7900</v>
      </c>
    </row>
    <row r="29" spans="1:3" ht="42.75">
      <c r="A29" s="22" t="s">
        <v>10</v>
      </c>
      <c r="B29" s="33" t="s">
        <v>232</v>
      </c>
      <c r="C29" s="34">
        <f>[5]С1.1!E32</f>
        <v>5751.37</v>
      </c>
    </row>
    <row r="30" spans="1:3" ht="76.5">
      <c r="A30" s="22" t="s">
        <v>233</v>
      </c>
      <c r="B30" s="33" t="s">
        <v>234</v>
      </c>
      <c r="C30" s="85" t="str">
        <f>[5]С1.1!E25</f>
        <v>ООО "Газпром межрегионгаз Новосибирск", ООО "Газпром газораспределение Томск"</v>
      </c>
    </row>
    <row r="31" spans="1:3" ht="38.25">
      <c r="A31" s="22" t="s">
        <v>235</v>
      </c>
      <c r="B31" s="33"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[5]С1.1!E26</f>
        <v>4699.5</v>
      </c>
    </row>
    <row r="32" spans="1:3" ht="25.5">
      <c r="A32" s="22" t="s">
        <v>236</v>
      </c>
      <c r="B32" s="33"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[5]С1.1!E27</f>
        <v>795.43</v>
      </c>
    </row>
    <row r="33" spans="1:3" ht="25.5">
      <c r="A33" s="22" t="s">
        <v>237</v>
      </c>
      <c r="B33" s="33"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[5]С1.1!E28</f>
        <v>136.54</v>
      </c>
    </row>
    <row r="34" spans="1:3" ht="38.25">
      <c r="A34" s="22" t="s">
        <v>238</v>
      </c>
      <c r="B34" s="33"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[5]С1.1!E29</f>
        <v>119.9</v>
      </c>
    </row>
    <row r="35" spans="1:3" ht="17.25">
      <c r="A35" s="22" t="s">
        <v>12</v>
      </c>
      <c r="B35" s="33" t="s">
        <v>23</v>
      </c>
      <c r="C35" s="35">
        <f>[5]С1.1!E20</f>
        <v>8.5000000000000006E-2</v>
      </c>
    </row>
    <row r="36" spans="1:3" ht="17.25">
      <c r="A36" s="22" t="s">
        <v>14</v>
      </c>
      <c r="B36" s="33" t="s">
        <v>24</v>
      </c>
      <c r="C36" s="35">
        <f>[5]С1.1!E21</f>
        <v>0.112</v>
      </c>
    </row>
    <row r="37" spans="1:3" ht="30">
      <c r="A37" s="22" t="s">
        <v>16</v>
      </c>
      <c r="B37" s="36" t="s">
        <v>239</v>
      </c>
      <c r="C37" s="121">
        <f>[5]С1!F13</f>
        <v>156.1</v>
      </c>
    </row>
    <row r="38" spans="1:3">
      <c r="A38" s="22" t="s">
        <v>18</v>
      </c>
      <c r="B38" s="36" t="s">
        <v>26</v>
      </c>
      <c r="C38" s="38">
        <f>[5]С1!F16</f>
        <v>7000</v>
      </c>
    </row>
    <row r="39" spans="1:3" ht="14.25">
      <c r="A39" s="122" t="s">
        <v>27</v>
      </c>
      <c r="B39" s="39" t="s">
        <v>240</v>
      </c>
      <c r="C39" s="40">
        <f>[5]С1!F17</f>
        <v>1.1285714285714286</v>
      </c>
    </row>
    <row r="40" spans="1:3" ht="15.75">
      <c r="A40" s="123" t="s">
        <v>29</v>
      </c>
      <c r="B40" s="42" t="s">
        <v>30</v>
      </c>
      <c r="C40" s="40">
        <f>[5]С1!F20</f>
        <v>22.307053372799995</v>
      </c>
    </row>
    <row r="41" spans="1:3" ht="15.75">
      <c r="A41" s="123" t="s">
        <v>31</v>
      </c>
      <c r="B41" s="43" t="s">
        <v>32</v>
      </c>
      <c r="C41" s="40">
        <f>[5]С1!F21</f>
        <v>21.531904799999996</v>
      </c>
    </row>
    <row r="42" spans="1:3" ht="14.25">
      <c r="A42" s="123" t="s">
        <v>33</v>
      </c>
      <c r="B42" s="44" t="s">
        <v>34</v>
      </c>
      <c r="C42" s="40">
        <f>[5]С1!F22</f>
        <v>1.036</v>
      </c>
    </row>
    <row r="43" spans="1:3" ht="53.25" thickBot="1">
      <c r="A43" s="27" t="s">
        <v>35</v>
      </c>
      <c r="B43" s="45" t="s">
        <v>36</v>
      </c>
      <c r="C43" s="46" t="str">
        <f>[5]С1!F23</f>
        <v>-</v>
      </c>
    </row>
    <row r="44" spans="1:3" ht="13.5" thickBot="1">
      <c r="A44" s="47"/>
      <c r="B44" s="75"/>
      <c r="C44" s="15"/>
    </row>
    <row r="45" spans="1:3" ht="30" customHeight="1">
      <c r="A45" s="50" t="s">
        <v>37</v>
      </c>
      <c r="B45" s="145" t="s">
        <v>38</v>
      </c>
      <c r="C45" s="145"/>
    </row>
    <row r="46" spans="1:3" ht="25.5">
      <c r="A46" s="22" t="s">
        <v>39</v>
      </c>
      <c r="B46" s="36" t="s">
        <v>40</v>
      </c>
      <c r="C46" s="51" t="str">
        <f>[5]С2.1!E12</f>
        <v>V</v>
      </c>
    </row>
    <row r="47" spans="1:3" ht="25.5">
      <c r="A47" s="22" t="s">
        <v>41</v>
      </c>
      <c r="B47" s="33" t="s">
        <v>42</v>
      </c>
      <c r="C47" s="51" t="str">
        <f>[5]С2.1!E13</f>
        <v>6 и менее баллов</v>
      </c>
    </row>
    <row r="48" spans="1:3" ht="25.5">
      <c r="A48" s="22" t="s">
        <v>43</v>
      </c>
      <c r="B48" s="33" t="s">
        <v>241</v>
      </c>
      <c r="C48" s="51" t="str">
        <f>[5]С2.1!E14</f>
        <v>от 200 до 500</v>
      </c>
    </row>
    <row r="49" spans="1:3" ht="25.5">
      <c r="A49" s="22" t="s">
        <v>45</v>
      </c>
      <c r="B49" s="33" t="s">
        <v>242</v>
      </c>
      <c r="C49" s="52" t="str">
        <f>[5]С2.1!E15</f>
        <v>нет</v>
      </c>
    </row>
    <row r="50" spans="1:3" ht="30">
      <c r="A50" s="22" t="s">
        <v>47</v>
      </c>
      <c r="B50" s="33" t="s">
        <v>48</v>
      </c>
      <c r="C50" s="34">
        <f>[5]С2!F18</f>
        <v>35106.652004551666</v>
      </c>
    </row>
    <row r="51" spans="1:3" ht="30">
      <c r="A51" s="22" t="s">
        <v>49</v>
      </c>
      <c r="B51" s="53" t="s">
        <v>50</v>
      </c>
      <c r="C51" s="34">
        <f>IF([5]С2!F19&gt;0,[5]С2!F19,[5]С2!F20)</f>
        <v>23441.524932855718</v>
      </c>
    </row>
    <row r="52" spans="1:3" ht="25.5">
      <c r="A52" s="22" t="s">
        <v>51</v>
      </c>
      <c r="B52" s="54" t="s">
        <v>52</v>
      </c>
      <c r="C52" s="34">
        <f>[5]С2.1!E20</f>
        <v>-37</v>
      </c>
    </row>
    <row r="53" spans="1:3" ht="25.5">
      <c r="A53" s="22" t="s">
        <v>53</v>
      </c>
      <c r="B53" s="54" t="s">
        <v>54</v>
      </c>
      <c r="C53" s="34" t="str">
        <f>[5]С2.1!E23</f>
        <v>нет</v>
      </c>
    </row>
    <row r="54" spans="1:3" ht="38.25">
      <c r="A54" s="22" t="s">
        <v>55</v>
      </c>
      <c r="B54" s="55" t="s">
        <v>56</v>
      </c>
      <c r="C54" s="34">
        <f>[5]С2.2!E10</f>
        <v>1287</v>
      </c>
    </row>
    <row r="55" spans="1:3" ht="25.5">
      <c r="A55" s="22" t="s">
        <v>57</v>
      </c>
      <c r="B55" s="56" t="s">
        <v>58</v>
      </c>
      <c r="C55" s="34">
        <f>[5]С2.2!E12</f>
        <v>5.97</v>
      </c>
    </row>
    <row r="56" spans="1:3" ht="52.5">
      <c r="A56" s="22" t="s">
        <v>59</v>
      </c>
      <c r="B56" s="57" t="s">
        <v>60</v>
      </c>
      <c r="C56" s="34">
        <f>[5]С2.2!E13</f>
        <v>1</v>
      </c>
    </row>
    <row r="57" spans="1:3" ht="27.75">
      <c r="A57" s="22" t="s">
        <v>61</v>
      </c>
      <c r="B57" s="56" t="s">
        <v>62</v>
      </c>
      <c r="C57" s="34">
        <f>[5]С2.2!E14</f>
        <v>12104</v>
      </c>
    </row>
    <row r="58" spans="1:3" ht="25.5">
      <c r="A58" s="22" t="s">
        <v>63</v>
      </c>
      <c r="B58" s="57" t="s">
        <v>64</v>
      </c>
      <c r="C58" s="35">
        <f>[5]С2.2!E15</f>
        <v>4.8000000000000001E-2</v>
      </c>
    </row>
    <row r="59" spans="1:3">
      <c r="A59" s="22" t="s">
        <v>65</v>
      </c>
      <c r="B59" s="57" t="s">
        <v>66</v>
      </c>
      <c r="C59" s="124">
        <f>[5]С2.2!E16</f>
        <v>1</v>
      </c>
    </row>
    <row r="60" spans="1:3" ht="15.75">
      <c r="A60" s="22" t="s">
        <v>67</v>
      </c>
      <c r="B60" s="58" t="s">
        <v>68</v>
      </c>
      <c r="C60" s="34">
        <f>[5]С2!F21</f>
        <v>1</v>
      </c>
    </row>
    <row r="61" spans="1:3" ht="30">
      <c r="A61" s="59" t="s">
        <v>69</v>
      </c>
      <c r="B61" s="33" t="s">
        <v>243</v>
      </c>
      <c r="C61" s="34">
        <f>[5]С2!F13</f>
        <v>105136.23090983224</v>
      </c>
    </row>
    <row r="62" spans="1:3" ht="30">
      <c r="A62" s="59" t="s">
        <v>71</v>
      </c>
      <c r="B62" s="60" t="s">
        <v>244</v>
      </c>
      <c r="C62" s="34">
        <f>[5]С2!F14</f>
        <v>64899</v>
      </c>
    </row>
    <row r="63" spans="1:3" ht="15.75">
      <c r="A63" s="59" t="s">
        <v>73</v>
      </c>
      <c r="B63" s="60" t="s">
        <v>74</v>
      </c>
      <c r="C63" s="40">
        <f>[5]С2!F15</f>
        <v>1.071</v>
      </c>
    </row>
    <row r="64" spans="1:3" ht="15.75">
      <c r="A64" s="59" t="s">
        <v>75</v>
      </c>
      <c r="B64" s="60" t="s">
        <v>76</v>
      </c>
      <c r="C64" s="125">
        <f>[5]С2!F16</f>
        <v>1</v>
      </c>
    </row>
    <row r="65" spans="1:3" ht="17.25">
      <c r="A65" s="59" t="s">
        <v>77</v>
      </c>
      <c r="B65" s="60" t="s">
        <v>78</v>
      </c>
      <c r="C65" s="126">
        <f>[5]С2!F17</f>
        <v>1.01</v>
      </c>
    </row>
    <row r="66" spans="1:3" s="63" customFormat="1" ht="14.25">
      <c r="A66" s="59" t="s">
        <v>79</v>
      </c>
      <c r="B66" s="61" t="s">
        <v>80</v>
      </c>
      <c r="C66" s="62">
        <f>[5]С2!F35</f>
        <v>10</v>
      </c>
    </row>
    <row r="67" spans="1:3" ht="30">
      <c r="A67" s="59" t="s">
        <v>81</v>
      </c>
      <c r="B67" s="64" t="s">
        <v>82</v>
      </c>
      <c r="C67" s="34">
        <f>[5]С2!F28</f>
        <v>141.64867100230373</v>
      </c>
    </row>
    <row r="68" spans="1:3" ht="17.25">
      <c r="A68" s="59" t="s">
        <v>83</v>
      </c>
      <c r="B68" s="53" t="s">
        <v>245</v>
      </c>
      <c r="C68" s="40">
        <f>[5]С2!F29</f>
        <v>0.18916419899999998</v>
      </c>
    </row>
    <row r="69" spans="1:3" ht="17.25">
      <c r="A69" s="59" t="s">
        <v>85</v>
      </c>
      <c r="B69" s="58" t="s">
        <v>246</v>
      </c>
      <c r="C69" s="62">
        <f>[5]С2!F30</f>
        <v>500</v>
      </c>
    </row>
    <row r="70" spans="1:3" ht="42.75">
      <c r="A70" s="59" t="s">
        <v>87</v>
      </c>
      <c r="B70" s="33" t="s">
        <v>247</v>
      </c>
      <c r="C70" s="34">
        <f>[5]С2!F22</f>
        <v>39638.324046481182</v>
      </c>
    </row>
    <row r="71" spans="1:3" ht="30">
      <c r="A71" s="59" t="s">
        <v>89</v>
      </c>
      <c r="B71" s="60" t="s">
        <v>248</v>
      </c>
      <c r="C71" s="34">
        <f>[5]С2!F23</f>
        <v>21</v>
      </c>
    </row>
    <row r="72" spans="1:3" ht="30">
      <c r="A72" s="59" t="s">
        <v>91</v>
      </c>
      <c r="B72" s="53" t="s">
        <v>92</v>
      </c>
      <c r="C72" s="34">
        <f>[5]С2.1!E28</f>
        <v>14036.09995</v>
      </c>
    </row>
    <row r="73" spans="1:3" ht="38.25">
      <c r="A73" s="59" t="s">
        <v>93</v>
      </c>
      <c r="B73" s="65" t="s">
        <v>94</v>
      </c>
      <c r="C73" s="52">
        <f>[5]С2.3!E21</f>
        <v>0</v>
      </c>
    </row>
    <row r="74" spans="1:3" ht="25.5">
      <c r="A74" s="59" t="s">
        <v>95</v>
      </c>
      <c r="B74" s="66" t="s">
        <v>96</v>
      </c>
      <c r="C74" s="67">
        <f>[5]С2.3!E11</f>
        <v>5.45</v>
      </c>
    </row>
    <row r="75" spans="1:3" ht="25.5">
      <c r="A75" s="59" t="s">
        <v>97</v>
      </c>
      <c r="B75" s="66" t="s">
        <v>98</v>
      </c>
      <c r="C75" s="62">
        <f>[5]С2.3!E13</f>
        <v>300</v>
      </c>
    </row>
    <row r="76" spans="1:3" ht="25.5">
      <c r="A76" s="59" t="s">
        <v>99</v>
      </c>
      <c r="B76" s="65" t="s">
        <v>100</v>
      </c>
      <c r="C76" s="68">
        <f>IF([5]С2.3!E22&gt;0,[5]С2.3!E22,[5]С2.3!E14)</f>
        <v>61211</v>
      </c>
    </row>
    <row r="77" spans="1:3" ht="38.25">
      <c r="A77" s="59" t="s">
        <v>101</v>
      </c>
      <c r="B77" s="65" t="s">
        <v>102</v>
      </c>
      <c r="C77" s="68">
        <f>IF([5]С2.3!E23&gt;0,[5]С2.3!E23,[5]С2.3!E15)</f>
        <v>45675</v>
      </c>
    </row>
    <row r="78" spans="1:3" ht="30">
      <c r="A78" s="59" t="s">
        <v>103</v>
      </c>
      <c r="B78" s="53" t="s">
        <v>104</v>
      </c>
      <c r="C78" s="34">
        <f>[5]С2.1!E29</f>
        <v>9518.3274000000001</v>
      </c>
    </row>
    <row r="79" spans="1:3" ht="38.25">
      <c r="A79" s="59" t="s">
        <v>105</v>
      </c>
      <c r="B79" s="65" t="s">
        <v>106</v>
      </c>
      <c r="C79" s="52">
        <f>[5]С2.3!E25</f>
        <v>0</v>
      </c>
    </row>
    <row r="80" spans="1:3" ht="25.5">
      <c r="A80" s="59" t="s">
        <v>107</v>
      </c>
      <c r="B80" s="66" t="s">
        <v>108</v>
      </c>
      <c r="C80" s="67">
        <f>[5]С2.3!E12</f>
        <v>0.2</v>
      </c>
    </row>
    <row r="81" spans="1:3" ht="25.5">
      <c r="A81" s="59" t="s">
        <v>109</v>
      </c>
      <c r="B81" s="66" t="s">
        <v>98</v>
      </c>
      <c r="C81" s="62">
        <f>[5]С2.3!E13</f>
        <v>300</v>
      </c>
    </row>
    <row r="82" spans="1:3" ht="25.5">
      <c r="A82" s="59" t="s">
        <v>110</v>
      </c>
      <c r="B82" s="69" t="s">
        <v>111</v>
      </c>
      <c r="C82" s="68">
        <f>IF([5]С2.3!E26&gt;0,[5]С2.3!E26,[5]С2.3!E16)</f>
        <v>65637</v>
      </c>
    </row>
    <row r="83" spans="1:3" ht="38.25">
      <c r="A83" s="59" t="s">
        <v>112</v>
      </c>
      <c r="B83" s="69" t="s">
        <v>113</v>
      </c>
      <c r="C83" s="68">
        <f>IF([5]С2.3!E27&gt;0,[5]С2.3!E27,[5]С2.3!E17)</f>
        <v>31684</v>
      </c>
    </row>
    <row r="84" spans="1:3" ht="30">
      <c r="A84" s="59" t="s">
        <v>249</v>
      </c>
      <c r="B84" s="60" t="s">
        <v>250</v>
      </c>
      <c r="C84" s="68">
        <f>IF([5]С2.1!E19&gt;0,[5]С2.1!E19,[5]С2!F26)</f>
        <v>2892</v>
      </c>
    </row>
    <row r="85" spans="1:3" ht="17.25">
      <c r="A85" s="59" t="s">
        <v>114</v>
      </c>
      <c r="B85" s="33" t="s">
        <v>115</v>
      </c>
      <c r="C85" s="35">
        <f>[5]С2!F31</f>
        <v>9.5962865259740182E-2</v>
      </c>
    </row>
    <row r="86" spans="1:3" ht="30">
      <c r="A86" s="59" t="s">
        <v>116</v>
      </c>
      <c r="B86" s="53" t="s">
        <v>117</v>
      </c>
      <c r="C86" s="70">
        <f>[5]С2!F32</f>
        <v>8.4029304029304031E-2</v>
      </c>
    </row>
    <row r="87" spans="1:3" ht="17.25">
      <c r="A87" s="59" t="s">
        <v>118</v>
      </c>
      <c r="B87" s="71" t="s">
        <v>119</v>
      </c>
      <c r="C87" s="35">
        <f>[5]С2!F33</f>
        <v>0.13880000000000001</v>
      </c>
    </row>
    <row r="88" spans="1:3" s="63" customFormat="1" ht="18" thickBot="1">
      <c r="A88" s="72" t="s">
        <v>120</v>
      </c>
      <c r="B88" s="73" t="s">
        <v>121</v>
      </c>
      <c r="C88" s="74">
        <f>[5]С2!F34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[5]С3!F14</f>
        <v>4199.9055432306041</v>
      </c>
    </row>
    <row r="92" spans="1:3" s="63" customFormat="1" ht="42.75">
      <c r="A92" s="77" t="s">
        <v>126</v>
      </c>
      <c r="B92" s="53" t="s">
        <v>127</v>
      </c>
      <c r="C92" s="78">
        <f>[5]С3!F15</f>
        <v>0.2</v>
      </c>
    </row>
    <row r="93" spans="1:3" s="63" customFormat="1" ht="14.25">
      <c r="A93" s="77" t="s">
        <v>128</v>
      </c>
      <c r="B93" s="79" t="s">
        <v>129</v>
      </c>
      <c r="C93" s="62">
        <f>[5]С3!F18</f>
        <v>15</v>
      </c>
    </row>
    <row r="94" spans="1:3" s="63" customFormat="1" ht="17.25">
      <c r="A94" s="77" t="s">
        <v>130</v>
      </c>
      <c r="B94" s="33" t="s">
        <v>131</v>
      </c>
      <c r="C94" s="34">
        <f>[5]С3!F19</f>
        <v>2638.2577020926874</v>
      </c>
    </row>
    <row r="95" spans="1:3" s="63" customFormat="1" ht="55.5">
      <c r="A95" s="77" t="s">
        <v>132</v>
      </c>
      <c r="B95" s="53" t="s">
        <v>133</v>
      </c>
      <c r="C95" s="80">
        <f>[5]С3!F20</f>
        <v>2.1999999999999999E-2</v>
      </c>
    </row>
    <row r="96" spans="1:3" s="63" customFormat="1" ht="14.25">
      <c r="A96" s="77" t="s">
        <v>134</v>
      </c>
      <c r="B96" s="58" t="s">
        <v>80</v>
      </c>
      <c r="C96" s="62">
        <f>[5]С3!F21</f>
        <v>10</v>
      </c>
    </row>
    <row r="97" spans="1:3" s="63" customFormat="1" ht="17.25">
      <c r="A97" s="77" t="s">
        <v>135</v>
      </c>
      <c r="B97" s="33" t="s">
        <v>136</v>
      </c>
      <c r="C97" s="34">
        <f>[5]С3!F22</f>
        <v>0.42494601300691121</v>
      </c>
    </row>
    <row r="98" spans="1:3" s="63" customFormat="1" ht="55.5">
      <c r="A98" s="77" t="s">
        <v>137</v>
      </c>
      <c r="B98" s="53" t="s">
        <v>138</v>
      </c>
      <c r="C98" s="80">
        <f>[5]С3!F23</f>
        <v>3.0000000000000001E-3</v>
      </c>
    </row>
    <row r="99" spans="1:3" s="63" customFormat="1" ht="30.75" thickBot="1">
      <c r="A99" s="81" t="s">
        <v>139</v>
      </c>
      <c r="B99" s="82" t="s">
        <v>82</v>
      </c>
      <c r="C99" s="83">
        <f>[5]С3!F24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[5]С4!F16</f>
        <v>832.33500000000004</v>
      </c>
    </row>
    <row r="103" spans="1:3" ht="30">
      <c r="A103" s="59" t="s">
        <v>145</v>
      </c>
      <c r="B103" s="58" t="s">
        <v>252</v>
      </c>
      <c r="C103" s="34">
        <f>[5]С4!F17</f>
        <v>43385</v>
      </c>
    </row>
    <row r="104" spans="1:3" ht="17.25">
      <c r="A104" s="59" t="s">
        <v>147</v>
      </c>
      <c r="B104" s="58" t="s">
        <v>148</v>
      </c>
      <c r="C104" s="40">
        <f>[5]С4!F18</f>
        <v>1.4999999999999999E-2</v>
      </c>
    </row>
    <row r="105" spans="1:3" ht="30">
      <c r="A105" s="59" t="s">
        <v>149</v>
      </c>
      <c r="B105" s="58" t="s">
        <v>150</v>
      </c>
      <c r="C105" s="34">
        <f>[5]С4!F19</f>
        <v>12104</v>
      </c>
    </row>
    <row r="106" spans="1:3" ht="31.5">
      <c r="A106" s="59" t="s">
        <v>151</v>
      </c>
      <c r="B106" s="58" t="s">
        <v>152</v>
      </c>
      <c r="C106" s="40">
        <f>[5]С4!F20</f>
        <v>1.4999999999999999E-2</v>
      </c>
    </row>
    <row r="107" spans="1:3" ht="30">
      <c r="A107" s="59" t="s">
        <v>153</v>
      </c>
      <c r="B107" s="33" t="s">
        <v>253</v>
      </c>
      <c r="C107" s="34">
        <f>[5]С4!F21</f>
        <v>1221.9019409821399</v>
      </c>
    </row>
    <row r="108" spans="1:3" ht="45.6" customHeight="1">
      <c r="A108" s="59" t="s">
        <v>155</v>
      </c>
      <c r="B108" s="53" t="s">
        <v>156</v>
      </c>
      <c r="C108" s="85" t="str">
        <f>IF([5]С4.2!F8="да",[5]С4.2!D21,[5]С4.2!D15)</f>
        <v>АО "Новосибирскэнергосбыт"</v>
      </c>
    </row>
    <row r="109" spans="1:3" ht="68.25" customHeight="1">
      <c r="A109" s="59" t="s">
        <v>157</v>
      </c>
      <c r="B109" s="53" t="s">
        <v>158</v>
      </c>
      <c r="C109" s="34">
        <f>[5]С4!F22</f>
        <v>3.6112641666666665</v>
      </c>
    </row>
    <row r="110" spans="1:3" ht="30">
      <c r="A110" s="59" t="s">
        <v>159</v>
      </c>
      <c r="B110" s="58" t="s">
        <v>254</v>
      </c>
      <c r="C110" s="62">
        <f>[5]С4!F23</f>
        <v>110</v>
      </c>
    </row>
    <row r="111" spans="1:3" ht="14.25">
      <c r="A111" s="59" t="s">
        <v>161</v>
      </c>
      <c r="B111" s="53" t="s">
        <v>162</v>
      </c>
      <c r="C111" s="34">
        <f>[5]С4!F24</f>
        <v>8497.1999999999989</v>
      </c>
    </row>
    <row r="112" spans="1:3" ht="14.25">
      <c r="A112" s="59" t="s">
        <v>163</v>
      </c>
      <c r="B112" s="58" t="s">
        <v>164</v>
      </c>
      <c r="C112" s="40">
        <f>[5]С4!F25</f>
        <v>0.36199999999999999</v>
      </c>
    </row>
    <row r="113" spans="1:3" ht="17.25">
      <c r="A113" s="59" t="s">
        <v>165</v>
      </c>
      <c r="B113" s="33" t="s">
        <v>166</v>
      </c>
      <c r="C113" s="34">
        <f>[5]С4!F26</f>
        <v>37.330460000000002</v>
      </c>
    </row>
    <row r="114" spans="1:3" ht="25.5">
      <c r="A114" s="59" t="s">
        <v>167</v>
      </c>
      <c r="B114" s="53" t="s">
        <v>94</v>
      </c>
      <c r="C114" s="85">
        <f>[5]С4.3!E16</f>
        <v>0</v>
      </c>
    </row>
    <row r="115" spans="1:3" ht="25.5">
      <c r="A115" s="59" t="s">
        <v>168</v>
      </c>
      <c r="B115" s="53" t="s">
        <v>169</v>
      </c>
      <c r="C115" s="34">
        <f>[5]С4.3!E17</f>
        <v>18.8</v>
      </c>
    </row>
    <row r="116" spans="1:3" ht="38.25">
      <c r="A116" s="59" t="s">
        <v>170</v>
      </c>
      <c r="B116" s="53" t="s">
        <v>106</v>
      </c>
      <c r="C116" s="85">
        <f>[5]С4.3!E18</f>
        <v>0</v>
      </c>
    </row>
    <row r="117" spans="1:3">
      <c r="A117" s="59" t="s">
        <v>171</v>
      </c>
      <c r="B117" s="53" t="s">
        <v>172</v>
      </c>
      <c r="C117" s="34">
        <f>[5]С4.3!E19</f>
        <v>13.82</v>
      </c>
    </row>
    <row r="118" spans="1:3">
      <c r="A118" s="59" t="s">
        <v>173</v>
      </c>
      <c r="B118" s="58" t="s">
        <v>174</v>
      </c>
      <c r="C118" s="62">
        <f>[5]С4.3!E11</f>
        <v>1871</v>
      </c>
    </row>
    <row r="119" spans="1:3">
      <c r="A119" s="59" t="s">
        <v>175</v>
      </c>
      <c r="B119" s="58" t="s">
        <v>176</v>
      </c>
      <c r="C119" s="52">
        <f>[5]С4.3!E12</f>
        <v>61</v>
      </c>
    </row>
    <row r="120" spans="1:3">
      <c r="A120" s="59" t="s">
        <v>177</v>
      </c>
      <c r="B120" s="58" t="s">
        <v>178</v>
      </c>
      <c r="C120" s="52">
        <f>[5]С4.3!E13</f>
        <v>73</v>
      </c>
    </row>
    <row r="121" spans="1:3" ht="30">
      <c r="A121" s="59" t="s">
        <v>179</v>
      </c>
      <c r="B121" s="33" t="s">
        <v>255</v>
      </c>
      <c r="C121" s="34">
        <f>[5]С4!F27</f>
        <v>1296.7467102743137</v>
      </c>
    </row>
    <row r="122" spans="1:3" ht="25.5">
      <c r="A122" s="59" t="s">
        <v>181</v>
      </c>
      <c r="B122" s="53" t="s">
        <v>256</v>
      </c>
      <c r="C122" s="34">
        <f>[5]С4!F28</f>
        <v>995.96521526444985</v>
      </c>
    </row>
    <row r="123" spans="1:3" ht="42.75">
      <c r="A123" s="59" t="s">
        <v>183</v>
      </c>
      <c r="B123" s="53" t="s">
        <v>184</v>
      </c>
      <c r="C123" s="34">
        <f>[5]С4!F29</f>
        <v>300.78149500986387</v>
      </c>
    </row>
    <row r="124" spans="1:3" ht="30.75" thickBot="1">
      <c r="A124" s="72" t="s">
        <v>185</v>
      </c>
      <c r="B124" s="90" t="s">
        <v>186</v>
      </c>
      <c r="C124" s="83">
        <f>[5]С4!F30</f>
        <v>504.15323753469221</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[5]С5!F17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IF([5]С6.1!E11="нет",[5]С6!F13,"")</f>
        <v/>
      </c>
    </row>
    <row r="131" spans="1:3" ht="42.75">
      <c r="A131" s="59" t="s">
        <v>204</v>
      </c>
      <c r="B131" s="86" t="s">
        <v>205</v>
      </c>
      <c r="C131" s="92" t="str">
        <f>IF([5]С6.1!E12="нет",[5]С6.1!E17,"")</f>
        <v/>
      </c>
    </row>
    <row r="132" spans="1:3" ht="68.25">
      <c r="A132" s="59" t="s">
        <v>206</v>
      </c>
      <c r="B132" s="91" t="s">
        <v>207</v>
      </c>
      <c r="C132" s="127" t="str">
        <f>IF([5]С6.1!E18="нет",[5]С6!F19,"")</f>
        <v/>
      </c>
    </row>
    <row r="133" spans="1:3" ht="55.5">
      <c r="A133" s="59" t="s">
        <v>208</v>
      </c>
      <c r="B133" s="86" t="s">
        <v>209</v>
      </c>
      <c r="C133" s="35" t="str">
        <f>IF([5]С6.1!E18="нет",[5]С6.1!E19,"")</f>
        <v/>
      </c>
    </row>
    <row r="134" spans="1:3" ht="61.5" customHeight="1">
      <c r="A134" s="59" t="s">
        <v>210</v>
      </c>
      <c r="B134" s="86" t="s">
        <v>257</v>
      </c>
      <c r="C134" s="35" t="str">
        <f>IF([5]С6.1!E18="нет",[5]С6.1!E22,"")</f>
        <v/>
      </c>
    </row>
    <row r="135" spans="1:3" ht="69" thickBot="1">
      <c r="A135" s="72" t="s">
        <v>212</v>
      </c>
      <c r="B135" s="98" t="s">
        <v>213</v>
      </c>
      <c r="C135" s="74" t="str">
        <f>IF([5]С6.1!E18="нет",[5]С6.1!E23,"")</f>
        <v/>
      </c>
    </row>
    <row r="136" spans="1:3" s="89" customFormat="1" ht="13.5" thickBot="1">
      <c r="A136" s="47"/>
      <c r="B136" s="75"/>
      <c r="C136" s="15"/>
    </row>
    <row r="137" spans="1:3" ht="15.75">
      <c r="A137" s="84" t="s">
        <v>214</v>
      </c>
      <c r="B137" s="99" t="s">
        <v>215</v>
      </c>
      <c r="C137" s="100">
        <f>[5]С2!F39</f>
        <v>21.531904799999996</v>
      </c>
    </row>
    <row r="138" spans="1:3" ht="14.25">
      <c r="A138" s="59" t="s">
        <v>216</v>
      </c>
      <c r="B138" s="58" t="s">
        <v>217</v>
      </c>
      <c r="C138" s="34">
        <f>[5]С2!F40</f>
        <v>7</v>
      </c>
    </row>
    <row r="139" spans="1:3" ht="17.25">
      <c r="A139" s="59" t="s">
        <v>218</v>
      </c>
      <c r="B139" s="58" t="s">
        <v>219</v>
      </c>
      <c r="C139" s="34">
        <f>[5]С2!F42</f>
        <v>0.97</v>
      </c>
    </row>
    <row r="140" spans="1:3" ht="15" thickBot="1">
      <c r="A140" s="72" t="s">
        <v>220</v>
      </c>
      <c r="B140" s="73" t="s">
        <v>221</v>
      </c>
      <c r="C140" s="46">
        <f>[5]С2!F44</f>
        <v>0.36199999999999999</v>
      </c>
    </row>
    <row r="141" spans="1:3" s="89" customFormat="1" ht="13.5" thickBot="1">
      <c r="A141" s="47"/>
      <c r="B141" s="75"/>
      <c r="C141" s="15"/>
    </row>
    <row r="142" spans="1:3" ht="17.25">
      <c r="A142" s="84" t="s">
        <v>222</v>
      </c>
      <c r="B142" s="103" t="s">
        <v>258</v>
      </c>
      <c r="C142" s="128">
        <f>[5]С2!F37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[5]С2.5!$E$11</f>
        <v>-2.9000000000000026E-2</v>
      </c>
    </row>
    <row r="146" spans="1:3">
      <c r="B146" s="131">
        <f>B145+1</f>
        <v>2021</v>
      </c>
      <c r="C146" s="133">
        <f>[5]С2.5!$F$11</f>
        <v>0.245</v>
      </c>
    </row>
    <row r="147" spans="1:3">
      <c r="B147" s="131">
        <f t="shared" ref="B147:B210" si="0">B146+1</f>
        <v>2022</v>
      </c>
      <c r="C147" s="134">
        <f>[5]С2.5!$G$11</f>
        <v>0.114</v>
      </c>
    </row>
    <row r="148" spans="1:3">
      <c r="B148" s="110">
        <f t="shared" si="0"/>
        <v>2023</v>
      </c>
      <c r="C148" s="135">
        <f>[5]С2.5!$H$11</f>
        <v>2.4E-2</v>
      </c>
    </row>
    <row r="149" spans="1:3" ht="13.5" thickBot="1">
      <c r="B149" s="110">
        <f t="shared" si="0"/>
        <v>2024</v>
      </c>
      <c r="C149" s="135">
        <f>[5]С2.5!$I$11</f>
        <v>8.5999999999999993E-2</v>
      </c>
    </row>
    <row r="150" spans="1:3" ht="13.5" hidden="1" thickBot="1">
      <c r="B150" s="110">
        <f t="shared" si="0"/>
        <v>2025</v>
      </c>
      <c r="C150" s="135">
        <f>[5]С2.5!$J$11</f>
        <v>0</v>
      </c>
    </row>
    <row r="151" spans="1:3" ht="13.5" hidden="1" thickBot="1">
      <c r="B151" s="110">
        <f t="shared" si="0"/>
        <v>2026</v>
      </c>
      <c r="C151" s="135">
        <f>[5]С2.5!$K$11</f>
        <v>0</v>
      </c>
    </row>
    <row r="152" spans="1:3" ht="13.5" hidden="1" thickBot="1">
      <c r="B152" s="110">
        <f t="shared" si="0"/>
        <v>2027</v>
      </c>
      <c r="C152" s="135">
        <f>[5]С2.5!$L$11</f>
        <v>0</v>
      </c>
    </row>
    <row r="153" spans="1:3" ht="13.5" hidden="1" thickBot="1">
      <c r="B153" s="110">
        <f t="shared" si="0"/>
        <v>2028</v>
      </c>
      <c r="C153" s="135">
        <f>[5]С2.5!$M$11</f>
        <v>0</v>
      </c>
    </row>
    <row r="154" spans="1:3" ht="13.5" hidden="1" thickBot="1">
      <c r="B154" s="110">
        <f t="shared" si="0"/>
        <v>2029</v>
      </c>
      <c r="C154" s="135">
        <f>[5]С2.5!$N$11</f>
        <v>0</v>
      </c>
    </row>
    <row r="155" spans="1:3" ht="13.5" hidden="1" thickBot="1">
      <c r="B155" s="110">
        <f t="shared" si="0"/>
        <v>2030</v>
      </c>
      <c r="C155" s="135">
        <f>[5]С2.5!$O$11</f>
        <v>0</v>
      </c>
    </row>
    <row r="156" spans="1:3" ht="13.5" hidden="1" thickBot="1">
      <c r="B156" s="110">
        <f t="shared" si="0"/>
        <v>2031</v>
      </c>
      <c r="C156" s="135">
        <f>[5]С2.5!$P$11</f>
        <v>0</v>
      </c>
    </row>
    <row r="157" spans="1:3" ht="13.5" hidden="1" thickBot="1">
      <c r="B157" s="110">
        <f t="shared" si="0"/>
        <v>2032</v>
      </c>
      <c r="C157" s="135">
        <f>[5]С2.5!$Q$11</f>
        <v>0</v>
      </c>
    </row>
    <row r="158" spans="1:3" ht="13.5" hidden="1" thickBot="1">
      <c r="B158" s="110">
        <f t="shared" si="0"/>
        <v>2033</v>
      </c>
      <c r="C158" s="135">
        <f>[5]С2.5!$R$11</f>
        <v>0</v>
      </c>
    </row>
    <row r="159" spans="1:3" ht="13.5" hidden="1" thickBot="1">
      <c r="B159" s="110">
        <f t="shared" si="0"/>
        <v>2034</v>
      </c>
      <c r="C159" s="135">
        <f>[5]С2.5!$S$11</f>
        <v>0</v>
      </c>
    </row>
    <row r="160" spans="1:3" ht="13.5" hidden="1" thickBot="1">
      <c r="B160" s="110">
        <f t="shared" si="0"/>
        <v>2035</v>
      </c>
      <c r="C160" s="135">
        <f>[5]С2.5!$T$11</f>
        <v>0</v>
      </c>
    </row>
    <row r="161" spans="2:3" ht="13.5" hidden="1" thickBot="1">
      <c r="B161" s="110">
        <f t="shared" si="0"/>
        <v>2036</v>
      </c>
      <c r="C161" s="135">
        <f>[5]С2.5!$U$11</f>
        <v>0</v>
      </c>
    </row>
    <row r="162" spans="2:3" ht="13.5" hidden="1" thickBot="1">
      <c r="B162" s="110">
        <f t="shared" si="0"/>
        <v>2037</v>
      </c>
      <c r="C162" s="135">
        <f>[5]С2.5!$V$11</f>
        <v>0</v>
      </c>
    </row>
    <row r="163" spans="2:3" ht="13.5" hidden="1" thickBot="1">
      <c r="B163" s="110">
        <f t="shared" si="0"/>
        <v>2038</v>
      </c>
      <c r="C163" s="135">
        <f>[5]С2.5!$W$11</f>
        <v>0</v>
      </c>
    </row>
    <row r="164" spans="2:3" ht="13.5" hidden="1" thickBot="1">
      <c r="B164" s="110">
        <f t="shared" si="0"/>
        <v>2039</v>
      </c>
      <c r="C164" s="135">
        <f>[5]С2.5!$X$11</f>
        <v>0</v>
      </c>
    </row>
    <row r="165" spans="2:3" ht="13.5" hidden="1" thickBot="1">
      <c r="B165" s="110">
        <f t="shared" si="0"/>
        <v>2040</v>
      </c>
      <c r="C165" s="135">
        <f>[5]С2.5!$Y$11</f>
        <v>0</v>
      </c>
    </row>
    <row r="166" spans="2:3" ht="13.5" hidden="1" thickBot="1">
      <c r="B166" s="110">
        <f t="shared" si="0"/>
        <v>2041</v>
      </c>
      <c r="C166" s="135">
        <f>[5]С2.5!$Z$11</f>
        <v>0</v>
      </c>
    </row>
    <row r="167" spans="2:3" ht="13.5" hidden="1" thickBot="1">
      <c r="B167" s="110">
        <f t="shared" si="0"/>
        <v>2042</v>
      </c>
      <c r="C167" s="135">
        <f>[5]С2.5!$AA$11</f>
        <v>0</v>
      </c>
    </row>
    <row r="168" spans="2:3" ht="13.5" hidden="1" thickBot="1">
      <c r="B168" s="110">
        <f t="shared" si="0"/>
        <v>2043</v>
      </c>
      <c r="C168" s="135">
        <f>[5]С2.5!$AB$11</f>
        <v>0</v>
      </c>
    </row>
    <row r="169" spans="2:3" ht="13.5" hidden="1" thickBot="1">
      <c r="B169" s="110">
        <f t="shared" si="0"/>
        <v>2044</v>
      </c>
      <c r="C169" s="135">
        <f>[5]С2.5!$AC$11</f>
        <v>0</v>
      </c>
    </row>
    <row r="170" spans="2:3" ht="13.5" hidden="1" thickBot="1">
      <c r="B170" s="110">
        <f t="shared" si="0"/>
        <v>2045</v>
      </c>
      <c r="C170" s="135">
        <f>[5]С2.5!$AD$11</f>
        <v>0</v>
      </c>
    </row>
    <row r="171" spans="2:3" ht="13.5" hidden="1" thickBot="1">
      <c r="B171" s="110">
        <f t="shared" si="0"/>
        <v>2046</v>
      </c>
      <c r="C171" s="135">
        <f>[5]С2.5!$AE$11</f>
        <v>0</v>
      </c>
    </row>
    <row r="172" spans="2:3" ht="13.5" hidden="1" thickBot="1">
      <c r="B172" s="110">
        <f t="shared" si="0"/>
        <v>2047</v>
      </c>
      <c r="C172" s="135">
        <f>[5]С2.5!$AF$11</f>
        <v>0</v>
      </c>
    </row>
    <row r="173" spans="2:3" ht="13.5" hidden="1" thickBot="1">
      <c r="B173" s="110">
        <f t="shared" si="0"/>
        <v>2048</v>
      </c>
      <c r="C173" s="135">
        <f>[5]С2.5!$AG$11</f>
        <v>0</v>
      </c>
    </row>
    <row r="174" spans="2:3" ht="13.5" hidden="1" thickBot="1">
      <c r="B174" s="110">
        <f t="shared" si="0"/>
        <v>2049</v>
      </c>
      <c r="C174" s="135">
        <f>[5]С2.5!$AH$11</f>
        <v>0</v>
      </c>
    </row>
    <row r="175" spans="2:3" ht="13.5" hidden="1" thickBot="1">
      <c r="B175" s="110">
        <f t="shared" si="0"/>
        <v>2050</v>
      </c>
      <c r="C175" s="135">
        <f>[5]С2.5!$AI$11</f>
        <v>0</v>
      </c>
    </row>
    <row r="176" spans="2:3" ht="13.5" hidden="1" thickBot="1">
      <c r="B176" s="110">
        <f t="shared" si="0"/>
        <v>2051</v>
      </c>
      <c r="C176" s="135">
        <f>[5]С2.5!$AJ$11</f>
        <v>0</v>
      </c>
    </row>
    <row r="177" spans="2:3" ht="13.5" hidden="1" thickBot="1">
      <c r="B177" s="110">
        <f t="shared" si="0"/>
        <v>2052</v>
      </c>
      <c r="C177" s="135">
        <f>[5]С2.5!$AK$11</f>
        <v>0</v>
      </c>
    </row>
    <row r="178" spans="2:3" ht="13.5" hidden="1" thickBot="1">
      <c r="B178" s="110">
        <f t="shared" si="0"/>
        <v>2053</v>
      </c>
      <c r="C178" s="135">
        <f>[5]С2.5!$AL$11</f>
        <v>0</v>
      </c>
    </row>
    <row r="179" spans="2:3" ht="13.5" hidden="1" thickBot="1">
      <c r="B179" s="110">
        <f t="shared" si="0"/>
        <v>2054</v>
      </c>
      <c r="C179" s="135">
        <f>[5]С2.5!$AM$11</f>
        <v>0</v>
      </c>
    </row>
    <row r="180" spans="2:3" ht="13.5" hidden="1" thickBot="1">
      <c r="B180" s="110">
        <f t="shared" si="0"/>
        <v>2055</v>
      </c>
      <c r="C180" s="135">
        <f>[5]С2.5!$AN$11</f>
        <v>0</v>
      </c>
    </row>
    <row r="181" spans="2:3" ht="13.5" hidden="1" thickBot="1">
      <c r="B181" s="110">
        <f t="shared" si="0"/>
        <v>2056</v>
      </c>
      <c r="C181" s="135">
        <f>[5]С2.5!$AO$11</f>
        <v>0</v>
      </c>
    </row>
    <row r="182" spans="2:3" ht="13.5" hidden="1" thickBot="1">
      <c r="B182" s="110">
        <f t="shared" si="0"/>
        <v>2057</v>
      </c>
      <c r="C182" s="135">
        <f>[5]С2.5!$AP$11</f>
        <v>0</v>
      </c>
    </row>
    <row r="183" spans="2:3" ht="13.5" hidden="1" thickBot="1">
      <c r="B183" s="110">
        <f t="shared" si="0"/>
        <v>2058</v>
      </c>
      <c r="C183" s="135">
        <f>[5]С2.5!$AQ$11</f>
        <v>0</v>
      </c>
    </row>
    <row r="184" spans="2:3" ht="13.5" hidden="1" thickBot="1">
      <c r="B184" s="110">
        <f t="shared" si="0"/>
        <v>2059</v>
      </c>
      <c r="C184" s="135">
        <f>[5]С2.5!$AR$11</f>
        <v>0</v>
      </c>
    </row>
    <row r="185" spans="2:3" ht="13.5" hidden="1" thickBot="1">
      <c r="B185" s="110">
        <f t="shared" si="0"/>
        <v>2060</v>
      </c>
      <c r="C185" s="135">
        <f>[5]С2.5!$AS$11</f>
        <v>0</v>
      </c>
    </row>
    <row r="186" spans="2:3" ht="13.5" hidden="1" thickBot="1">
      <c r="B186" s="110">
        <f t="shared" si="0"/>
        <v>2061</v>
      </c>
      <c r="C186" s="135">
        <f>[5]С2.5!$AT$11</f>
        <v>0</v>
      </c>
    </row>
    <row r="187" spans="2:3" ht="13.5" hidden="1" thickBot="1">
      <c r="B187" s="110">
        <f t="shared" si="0"/>
        <v>2062</v>
      </c>
      <c r="C187" s="135">
        <f>[5]С2.5!$AU$11</f>
        <v>0</v>
      </c>
    </row>
    <row r="188" spans="2:3" ht="13.5" hidden="1" thickBot="1">
      <c r="B188" s="110">
        <f t="shared" si="0"/>
        <v>2063</v>
      </c>
      <c r="C188" s="135">
        <f>[5]С2.5!$AV$11</f>
        <v>0</v>
      </c>
    </row>
    <row r="189" spans="2:3" ht="13.5" hidden="1" thickBot="1">
      <c r="B189" s="110">
        <f t="shared" si="0"/>
        <v>2064</v>
      </c>
      <c r="C189" s="135">
        <f>[5]С2.5!$AW$11</f>
        <v>0</v>
      </c>
    </row>
    <row r="190" spans="2:3" ht="13.5" hidden="1" thickBot="1">
      <c r="B190" s="110">
        <f t="shared" si="0"/>
        <v>2065</v>
      </c>
      <c r="C190" s="135">
        <f>[5]С2.5!$AX$11</f>
        <v>0</v>
      </c>
    </row>
    <row r="191" spans="2:3" ht="13.5" hidden="1" thickBot="1">
      <c r="B191" s="110">
        <f t="shared" si="0"/>
        <v>2066</v>
      </c>
      <c r="C191" s="135">
        <f>[5]С2.5!$AY$11</f>
        <v>0</v>
      </c>
    </row>
    <row r="192" spans="2:3" ht="13.5" hidden="1" thickBot="1">
      <c r="B192" s="110">
        <f t="shared" si="0"/>
        <v>2067</v>
      </c>
      <c r="C192" s="135">
        <f>[5]С2.5!$AZ$11</f>
        <v>0</v>
      </c>
    </row>
    <row r="193" spans="2:3" ht="13.5" hidden="1" thickBot="1">
      <c r="B193" s="110">
        <f t="shared" si="0"/>
        <v>2068</v>
      </c>
      <c r="C193" s="135">
        <f>[5]С2.5!$BA$11</f>
        <v>0</v>
      </c>
    </row>
    <row r="194" spans="2:3" ht="13.5" hidden="1" thickBot="1">
      <c r="B194" s="110">
        <f t="shared" si="0"/>
        <v>2069</v>
      </c>
      <c r="C194" s="135">
        <f>[5]С2.5!$BB$11</f>
        <v>0</v>
      </c>
    </row>
    <row r="195" spans="2:3" ht="13.5" hidden="1" thickBot="1">
      <c r="B195" s="110">
        <f t="shared" si="0"/>
        <v>2070</v>
      </c>
      <c r="C195" s="135">
        <f>[5]С2.5!$BC$11</f>
        <v>0</v>
      </c>
    </row>
    <row r="196" spans="2:3" ht="13.5" hidden="1" thickBot="1">
      <c r="B196" s="110">
        <f t="shared" si="0"/>
        <v>2071</v>
      </c>
      <c r="C196" s="135">
        <f>[5]С2.5!$BD$11</f>
        <v>0</v>
      </c>
    </row>
    <row r="197" spans="2:3" ht="13.5" hidden="1" thickBot="1">
      <c r="B197" s="110">
        <f t="shared" si="0"/>
        <v>2072</v>
      </c>
      <c r="C197" s="135">
        <f>[5]С2.5!$BE$11</f>
        <v>0</v>
      </c>
    </row>
    <row r="198" spans="2:3" ht="13.5" hidden="1" thickBot="1">
      <c r="B198" s="110">
        <f t="shared" si="0"/>
        <v>2073</v>
      </c>
      <c r="C198" s="135">
        <f>[5]С2.5!$BF$11</f>
        <v>0</v>
      </c>
    </row>
    <row r="199" spans="2:3" ht="13.5" hidden="1" thickBot="1">
      <c r="B199" s="110">
        <f t="shared" si="0"/>
        <v>2074</v>
      </c>
      <c r="C199" s="135">
        <f>[5]С2.5!$BG$11</f>
        <v>0</v>
      </c>
    </row>
    <row r="200" spans="2:3" ht="13.5" hidden="1" thickBot="1">
      <c r="B200" s="110">
        <f t="shared" si="0"/>
        <v>2075</v>
      </c>
      <c r="C200" s="135">
        <f>[5]С2.5!$BH$11</f>
        <v>0</v>
      </c>
    </row>
    <row r="201" spans="2:3" ht="13.5" hidden="1" thickBot="1">
      <c r="B201" s="110">
        <f t="shared" si="0"/>
        <v>2076</v>
      </c>
      <c r="C201" s="135">
        <f>[5]С2.5!$BI$11</f>
        <v>0</v>
      </c>
    </row>
    <row r="202" spans="2:3" ht="13.5" hidden="1" thickBot="1">
      <c r="B202" s="110">
        <f t="shared" si="0"/>
        <v>2077</v>
      </c>
      <c r="C202" s="135">
        <f>[5]С2.5!$BJ$11</f>
        <v>0</v>
      </c>
    </row>
    <row r="203" spans="2:3" ht="13.5" hidden="1" thickBot="1">
      <c r="B203" s="110">
        <f t="shared" si="0"/>
        <v>2078</v>
      </c>
      <c r="C203" s="135">
        <f>[5]С2.5!$BK$11</f>
        <v>0</v>
      </c>
    </row>
    <row r="204" spans="2:3" ht="13.5" hidden="1" thickBot="1">
      <c r="B204" s="110">
        <f t="shared" si="0"/>
        <v>2079</v>
      </c>
      <c r="C204" s="135">
        <f>[5]С2.5!$BL$11</f>
        <v>0</v>
      </c>
    </row>
    <row r="205" spans="2:3" ht="13.5" hidden="1" thickBot="1">
      <c r="B205" s="110">
        <f t="shared" si="0"/>
        <v>2080</v>
      </c>
      <c r="C205" s="135">
        <f>[5]С2.5!$BM$11</f>
        <v>0</v>
      </c>
    </row>
    <row r="206" spans="2:3" ht="13.5" hidden="1" thickBot="1">
      <c r="B206" s="110">
        <f t="shared" si="0"/>
        <v>2081</v>
      </c>
      <c r="C206" s="135">
        <f>[5]С2.5!$BN$11</f>
        <v>0</v>
      </c>
    </row>
    <row r="207" spans="2:3" ht="13.5" hidden="1" thickBot="1">
      <c r="B207" s="110">
        <f t="shared" si="0"/>
        <v>2082</v>
      </c>
      <c r="C207" s="135">
        <f>[5]С2.5!$BO$11</f>
        <v>0</v>
      </c>
    </row>
    <row r="208" spans="2:3" ht="13.5" hidden="1" thickBot="1">
      <c r="B208" s="110">
        <f t="shared" si="0"/>
        <v>2083</v>
      </c>
      <c r="C208" s="135">
        <f>[5]С2.5!$BP$11</f>
        <v>0</v>
      </c>
    </row>
    <row r="209" spans="2:3" ht="13.5" hidden="1" thickBot="1">
      <c r="B209" s="110">
        <f t="shared" si="0"/>
        <v>2084</v>
      </c>
      <c r="C209" s="135">
        <f>[5]С2.5!$BQ$11</f>
        <v>0</v>
      </c>
    </row>
    <row r="210" spans="2:3" ht="13.5" hidden="1" thickBot="1">
      <c r="B210" s="110">
        <f t="shared" si="0"/>
        <v>2085</v>
      </c>
      <c r="C210" s="135">
        <f>[5]С2.5!$BR$11</f>
        <v>0</v>
      </c>
    </row>
    <row r="211" spans="2:3" ht="13.5" hidden="1" thickBot="1">
      <c r="B211" s="110">
        <f t="shared" ref="B211:B224" si="1">B210+1</f>
        <v>2086</v>
      </c>
      <c r="C211" s="135">
        <f>[5]С2.5!$BS$11</f>
        <v>0</v>
      </c>
    </row>
    <row r="212" spans="2:3" ht="13.5" hidden="1" thickBot="1">
      <c r="B212" s="110">
        <f t="shared" si="1"/>
        <v>2087</v>
      </c>
      <c r="C212" s="135">
        <f>[5]С2.5!$BT$11</f>
        <v>0</v>
      </c>
    </row>
    <row r="213" spans="2:3" ht="13.5" hidden="1" thickBot="1">
      <c r="B213" s="110">
        <f t="shared" si="1"/>
        <v>2088</v>
      </c>
      <c r="C213" s="135">
        <f>[5]С2.5!$BU$11</f>
        <v>0</v>
      </c>
    </row>
    <row r="214" spans="2:3" ht="13.5" hidden="1" thickBot="1">
      <c r="B214" s="110">
        <f t="shared" si="1"/>
        <v>2089</v>
      </c>
      <c r="C214" s="135">
        <f>[5]С2.5!$BV$11</f>
        <v>0</v>
      </c>
    </row>
    <row r="215" spans="2:3" ht="13.5" hidden="1" thickBot="1">
      <c r="B215" s="110">
        <f t="shared" si="1"/>
        <v>2090</v>
      </c>
      <c r="C215" s="135">
        <f>[5]С2.5!$BW$11</f>
        <v>0</v>
      </c>
    </row>
    <row r="216" spans="2:3" ht="13.5" hidden="1" thickBot="1">
      <c r="B216" s="110">
        <f t="shared" si="1"/>
        <v>2091</v>
      </c>
      <c r="C216" s="135">
        <f>[5]С2.5!$BX$11</f>
        <v>0</v>
      </c>
    </row>
    <row r="217" spans="2:3" ht="13.5" hidden="1" thickBot="1">
      <c r="B217" s="110">
        <f t="shared" si="1"/>
        <v>2092</v>
      </c>
      <c r="C217" s="135">
        <f>[5]С2.5!$BY$11</f>
        <v>0</v>
      </c>
    </row>
    <row r="218" spans="2:3" ht="13.5" hidden="1" thickBot="1">
      <c r="B218" s="110">
        <f t="shared" si="1"/>
        <v>2093</v>
      </c>
      <c r="C218" s="135">
        <f>[5]С2.5!$BZ$11</f>
        <v>0</v>
      </c>
    </row>
    <row r="219" spans="2:3" ht="13.5" hidden="1" thickBot="1">
      <c r="B219" s="110">
        <f t="shared" si="1"/>
        <v>2094</v>
      </c>
      <c r="C219" s="135">
        <f>[5]С2.5!$CA$11</f>
        <v>0</v>
      </c>
    </row>
    <row r="220" spans="2:3" ht="13.5" hidden="1" thickBot="1">
      <c r="B220" s="110">
        <f t="shared" si="1"/>
        <v>2095</v>
      </c>
      <c r="C220" s="135">
        <f>[5]С2.5!$CB$11</f>
        <v>0</v>
      </c>
    </row>
    <row r="221" spans="2:3" ht="13.5" hidden="1" thickBot="1">
      <c r="B221" s="110">
        <f t="shared" si="1"/>
        <v>2096</v>
      </c>
      <c r="C221" s="135">
        <f>[5]С2.5!$CC$11</f>
        <v>0</v>
      </c>
    </row>
    <row r="222" spans="2:3" ht="13.5" hidden="1" thickBot="1">
      <c r="B222" s="110">
        <f t="shared" si="1"/>
        <v>2097</v>
      </c>
      <c r="C222" s="135">
        <f>[5]С2.5!$CD$11</f>
        <v>0</v>
      </c>
    </row>
    <row r="223" spans="2:3" ht="13.5" hidden="1" thickBot="1">
      <c r="B223" s="110">
        <f t="shared" si="1"/>
        <v>2098</v>
      </c>
      <c r="C223" s="135">
        <f>[5]С2.5!$CE$11</f>
        <v>0</v>
      </c>
    </row>
    <row r="224" spans="2:3" ht="13.5" hidden="1" thickBot="1">
      <c r="B224" s="110">
        <f t="shared" si="1"/>
        <v>2099</v>
      </c>
      <c r="C224" s="135">
        <f>[5]С2.5!$CF$11</f>
        <v>0</v>
      </c>
    </row>
    <row r="225" spans="2:3" ht="13.5" hidden="1" thickBot="1">
      <c r="B225" s="112">
        <f>B162+1</f>
        <v>2038</v>
      </c>
      <c r="C225" s="136" t="e">
        <f>[5]С2.5!#REF!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
      <c r="B1" s="147" t="s">
        <v>0</v>
      </c>
      <c r="C1" s="147"/>
    </row>
    <row r="2" spans="1:3">
      <c r="A2" s="3"/>
      <c r="B2" s="4" t="s">
        <v>1</v>
      </c>
      <c r="C2" s="5">
        <v>45317</v>
      </c>
    </row>
    <row r="3" spans="1:3">
      <c r="A3" s="3"/>
      <c r="B3" s="6"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 xml:space="preserve">село Барышево, Новосибирский муниципальный район </v>
      </c>
    </row>
    <row r="6" spans="1:3">
      <c r="A6" s="8"/>
      <c r="B6" s="9" t="str">
        <f>IF([6]И1!E15="","",[6]И1!D15)</f>
        <v/>
      </c>
      <c r="C6" s="10" t="str">
        <f>IF([6]И1!E15="","",[6]И1!E15)</f>
        <v/>
      </c>
    </row>
    <row r="7" spans="1:3">
      <c r="A7" s="8"/>
      <c r="B7" s="9" t="str">
        <f>[6]И1!D16</f>
        <v>Код ОКТМО</v>
      </c>
      <c r="C7" s="11" t="str">
        <f>[6]И1!E16</f>
        <v>50640402101</v>
      </c>
    </row>
    <row r="8" spans="1:3">
      <c r="A8" s="8"/>
      <c r="B8" s="12" t="str">
        <f>[6]И1!D17</f>
        <v>Система теплоснабжения</v>
      </c>
      <c r="C8" s="13">
        <f>[6]И1!E17</f>
        <v>0</v>
      </c>
    </row>
    <row r="9" spans="1:3">
      <c r="A9" s="8"/>
      <c r="B9" s="9" t="str">
        <f>[6]И1!D8</f>
        <v>Период регулирования (i)-й</v>
      </c>
      <c r="C9" s="14">
        <f>[6]И1!E8</f>
        <v>2024</v>
      </c>
    </row>
    <row r="10" spans="1:3">
      <c r="A10" s="8"/>
      <c r="B10" s="9" t="str">
        <f>[6]И1!D9</f>
        <v>Период регулирования (i-1)-й</v>
      </c>
      <c r="C10" s="14">
        <f>[6]И1!E9</f>
        <v>2023</v>
      </c>
    </row>
    <row r="11" spans="1:3">
      <c r="A11" s="8"/>
      <c r="B11" s="9" t="str">
        <f>[6]И1!D10</f>
        <v>Период регулирования (i-2)-й</v>
      </c>
      <c r="C11" s="14">
        <f>[6]И1!E10</f>
        <v>2022</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3628.5409211252449</v>
      </c>
    </row>
    <row r="18" spans="1:3" ht="42.75">
      <c r="A18" s="22" t="s">
        <v>8</v>
      </c>
      <c r="B18" s="25" t="s">
        <v>9</v>
      </c>
      <c r="C18" s="26">
        <f>[6]С1!F12</f>
        <v>617.19180318197039</v>
      </c>
    </row>
    <row r="19" spans="1:3" ht="42.75">
      <c r="A19" s="22" t="s">
        <v>10</v>
      </c>
      <c r="B19" s="25" t="s">
        <v>11</v>
      </c>
      <c r="C19" s="26">
        <f>[6]С2!F12</f>
        <v>1988.145782203278</v>
      </c>
    </row>
    <row r="20" spans="1:3" ht="30">
      <c r="A20" s="22" t="s">
        <v>12</v>
      </c>
      <c r="B20" s="25" t="s">
        <v>13</v>
      </c>
      <c r="C20" s="26">
        <f>[6]С3!F12</f>
        <v>472.46007696916996</v>
      </c>
    </row>
    <row r="21" spans="1:3" ht="42.75">
      <c r="A21" s="22" t="s">
        <v>14</v>
      </c>
      <c r="B21" s="25" t="s">
        <v>15</v>
      </c>
      <c r="C21" s="26">
        <f>[6]С4!F12</f>
        <v>479.5953975722918</v>
      </c>
    </row>
    <row r="22" spans="1:3" ht="30">
      <c r="A22" s="22" t="s">
        <v>16</v>
      </c>
      <c r="B22" s="25" t="s">
        <v>17</v>
      </c>
      <c r="C22" s="26">
        <f>[6]С5!F12</f>
        <v>71.147861198534216</v>
      </c>
    </row>
    <row r="23" spans="1:3" ht="43.5" thickBot="1">
      <c r="A23" s="27" t="s">
        <v>18</v>
      </c>
      <c r="B23" s="141"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[6]С1.1!E16</f>
        <v>5100</v>
      </c>
    </row>
    <row r="29" spans="1:3" ht="42.75">
      <c r="A29" s="22" t="s">
        <v>10</v>
      </c>
      <c r="B29" s="33" t="s">
        <v>22</v>
      </c>
      <c r="C29" s="34">
        <f>[6]С1.1!E27</f>
        <v>2773.0695591037916</v>
      </c>
    </row>
    <row r="30" spans="1:3" ht="17.25">
      <c r="A30" s="22" t="s">
        <v>12</v>
      </c>
      <c r="B30" s="33" t="s">
        <v>23</v>
      </c>
      <c r="C30" s="35">
        <f>[6]С1.1!E19</f>
        <v>-0.19900000000000001</v>
      </c>
    </row>
    <row r="31" spans="1:3" ht="17.25">
      <c r="A31" s="22" t="s">
        <v>14</v>
      </c>
      <c r="B31" s="33" t="s">
        <v>24</v>
      </c>
      <c r="C31" s="35">
        <f>[6]С1.1!E20</f>
        <v>5.7000000000000002E-2</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45" t="s">
        <v>38</v>
      </c>
      <c r="C40" s="145"/>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35106.652004551666</v>
      </c>
    </row>
    <row r="46" spans="1:3" ht="30">
      <c r="A46" s="22" t="s">
        <v>49</v>
      </c>
      <c r="B46" s="53" t="s">
        <v>50</v>
      </c>
      <c r="C46" s="34">
        <f>IF([6]С2!F19&gt;0,[6]С2!F19,[6]С2!F20)</f>
        <v>23441.524932855718</v>
      </c>
    </row>
    <row r="47" spans="1:3" ht="25.5">
      <c r="A47" s="22" t="s">
        <v>51</v>
      </c>
      <c r="B47" s="54" t="s">
        <v>52</v>
      </c>
      <c r="C47" s="34">
        <f>[6]С2.1!E19</f>
        <v>-37</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183796.83936385796</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1189.8488364193513</v>
      </c>
    </row>
    <row r="63" spans="1:3" ht="17.25">
      <c r="A63" s="59" t="s">
        <v>83</v>
      </c>
      <c r="B63" s="53" t="s">
        <v>84</v>
      </c>
      <c r="C63" s="34">
        <f>[6]С2!F27</f>
        <v>0.18916419899999998</v>
      </c>
    </row>
    <row r="64" spans="1:3" ht="17.25">
      <c r="A64" s="59" t="s">
        <v>85</v>
      </c>
      <c r="B64" s="58" t="s">
        <v>86</v>
      </c>
      <c r="C64" s="62">
        <f>[6]С2!F28</f>
        <v>4200</v>
      </c>
    </row>
    <row r="65" spans="1:3" ht="42.75">
      <c r="A65" s="59" t="s">
        <v>87</v>
      </c>
      <c r="B65" s="33" t="s">
        <v>88</v>
      </c>
      <c r="C65" s="34">
        <f>[6]С2!F22</f>
        <v>38698.422798410109</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9.5962865259740182E-2</v>
      </c>
    </row>
    <row r="80" spans="1:3" ht="30">
      <c r="A80" s="59" t="s">
        <v>116</v>
      </c>
      <c r="B80" s="53" t="s">
        <v>117</v>
      </c>
      <c r="C80" s="70">
        <f>[6]С2!F30</f>
        <v>8.4029304029304031E-2</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[6]С3!F14</f>
        <v>6054.0090724656739</v>
      </c>
    </row>
    <row r="86" spans="1:3" s="63" customFormat="1" ht="42.75">
      <c r="A86" s="77" t="s">
        <v>126</v>
      </c>
      <c r="B86" s="53" t="s">
        <v>127</v>
      </c>
      <c r="C86" s="78">
        <f>[6]С3!F15</f>
        <v>0.2</v>
      </c>
    </row>
    <row r="87" spans="1:3" s="63" customFormat="1" ht="14.25">
      <c r="A87" s="77" t="s">
        <v>128</v>
      </c>
      <c r="B87" s="79" t="s">
        <v>129</v>
      </c>
      <c r="C87" s="62">
        <f>[6]С3!F18</f>
        <v>15</v>
      </c>
    </row>
    <row r="88" spans="1:3" s="63" customFormat="1" ht="17.25">
      <c r="A88" s="77" t="s">
        <v>130</v>
      </c>
      <c r="B88" s="33" t="s">
        <v>131</v>
      </c>
      <c r="C88" s="34">
        <f>[6]С3!F19</f>
        <v>3778.1614077800232</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3.5695465092580538</v>
      </c>
    </row>
    <row r="92" spans="1:3" s="63" customFormat="1" ht="55.5">
      <c r="A92" s="77" t="s">
        <v>137</v>
      </c>
      <c r="B92" s="53" t="s">
        <v>138</v>
      </c>
      <c r="C92" s="80">
        <f>[6]С3!F23</f>
        <v>3.0000000000000001E-3</v>
      </c>
    </row>
    <row r="93" spans="1:3" s="63" customFormat="1" ht="27.75" thickBot="1">
      <c r="A93" s="81" t="s">
        <v>139</v>
      </c>
      <c r="B93" s="82" t="s">
        <v>140</v>
      </c>
      <c r="C93" s="83">
        <f>[6]С3!F24</f>
        <v>1189.8488364193513</v>
      </c>
    </row>
    <row r="94" spans="1:3" ht="13.5" thickBot="1">
      <c r="A94" s="47"/>
      <c r="B94" s="75"/>
      <c r="C94" s="15"/>
    </row>
    <row r="95" spans="1:3" ht="30" customHeight="1">
      <c r="A95" s="84" t="s">
        <v>141</v>
      </c>
      <c r="B95" s="145" t="s">
        <v>142</v>
      </c>
      <c r="C95" s="145"/>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109.08405</v>
      </c>
    </row>
    <row r="108" spans="1:3" ht="25.5">
      <c r="A108" s="59" t="s">
        <v>167</v>
      </c>
      <c r="B108" s="53" t="s">
        <v>94</v>
      </c>
      <c r="C108" s="85">
        <f>[6]С4.3!E16</f>
        <v>0</v>
      </c>
    </row>
    <row r="109" spans="1:3" ht="25.5">
      <c r="A109" s="59" t="s">
        <v>168</v>
      </c>
      <c r="B109" s="53" t="s">
        <v>169</v>
      </c>
      <c r="C109" s="34">
        <f>[6]С4.3!E17</f>
        <v>29.27</v>
      </c>
    </row>
    <row r="110" spans="1:3" ht="38.25">
      <c r="A110" s="59" t="s">
        <v>170</v>
      </c>
      <c r="B110" s="53" t="s">
        <v>106</v>
      </c>
      <c r="C110" s="85">
        <f>[6]С4.3!E18</f>
        <v>0</v>
      </c>
    </row>
    <row r="111" spans="1:3">
      <c r="A111" s="59" t="s">
        <v>171</v>
      </c>
      <c r="B111" s="53" t="s">
        <v>172</v>
      </c>
      <c r="C111" s="34">
        <f>[6]С4.3!E19</f>
        <v>31.54</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1851.0127650478018</v>
      </c>
    </row>
    <row r="116" spans="1:3" ht="25.5">
      <c r="A116" s="59" t="s">
        <v>181</v>
      </c>
      <c r="B116" s="53" t="s">
        <v>182</v>
      </c>
      <c r="C116" s="34">
        <f>[6]С4!F28</f>
        <v>1421.6687903592947</v>
      </c>
    </row>
    <row r="117" spans="1:3" ht="42.75">
      <c r="A117" s="59" t="s">
        <v>183</v>
      </c>
      <c r="B117" s="53" t="s">
        <v>184</v>
      </c>
      <c r="C117" s="34">
        <f>[6]С4!F29</f>
        <v>429.3439746885071</v>
      </c>
    </row>
    <row r="118" spans="1:3" ht="30">
      <c r="A118" s="59" t="s">
        <v>185</v>
      </c>
      <c r="B118" s="39" t="s">
        <v>186</v>
      </c>
      <c r="C118" s="34">
        <f>[6]С4!F30</f>
        <v>1678.758717739106</v>
      </c>
    </row>
    <row r="119" spans="1:3" ht="42.75">
      <c r="A119" s="59" t="s">
        <v>187</v>
      </c>
      <c r="B119" s="86" t="s">
        <v>188</v>
      </c>
      <c r="C119" s="34">
        <f>[6]С4!F33</f>
        <v>916.4556565846292</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2.4E-2</v>
      </c>
    </row>
    <row r="147" spans="1:3">
      <c r="A147" s="105"/>
      <c r="B147" s="114">
        <f t="shared" si="0"/>
        <v>2024</v>
      </c>
      <c r="C147" s="115">
        <f>[6]С2.5!$I$11</f>
        <v>8.5999999999999993E-2</v>
      </c>
    </row>
    <row r="148" spans="1:3" hidden="1">
      <c r="A148" s="105"/>
      <c r="B148" s="110">
        <f t="shared" si="0"/>
        <v>2025</v>
      </c>
      <c r="C148" s="111">
        <f>[6]С2.5!$J$11</f>
        <v>0.21215960863291</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0" width="9.140625" style="2"/>
    <col min="151" max="232" width="0" style="2" hidden="1" customWidth="1"/>
    <col min="233" max="241" width="9.140625" style="2"/>
    <col min="242" max="242" width="3.7109375" style="2" customWidth="1"/>
    <col min="243" max="243" width="96.85546875" style="2" customWidth="1"/>
    <col min="244" max="244" width="30.85546875" style="2" customWidth="1"/>
    <col min="245" max="245" width="12.5703125" style="2" customWidth="1"/>
    <col min="246" max="246" width="5.140625" style="2" customWidth="1"/>
    <col min="247" max="247" width="9.140625" style="2"/>
    <col min="248" max="248" width="4.85546875" style="2" customWidth="1"/>
    <col min="249" max="249" width="30.5703125" style="2" customWidth="1"/>
    <col min="250" max="250" width="33.85546875" style="2" customWidth="1"/>
    <col min="251" max="251" width="5.140625" style="2" customWidth="1"/>
    <col min="252" max="253" width="17.5703125" style="2" customWidth="1"/>
    <col min="254" max="497" width="9.140625" style="2"/>
    <col min="498" max="498" width="3.7109375" style="2" customWidth="1"/>
    <col min="499" max="499" width="96.85546875" style="2" customWidth="1"/>
    <col min="500" max="500" width="30.85546875" style="2" customWidth="1"/>
    <col min="501" max="501" width="12.5703125" style="2" customWidth="1"/>
    <col min="502" max="502" width="5.140625" style="2" customWidth="1"/>
    <col min="503" max="503" width="9.140625" style="2"/>
    <col min="504" max="504" width="4.85546875" style="2" customWidth="1"/>
    <col min="505" max="505" width="30.5703125" style="2" customWidth="1"/>
    <col min="506" max="506" width="33.85546875" style="2" customWidth="1"/>
    <col min="507" max="507" width="5.140625" style="2" customWidth="1"/>
    <col min="508" max="509" width="17.5703125" style="2" customWidth="1"/>
    <col min="510" max="753" width="9.140625" style="2"/>
    <col min="754" max="754" width="3.7109375" style="2" customWidth="1"/>
    <col min="755" max="755" width="96.85546875" style="2" customWidth="1"/>
    <col min="756" max="756" width="30.85546875" style="2" customWidth="1"/>
    <col min="757" max="757" width="12.5703125" style="2" customWidth="1"/>
    <col min="758" max="758" width="5.140625" style="2" customWidth="1"/>
    <col min="759" max="759" width="9.140625" style="2"/>
    <col min="760" max="760" width="4.85546875" style="2" customWidth="1"/>
    <col min="761" max="761" width="30.5703125" style="2" customWidth="1"/>
    <col min="762" max="762" width="33.85546875" style="2" customWidth="1"/>
    <col min="763" max="763" width="5.140625" style="2" customWidth="1"/>
    <col min="764" max="765" width="17.5703125" style="2" customWidth="1"/>
    <col min="766" max="1009" width="9.140625" style="2"/>
    <col min="1010" max="1010" width="3.7109375" style="2" customWidth="1"/>
    <col min="1011" max="1011" width="96.85546875" style="2" customWidth="1"/>
    <col min="1012" max="1012" width="30.85546875" style="2" customWidth="1"/>
    <col min="1013" max="1013" width="12.5703125" style="2" customWidth="1"/>
    <col min="1014" max="1014" width="5.140625" style="2" customWidth="1"/>
    <col min="1015" max="1015" width="9.140625" style="2"/>
    <col min="1016" max="1016" width="4.85546875" style="2" customWidth="1"/>
    <col min="1017" max="1017" width="30.5703125" style="2" customWidth="1"/>
    <col min="1018" max="1018" width="33.85546875" style="2" customWidth="1"/>
    <col min="1019" max="1019" width="5.140625" style="2" customWidth="1"/>
    <col min="1020" max="1021" width="17.5703125" style="2" customWidth="1"/>
    <col min="1022" max="1265" width="9.140625" style="2"/>
    <col min="1266" max="1266" width="3.7109375" style="2" customWidth="1"/>
    <col min="1267" max="1267" width="96.85546875" style="2" customWidth="1"/>
    <col min="1268" max="1268" width="30.85546875" style="2" customWidth="1"/>
    <col min="1269" max="1269" width="12.5703125" style="2" customWidth="1"/>
    <col min="1270" max="1270" width="5.140625" style="2" customWidth="1"/>
    <col min="1271" max="1271" width="9.140625" style="2"/>
    <col min="1272" max="1272" width="4.85546875" style="2" customWidth="1"/>
    <col min="1273" max="1273" width="30.5703125" style="2" customWidth="1"/>
    <col min="1274" max="1274" width="33.85546875" style="2" customWidth="1"/>
    <col min="1275" max="1275" width="5.140625" style="2" customWidth="1"/>
    <col min="1276" max="1277" width="17.5703125" style="2" customWidth="1"/>
    <col min="1278" max="1521" width="9.140625" style="2"/>
    <col min="1522" max="1522" width="3.7109375" style="2" customWidth="1"/>
    <col min="1523" max="1523" width="96.85546875" style="2" customWidth="1"/>
    <col min="1524" max="1524" width="30.85546875" style="2" customWidth="1"/>
    <col min="1525" max="1525" width="12.5703125" style="2" customWidth="1"/>
    <col min="1526" max="1526" width="5.140625" style="2" customWidth="1"/>
    <col min="1527" max="1527" width="9.140625" style="2"/>
    <col min="1528" max="1528" width="4.85546875" style="2" customWidth="1"/>
    <col min="1529" max="1529" width="30.5703125" style="2" customWidth="1"/>
    <col min="1530" max="1530" width="33.85546875" style="2" customWidth="1"/>
    <col min="1531" max="1531" width="5.140625" style="2" customWidth="1"/>
    <col min="1532" max="1533" width="17.5703125" style="2" customWidth="1"/>
    <col min="1534" max="1777" width="9.140625" style="2"/>
    <col min="1778" max="1778" width="3.7109375" style="2" customWidth="1"/>
    <col min="1779" max="1779" width="96.85546875" style="2" customWidth="1"/>
    <col min="1780" max="1780" width="30.85546875" style="2" customWidth="1"/>
    <col min="1781" max="1781" width="12.5703125" style="2" customWidth="1"/>
    <col min="1782" max="1782" width="5.140625" style="2" customWidth="1"/>
    <col min="1783" max="1783" width="9.140625" style="2"/>
    <col min="1784" max="1784" width="4.85546875" style="2" customWidth="1"/>
    <col min="1785" max="1785" width="30.5703125" style="2" customWidth="1"/>
    <col min="1786" max="1786" width="33.85546875" style="2" customWidth="1"/>
    <col min="1787" max="1787" width="5.140625" style="2" customWidth="1"/>
    <col min="1788" max="1789" width="17.5703125" style="2" customWidth="1"/>
    <col min="1790" max="2033" width="9.140625" style="2"/>
    <col min="2034" max="2034" width="3.7109375" style="2" customWidth="1"/>
    <col min="2035" max="2035" width="96.85546875" style="2" customWidth="1"/>
    <col min="2036" max="2036" width="30.85546875" style="2" customWidth="1"/>
    <col min="2037" max="2037" width="12.5703125" style="2" customWidth="1"/>
    <col min="2038" max="2038" width="5.140625" style="2" customWidth="1"/>
    <col min="2039" max="2039" width="9.140625" style="2"/>
    <col min="2040" max="2040" width="4.85546875" style="2" customWidth="1"/>
    <col min="2041" max="2041" width="30.5703125" style="2" customWidth="1"/>
    <col min="2042" max="2042" width="33.85546875" style="2" customWidth="1"/>
    <col min="2043" max="2043" width="5.140625" style="2" customWidth="1"/>
    <col min="2044" max="2045" width="17.5703125" style="2" customWidth="1"/>
    <col min="2046" max="2289" width="9.140625" style="2"/>
    <col min="2290" max="2290" width="3.7109375" style="2" customWidth="1"/>
    <col min="2291" max="2291" width="96.85546875" style="2" customWidth="1"/>
    <col min="2292" max="2292" width="30.85546875" style="2" customWidth="1"/>
    <col min="2293" max="2293" width="12.5703125" style="2" customWidth="1"/>
    <col min="2294" max="2294" width="5.140625" style="2" customWidth="1"/>
    <col min="2295" max="2295" width="9.140625" style="2"/>
    <col min="2296" max="2296" width="4.85546875" style="2" customWidth="1"/>
    <col min="2297" max="2297" width="30.5703125" style="2" customWidth="1"/>
    <col min="2298" max="2298" width="33.85546875" style="2" customWidth="1"/>
    <col min="2299" max="2299" width="5.140625" style="2" customWidth="1"/>
    <col min="2300" max="2301" width="17.5703125" style="2" customWidth="1"/>
    <col min="2302" max="2545" width="9.140625" style="2"/>
    <col min="2546" max="2546" width="3.7109375" style="2" customWidth="1"/>
    <col min="2547" max="2547" width="96.85546875" style="2" customWidth="1"/>
    <col min="2548" max="2548" width="30.85546875" style="2" customWidth="1"/>
    <col min="2549" max="2549" width="12.5703125" style="2" customWidth="1"/>
    <col min="2550" max="2550" width="5.140625" style="2" customWidth="1"/>
    <col min="2551" max="2551" width="9.140625" style="2"/>
    <col min="2552" max="2552" width="4.85546875" style="2" customWidth="1"/>
    <col min="2553" max="2553" width="30.5703125" style="2" customWidth="1"/>
    <col min="2554" max="2554" width="33.85546875" style="2" customWidth="1"/>
    <col min="2555" max="2555" width="5.140625" style="2" customWidth="1"/>
    <col min="2556" max="2557" width="17.5703125" style="2" customWidth="1"/>
    <col min="2558" max="2801" width="9.140625" style="2"/>
    <col min="2802" max="2802" width="3.7109375" style="2" customWidth="1"/>
    <col min="2803" max="2803" width="96.85546875" style="2" customWidth="1"/>
    <col min="2804" max="2804" width="30.85546875" style="2" customWidth="1"/>
    <col min="2805" max="2805" width="12.5703125" style="2" customWidth="1"/>
    <col min="2806" max="2806" width="5.140625" style="2" customWidth="1"/>
    <col min="2807" max="2807" width="9.140625" style="2"/>
    <col min="2808" max="2808" width="4.85546875" style="2" customWidth="1"/>
    <col min="2809" max="2809" width="30.5703125" style="2" customWidth="1"/>
    <col min="2810" max="2810" width="33.85546875" style="2" customWidth="1"/>
    <col min="2811" max="2811" width="5.140625" style="2" customWidth="1"/>
    <col min="2812" max="2813" width="17.5703125" style="2" customWidth="1"/>
    <col min="2814" max="3057" width="9.140625" style="2"/>
    <col min="3058" max="3058" width="3.7109375" style="2" customWidth="1"/>
    <col min="3059" max="3059" width="96.85546875" style="2" customWidth="1"/>
    <col min="3060" max="3060" width="30.85546875" style="2" customWidth="1"/>
    <col min="3061" max="3061" width="12.5703125" style="2" customWidth="1"/>
    <col min="3062" max="3062" width="5.140625" style="2" customWidth="1"/>
    <col min="3063" max="3063" width="9.140625" style="2"/>
    <col min="3064" max="3064" width="4.85546875" style="2" customWidth="1"/>
    <col min="3065" max="3065" width="30.5703125" style="2" customWidth="1"/>
    <col min="3066" max="3066" width="33.85546875" style="2" customWidth="1"/>
    <col min="3067" max="3067" width="5.140625" style="2" customWidth="1"/>
    <col min="3068" max="3069" width="17.5703125" style="2" customWidth="1"/>
    <col min="3070" max="3313" width="9.140625" style="2"/>
    <col min="3314" max="3314" width="3.7109375" style="2" customWidth="1"/>
    <col min="3315" max="3315" width="96.85546875" style="2" customWidth="1"/>
    <col min="3316" max="3316" width="30.85546875" style="2" customWidth="1"/>
    <col min="3317" max="3317" width="12.5703125" style="2" customWidth="1"/>
    <col min="3318" max="3318" width="5.140625" style="2" customWidth="1"/>
    <col min="3319" max="3319" width="9.140625" style="2"/>
    <col min="3320" max="3320" width="4.85546875" style="2" customWidth="1"/>
    <col min="3321" max="3321" width="30.5703125" style="2" customWidth="1"/>
    <col min="3322" max="3322" width="33.85546875" style="2" customWidth="1"/>
    <col min="3323" max="3323" width="5.140625" style="2" customWidth="1"/>
    <col min="3324" max="3325" width="17.5703125" style="2" customWidth="1"/>
    <col min="3326" max="3569" width="9.140625" style="2"/>
    <col min="3570" max="3570" width="3.7109375" style="2" customWidth="1"/>
    <col min="3571" max="3571" width="96.85546875" style="2" customWidth="1"/>
    <col min="3572" max="3572" width="30.85546875" style="2" customWidth="1"/>
    <col min="3573" max="3573" width="12.5703125" style="2" customWidth="1"/>
    <col min="3574" max="3574" width="5.140625" style="2" customWidth="1"/>
    <col min="3575" max="3575" width="9.140625" style="2"/>
    <col min="3576" max="3576" width="4.85546875" style="2" customWidth="1"/>
    <col min="3577" max="3577" width="30.5703125" style="2" customWidth="1"/>
    <col min="3578" max="3578" width="33.85546875" style="2" customWidth="1"/>
    <col min="3579" max="3579" width="5.140625" style="2" customWidth="1"/>
    <col min="3580" max="3581" width="17.5703125" style="2" customWidth="1"/>
    <col min="3582" max="3825" width="9.140625" style="2"/>
    <col min="3826" max="3826" width="3.7109375" style="2" customWidth="1"/>
    <col min="3827" max="3827" width="96.85546875" style="2" customWidth="1"/>
    <col min="3828" max="3828" width="30.85546875" style="2" customWidth="1"/>
    <col min="3829" max="3829" width="12.5703125" style="2" customWidth="1"/>
    <col min="3830" max="3830" width="5.140625" style="2" customWidth="1"/>
    <col min="3831" max="3831" width="9.140625" style="2"/>
    <col min="3832" max="3832" width="4.85546875" style="2" customWidth="1"/>
    <col min="3833" max="3833" width="30.5703125" style="2" customWidth="1"/>
    <col min="3834" max="3834" width="33.85546875" style="2" customWidth="1"/>
    <col min="3835" max="3835" width="5.140625" style="2" customWidth="1"/>
    <col min="3836" max="3837" width="17.5703125" style="2" customWidth="1"/>
    <col min="3838" max="4081" width="9.140625" style="2"/>
    <col min="4082" max="4082" width="3.7109375" style="2" customWidth="1"/>
    <col min="4083" max="4083" width="96.85546875" style="2" customWidth="1"/>
    <col min="4084" max="4084" width="30.85546875" style="2" customWidth="1"/>
    <col min="4085" max="4085" width="12.5703125" style="2" customWidth="1"/>
    <col min="4086" max="4086" width="5.140625" style="2" customWidth="1"/>
    <col min="4087" max="4087" width="9.140625" style="2"/>
    <col min="4088" max="4088" width="4.85546875" style="2" customWidth="1"/>
    <col min="4089" max="4089" width="30.5703125" style="2" customWidth="1"/>
    <col min="4090" max="4090" width="33.85546875" style="2" customWidth="1"/>
    <col min="4091" max="4091" width="5.140625" style="2" customWidth="1"/>
    <col min="4092" max="4093" width="17.5703125" style="2" customWidth="1"/>
    <col min="4094" max="4337" width="9.140625" style="2"/>
    <col min="4338" max="4338" width="3.7109375" style="2" customWidth="1"/>
    <col min="4339" max="4339" width="96.85546875" style="2" customWidth="1"/>
    <col min="4340" max="4340" width="30.85546875" style="2" customWidth="1"/>
    <col min="4341" max="4341" width="12.5703125" style="2" customWidth="1"/>
    <col min="4342" max="4342" width="5.140625" style="2" customWidth="1"/>
    <col min="4343" max="4343" width="9.140625" style="2"/>
    <col min="4344" max="4344" width="4.85546875" style="2" customWidth="1"/>
    <col min="4345" max="4345" width="30.5703125" style="2" customWidth="1"/>
    <col min="4346" max="4346" width="33.85546875" style="2" customWidth="1"/>
    <col min="4347" max="4347" width="5.140625" style="2" customWidth="1"/>
    <col min="4348" max="4349" width="17.5703125" style="2" customWidth="1"/>
    <col min="4350" max="4593" width="9.140625" style="2"/>
    <col min="4594" max="4594" width="3.7109375" style="2" customWidth="1"/>
    <col min="4595" max="4595" width="96.85546875" style="2" customWidth="1"/>
    <col min="4596" max="4596" width="30.85546875" style="2" customWidth="1"/>
    <col min="4597" max="4597" width="12.5703125" style="2" customWidth="1"/>
    <col min="4598" max="4598" width="5.140625" style="2" customWidth="1"/>
    <col min="4599" max="4599" width="9.140625" style="2"/>
    <col min="4600" max="4600" width="4.85546875" style="2" customWidth="1"/>
    <col min="4601" max="4601" width="30.5703125" style="2" customWidth="1"/>
    <col min="4602" max="4602" width="33.85546875" style="2" customWidth="1"/>
    <col min="4603" max="4603" width="5.140625" style="2" customWidth="1"/>
    <col min="4604" max="4605" width="17.5703125" style="2" customWidth="1"/>
    <col min="4606" max="4849" width="9.140625" style="2"/>
    <col min="4850" max="4850" width="3.7109375" style="2" customWidth="1"/>
    <col min="4851" max="4851" width="96.85546875" style="2" customWidth="1"/>
    <col min="4852" max="4852" width="30.85546875" style="2" customWidth="1"/>
    <col min="4853" max="4853" width="12.5703125" style="2" customWidth="1"/>
    <col min="4854" max="4854" width="5.140625" style="2" customWidth="1"/>
    <col min="4855" max="4855" width="9.140625" style="2"/>
    <col min="4856" max="4856" width="4.85546875" style="2" customWidth="1"/>
    <col min="4857" max="4857" width="30.5703125" style="2" customWidth="1"/>
    <col min="4858" max="4858" width="33.85546875" style="2" customWidth="1"/>
    <col min="4859" max="4859" width="5.140625" style="2" customWidth="1"/>
    <col min="4860" max="4861" width="17.5703125" style="2" customWidth="1"/>
    <col min="4862" max="5105" width="9.140625" style="2"/>
    <col min="5106" max="5106" width="3.7109375" style="2" customWidth="1"/>
    <col min="5107" max="5107" width="96.85546875" style="2" customWidth="1"/>
    <col min="5108" max="5108" width="30.85546875" style="2" customWidth="1"/>
    <col min="5109" max="5109" width="12.5703125" style="2" customWidth="1"/>
    <col min="5110" max="5110" width="5.140625" style="2" customWidth="1"/>
    <col min="5111" max="5111" width="9.140625" style="2"/>
    <col min="5112" max="5112" width="4.85546875" style="2" customWidth="1"/>
    <col min="5113" max="5113" width="30.5703125" style="2" customWidth="1"/>
    <col min="5114" max="5114" width="33.85546875" style="2" customWidth="1"/>
    <col min="5115" max="5115" width="5.140625" style="2" customWidth="1"/>
    <col min="5116" max="5117" width="17.5703125" style="2" customWidth="1"/>
    <col min="5118" max="5361" width="9.140625" style="2"/>
    <col min="5362" max="5362" width="3.7109375" style="2" customWidth="1"/>
    <col min="5363" max="5363" width="96.85546875" style="2" customWidth="1"/>
    <col min="5364" max="5364" width="30.85546875" style="2" customWidth="1"/>
    <col min="5365" max="5365" width="12.5703125" style="2" customWidth="1"/>
    <col min="5366" max="5366" width="5.140625" style="2" customWidth="1"/>
    <col min="5367" max="5367" width="9.140625" style="2"/>
    <col min="5368" max="5368" width="4.85546875" style="2" customWidth="1"/>
    <col min="5369" max="5369" width="30.5703125" style="2" customWidth="1"/>
    <col min="5370" max="5370" width="33.85546875" style="2" customWidth="1"/>
    <col min="5371" max="5371" width="5.140625" style="2" customWidth="1"/>
    <col min="5372" max="5373" width="17.5703125" style="2" customWidth="1"/>
    <col min="5374" max="5617" width="9.140625" style="2"/>
    <col min="5618" max="5618" width="3.7109375" style="2" customWidth="1"/>
    <col min="5619" max="5619" width="96.85546875" style="2" customWidth="1"/>
    <col min="5620" max="5620" width="30.85546875" style="2" customWidth="1"/>
    <col min="5621" max="5621" width="12.5703125" style="2" customWidth="1"/>
    <col min="5622" max="5622" width="5.140625" style="2" customWidth="1"/>
    <col min="5623" max="5623" width="9.140625" style="2"/>
    <col min="5624" max="5624" width="4.85546875" style="2" customWidth="1"/>
    <col min="5625" max="5625" width="30.5703125" style="2" customWidth="1"/>
    <col min="5626" max="5626" width="33.85546875" style="2" customWidth="1"/>
    <col min="5627" max="5627" width="5.140625" style="2" customWidth="1"/>
    <col min="5628" max="5629" width="17.5703125" style="2" customWidth="1"/>
    <col min="5630" max="5873" width="9.140625" style="2"/>
    <col min="5874" max="5874" width="3.7109375" style="2" customWidth="1"/>
    <col min="5875" max="5875" width="96.85546875" style="2" customWidth="1"/>
    <col min="5876" max="5876" width="30.85546875" style="2" customWidth="1"/>
    <col min="5877" max="5877" width="12.5703125" style="2" customWidth="1"/>
    <col min="5878" max="5878" width="5.140625" style="2" customWidth="1"/>
    <col min="5879" max="5879" width="9.140625" style="2"/>
    <col min="5880" max="5880" width="4.85546875" style="2" customWidth="1"/>
    <col min="5881" max="5881" width="30.5703125" style="2" customWidth="1"/>
    <col min="5882" max="5882" width="33.85546875" style="2" customWidth="1"/>
    <col min="5883" max="5883" width="5.140625" style="2" customWidth="1"/>
    <col min="5884" max="5885" width="17.5703125" style="2" customWidth="1"/>
    <col min="5886" max="6129" width="9.140625" style="2"/>
    <col min="6130" max="6130" width="3.7109375" style="2" customWidth="1"/>
    <col min="6131" max="6131" width="96.85546875" style="2" customWidth="1"/>
    <col min="6132" max="6132" width="30.85546875" style="2" customWidth="1"/>
    <col min="6133" max="6133" width="12.5703125" style="2" customWidth="1"/>
    <col min="6134" max="6134" width="5.140625" style="2" customWidth="1"/>
    <col min="6135" max="6135" width="9.140625" style="2"/>
    <col min="6136" max="6136" width="4.85546875" style="2" customWidth="1"/>
    <col min="6137" max="6137" width="30.5703125" style="2" customWidth="1"/>
    <col min="6138" max="6138" width="33.85546875" style="2" customWidth="1"/>
    <col min="6139" max="6139" width="5.140625" style="2" customWidth="1"/>
    <col min="6140" max="6141" width="17.5703125" style="2" customWidth="1"/>
    <col min="6142" max="6385" width="9.140625" style="2"/>
    <col min="6386" max="6386" width="3.7109375" style="2" customWidth="1"/>
    <col min="6387" max="6387" width="96.85546875" style="2" customWidth="1"/>
    <col min="6388" max="6388" width="30.85546875" style="2" customWidth="1"/>
    <col min="6389" max="6389" width="12.5703125" style="2" customWidth="1"/>
    <col min="6390" max="6390" width="5.140625" style="2" customWidth="1"/>
    <col min="6391" max="6391" width="9.140625" style="2"/>
    <col min="6392" max="6392" width="4.85546875" style="2" customWidth="1"/>
    <col min="6393" max="6393" width="30.5703125" style="2" customWidth="1"/>
    <col min="6394" max="6394" width="33.85546875" style="2" customWidth="1"/>
    <col min="6395" max="6395" width="5.140625" style="2" customWidth="1"/>
    <col min="6396" max="6397" width="17.5703125" style="2" customWidth="1"/>
    <col min="6398" max="6641" width="9.140625" style="2"/>
    <col min="6642" max="6642" width="3.7109375" style="2" customWidth="1"/>
    <col min="6643" max="6643" width="96.85546875" style="2" customWidth="1"/>
    <col min="6644" max="6644" width="30.85546875" style="2" customWidth="1"/>
    <col min="6645" max="6645" width="12.5703125" style="2" customWidth="1"/>
    <col min="6646" max="6646" width="5.140625" style="2" customWidth="1"/>
    <col min="6647" max="6647" width="9.140625" style="2"/>
    <col min="6648" max="6648" width="4.85546875" style="2" customWidth="1"/>
    <col min="6649" max="6649" width="30.5703125" style="2" customWidth="1"/>
    <col min="6650" max="6650" width="33.85546875" style="2" customWidth="1"/>
    <col min="6651" max="6651" width="5.140625" style="2" customWidth="1"/>
    <col min="6652" max="6653" width="17.5703125" style="2" customWidth="1"/>
    <col min="6654" max="6897" width="9.140625" style="2"/>
    <col min="6898" max="6898" width="3.7109375" style="2" customWidth="1"/>
    <col min="6899" max="6899" width="96.85546875" style="2" customWidth="1"/>
    <col min="6900" max="6900" width="30.85546875" style="2" customWidth="1"/>
    <col min="6901" max="6901" width="12.5703125" style="2" customWidth="1"/>
    <col min="6902" max="6902" width="5.140625" style="2" customWidth="1"/>
    <col min="6903" max="6903" width="9.140625" style="2"/>
    <col min="6904" max="6904" width="4.85546875" style="2" customWidth="1"/>
    <col min="6905" max="6905" width="30.5703125" style="2" customWidth="1"/>
    <col min="6906" max="6906" width="33.85546875" style="2" customWidth="1"/>
    <col min="6907" max="6907" width="5.140625" style="2" customWidth="1"/>
    <col min="6908" max="6909" width="17.5703125" style="2" customWidth="1"/>
    <col min="6910" max="7153" width="9.140625" style="2"/>
    <col min="7154" max="7154" width="3.7109375" style="2" customWidth="1"/>
    <col min="7155" max="7155" width="96.85546875" style="2" customWidth="1"/>
    <col min="7156" max="7156" width="30.85546875" style="2" customWidth="1"/>
    <col min="7157" max="7157" width="12.5703125" style="2" customWidth="1"/>
    <col min="7158" max="7158" width="5.140625" style="2" customWidth="1"/>
    <col min="7159" max="7159" width="9.140625" style="2"/>
    <col min="7160" max="7160" width="4.85546875" style="2" customWidth="1"/>
    <col min="7161" max="7161" width="30.5703125" style="2" customWidth="1"/>
    <col min="7162" max="7162" width="33.85546875" style="2" customWidth="1"/>
    <col min="7163" max="7163" width="5.140625" style="2" customWidth="1"/>
    <col min="7164" max="7165" width="17.5703125" style="2" customWidth="1"/>
    <col min="7166" max="7409" width="9.140625" style="2"/>
    <col min="7410" max="7410" width="3.7109375" style="2" customWidth="1"/>
    <col min="7411" max="7411" width="96.85546875" style="2" customWidth="1"/>
    <col min="7412" max="7412" width="30.85546875" style="2" customWidth="1"/>
    <col min="7413" max="7413" width="12.5703125" style="2" customWidth="1"/>
    <col min="7414" max="7414" width="5.140625" style="2" customWidth="1"/>
    <col min="7415" max="7415" width="9.140625" style="2"/>
    <col min="7416" max="7416" width="4.85546875" style="2" customWidth="1"/>
    <col min="7417" max="7417" width="30.5703125" style="2" customWidth="1"/>
    <col min="7418" max="7418" width="33.85546875" style="2" customWidth="1"/>
    <col min="7419" max="7419" width="5.140625" style="2" customWidth="1"/>
    <col min="7420" max="7421" width="17.5703125" style="2" customWidth="1"/>
    <col min="7422" max="7665" width="9.140625" style="2"/>
    <col min="7666" max="7666" width="3.7109375" style="2" customWidth="1"/>
    <col min="7667" max="7667" width="96.85546875" style="2" customWidth="1"/>
    <col min="7668" max="7668" width="30.85546875" style="2" customWidth="1"/>
    <col min="7669" max="7669" width="12.5703125" style="2" customWidth="1"/>
    <col min="7670" max="7670" width="5.140625" style="2" customWidth="1"/>
    <col min="7671" max="7671" width="9.140625" style="2"/>
    <col min="7672" max="7672" width="4.85546875" style="2" customWidth="1"/>
    <col min="7673" max="7673" width="30.5703125" style="2" customWidth="1"/>
    <col min="7674" max="7674" width="33.85546875" style="2" customWidth="1"/>
    <col min="7675" max="7675" width="5.140625" style="2" customWidth="1"/>
    <col min="7676" max="7677" width="17.5703125" style="2" customWidth="1"/>
    <col min="7678" max="7921" width="9.140625" style="2"/>
    <col min="7922" max="7922" width="3.7109375" style="2" customWidth="1"/>
    <col min="7923" max="7923" width="96.85546875" style="2" customWidth="1"/>
    <col min="7924" max="7924" width="30.85546875" style="2" customWidth="1"/>
    <col min="7925" max="7925" width="12.5703125" style="2" customWidth="1"/>
    <col min="7926" max="7926" width="5.140625" style="2" customWidth="1"/>
    <col min="7927" max="7927" width="9.140625" style="2"/>
    <col min="7928" max="7928" width="4.85546875" style="2" customWidth="1"/>
    <col min="7929" max="7929" width="30.5703125" style="2" customWidth="1"/>
    <col min="7930" max="7930" width="33.85546875" style="2" customWidth="1"/>
    <col min="7931" max="7931" width="5.140625" style="2" customWidth="1"/>
    <col min="7932" max="7933" width="17.5703125" style="2" customWidth="1"/>
    <col min="7934" max="8177" width="9.140625" style="2"/>
    <col min="8178" max="8178" width="3.7109375" style="2" customWidth="1"/>
    <col min="8179" max="8179" width="96.85546875" style="2" customWidth="1"/>
    <col min="8180" max="8180" width="30.85546875" style="2" customWidth="1"/>
    <col min="8181" max="8181" width="12.5703125" style="2" customWidth="1"/>
    <col min="8182" max="8182" width="5.140625" style="2" customWidth="1"/>
    <col min="8183" max="8183" width="9.140625" style="2"/>
    <col min="8184" max="8184" width="4.85546875" style="2" customWidth="1"/>
    <col min="8185" max="8185" width="30.5703125" style="2" customWidth="1"/>
    <col min="8186" max="8186" width="33.85546875" style="2" customWidth="1"/>
    <col min="8187" max="8187" width="5.140625" style="2" customWidth="1"/>
    <col min="8188" max="8189" width="17.5703125" style="2" customWidth="1"/>
    <col min="8190" max="8433" width="9.140625" style="2"/>
    <col min="8434" max="8434" width="3.7109375" style="2" customWidth="1"/>
    <col min="8435" max="8435" width="96.85546875" style="2" customWidth="1"/>
    <col min="8436" max="8436" width="30.85546875" style="2" customWidth="1"/>
    <col min="8437" max="8437" width="12.5703125" style="2" customWidth="1"/>
    <col min="8438" max="8438" width="5.140625" style="2" customWidth="1"/>
    <col min="8439" max="8439" width="9.140625" style="2"/>
    <col min="8440" max="8440" width="4.85546875" style="2" customWidth="1"/>
    <col min="8441" max="8441" width="30.5703125" style="2" customWidth="1"/>
    <col min="8442" max="8442" width="33.85546875" style="2" customWidth="1"/>
    <col min="8443" max="8443" width="5.140625" style="2" customWidth="1"/>
    <col min="8444" max="8445" width="17.5703125" style="2" customWidth="1"/>
    <col min="8446" max="8689" width="9.140625" style="2"/>
    <col min="8690" max="8690" width="3.7109375" style="2" customWidth="1"/>
    <col min="8691" max="8691" width="96.85546875" style="2" customWidth="1"/>
    <col min="8692" max="8692" width="30.85546875" style="2" customWidth="1"/>
    <col min="8693" max="8693" width="12.5703125" style="2" customWidth="1"/>
    <col min="8694" max="8694" width="5.140625" style="2" customWidth="1"/>
    <col min="8695" max="8695" width="9.140625" style="2"/>
    <col min="8696" max="8696" width="4.85546875" style="2" customWidth="1"/>
    <col min="8697" max="8697" width="30.5703125" style="2" customWidth="1"/>
    <col min="8698" max="8698" width="33.85546875" style="2" customWidth="1"/>
    <col min="8699" max="8699" width="5.140625" style="2" customWidth="1"/>
    <col min="8700" max="8701" width="17.5703125" style="2" customWidth="1"/>
    <col min="8702" max="8945" width="9.140625" style="2"/>
    <col min="8946" max="8946" width="3.7109375" style="2" customWidth="1"/>
    <col min="8947" max="8947" width="96.85546875" style="2" customWidth="1"/>
    <col min="8948" max="8948" width="30.85546875" style="2" customWidth="1"/>
    <col min="8949" max="8949" width="12.5703125" style="2" customWidth="1"/>
    <col min="8950" max="8950" width="5.140625" style="2" customWidth="1"/>
    <col min="8951" max="8951" width="9.140625" style="2"/>
    <col min="8952" max="8952" width="4.85546875" style="2" customWidth="1"/>
    <col min="8953" max="8953" width="30.5703125" style="2" customWidth="1"/>
    <col min="8954" max="8954" width="33.85546875" style="2" customWidth="1"/>
    <col min="8955" max="8955" width="5.140625" style="2" customWidth="1"/>
    <col min="8956" max="8957" width="17.5703125" style="2" customWidth="1"/>
    <col min="8958" max="9201" width="9.140625" style="2"/>
    <col min="9202" max="9202" width="3.7109375" style="2" customWidth="1"/>
    <col min="9203" max="9203" width="96.85546875" style="2" customWidth="1"/>
    <col min="9204" max="9204" width="30.85546875" style="2" customWidth="1"/>
    <col min="9205" max="9205" width="12.5703125" style="2" customWidth="1"/>
    <col min="9206" max="9206" width="5.140625" style="2" customWidth="1"/>
    <col min="9207" max="9207" width="9.140625" style="2"/>
    <col min="9208" max="9208" width="4.85546875" style="2" customWidth="1"/>
    <col min="9209" max="9209" width="30.5703125" style="2" customWidth="1"/>
    <col min="9210" max="9210" width="33.85546875" style="2" customWidth="1"/>
    <col min="9211" max="9211" width="5.140625" style="2" customWidth="1"/>
    <col min="9212" max="9213" width="17.5703125" style="2" customWidth="1"/>
    <col min="9214" max="9457" width="9.140625" style="2"/>
    <col min="9458" max="9458" width="3.7109375" style="2" customWidth="1"/>
    <col min="9459" max="9459" width="96.85546875" style="2" customWidth="1"/>
    <col min="9460" max="9460" width="30.85546875" style="2" customWidth="1"/>
    <col min="9461" max="9461" width="12.5703125" style="2" customWidth="1"/>
    <col min="9462" max="9462" width="5.140625" style="2" customWidth="1"/>
    <col min="9463" max="9463" width="9.140625" style="2"/>
    <col min="9464" max="9464" width="4.85546875" style="2" customWidth="1"/>
    <col min="9465" max="9465" width="30.5703125" style="2" customWidth="1"/>
    <col min="9466" max="9466" width="33.85546875" style="2" customWidth="1"/>
    <col min="9467" max="9467" width="5.140625" style="2" customWidth="1"/>
    <col min="9468" max="9469" width="17.5703125" style="2" customWidth="1"/>
    <col min="9470" max="9713" width="9.140625" style="2"/>
    <col min="9714" max="9714" width="3.7109375" style="2" customWidth="1"/>
    <col min="9715" max="9715" width="96.85546875" style="2" customWidth="1"/>
    <col min="9716" max="9716" width="30.85546875" style="2" customWidth="1"/>
    <col min="9717" max="9717" width="12.5703125" style="2" customWidth="1"/>
    <col min="9718" max="9718" width="5.140625" style="2" customWidth="1"/>
    <col min="9719" max="9719" width="9.140625" style="2"/>
    <col min="9720" max="9720" width="4.85546875" style="2" customWidth="1"/>
    <col min="9721" max="9721" width="30.5703125" style="2" customWidth="1"/>
    <col min="9722" max="9722" width="33.85546875" style="2" customWidth="1"/>
    <col min="9723" max="9723" width="5.140625" style="2" customWidth="1"/>
    <col min="9724" max="9725" width="17.5703125" style="2" customWidth="1"/>
    <col min="9726" max="9969" width="9.140625" style="2"/>
    <col min="9970" max="9970" width="3.7109375" style="2" customWidth="1"/>
    <col min="9971" max="9971" width="96.85546875" style="2" customWidth="1"/>
    <col min="9972" max="9972" width="30.85546875" style="2" customWidth="1"/>
    <col min="9973" max="9973" width="12.5703125" style="2" customWidth="1"/>
    <col min="9974" max="9974" width="5.140625" style="2" customWidth="1"/>
    <col min="9975" max="9975" width="9.140625" style="2"/>
    <col min="9976" max="9976" width="4.85546875" style="2" customWidth="1"/>
    <col min="9977" max="9977" width="30.5703125" style="2" customWidth="1"/>
    <col min="9978" max="9978" width="33.85546875" style="2" customWidth="1"/>
    <col min="9979" max="9979" width="5.140625" style="2" customWidth="1"/>
    <col min="9980" max="9981" width="17.5703125" style="2" customWidth="1"/>
    <col min="9982" max="10225" width="9.140625" style="2"/>
    <col min="10226" max="10226" width="3.7109375" style="2" customWidth="1"/>
    <col min="10227" max="10227" width="96.85546875" style="2" customWidth="1"/>
    <col min="10228" max="10228" width="30.85546875" style="2" customWidth="1"/>
    <col min="10229" max="10229" width="12.5703125" style="2" customWidth="1"/>
    <col min="10230" max="10230" width="5.140625" style="2" customWidth="1"/>
    <col min="10231" max="10231" width="9.140625" style="2"/>
    <col min="10232" max="10232" width="4.85546875" style="2" customWidth="1"/>
    <col min="10233" max="10233" width="30.5703125" style="2" customWidth="1"/>
    <col min="10234" max="10234" width="33.85546875" style="2" customWidth="1"/>
    <col min="10235" max="10235" width="5.140625" style="2" customWidth="1"/>
    <col min="10236" max="10237" width="17.5703125" style="2" customWidth="1"/>
    <col min="10238" max="10481" width="9.140625" style="2"/>
    <col min="10482" max="10482" width="3.7109375" style="2" customWidth="1"/>
    <col min="10483" max="10483" width="96.85546875" style="2" customWidth="1"/>
    <col min="10484" max="10484" width="30.85546875" style="2" customWidth="1"/>
    <col min="10485" max="10485" width="12.5703125" style="2" customWidth="1"/>
    <col min="10486" max="10486" width="5.140625" style="2" customWidth="1"/>
    <col min="10487" max="10487" width="9.140625" style="2"/>
    <col min="10488" max="10488" width="4.85546875" style="2" customWidth="1"/>
    <col min="10489" max="10489" width="30.5703125" style="2" customWidth="1"/>
    <col min="10490" max="10490" width="33.85546875" style="2" customWidth="1"/>
    <col min="10491" max="10491" width="5.140625" style="2" customWidth="1"/>
    <col min="10492" max="10493" width="17.5703125" style="2" customWidth="1"/>
    <col min="10494" max="10737" width="9.140625" style="2"/>
    <col min="10738" max="10738" width="3.7109375" style="2" customWidth="1"/>
    <col min="10739" max="10739" width="96.85546875" style="2" customWidth="1"/>
    <col min="10740" max="10740" width="30.85546875" style="2" customWidth="1"/>
    <col min="10741" max="10741" width="12.5703125" style="2" customWidth="1"/>
    <col min="10742" max="10742" width="5.140625" style="2" customWidth="1"/>
    <col min="10743" max="10743" width="9.140625" style="2"/>
    <col min="10744" max="10744" width="4.85546875" style="2" customWidth="1"/>
    <col min="10745" max="10745" width="30.5703125" style="2" customWidth="1"/>
    <col min="10746" max="10746" width="33.85546875" style="2" customWidth="1"/>
    <col min="10747" max="10747" width="5.140625" style="2" customWidth="1"/>
    <col min="10748" max="10749" width="17.5703125" style="2" customWidth="1"/>
    <col min="10750" max="10993" width="9.140625" style="2"/>
    <col min="10994" max="10994" width="3.7109375" style="2" customWidth="1"/>
    <col min="10995" max="10995" width="96.85546875" style="2" customWidth="1"/>
    <col min="10996" max="10996" width="30.85546875" style="2" customWidth="1"/>
    <col min="10997" max="10997" width="12.5703125" style="2" customWidth="1"/>
    <col min="10998" max="10998" width="5.140625" style="2" customWidth="1"/>
    <col min="10999" max="10999" width="9.140625" style="2"/>
    <col min="11000" max="11000" width="4.85546875" style="2" customWidth="1"/>
    <col min="11001" max="11001" width="30.5703125" style="2" customWidth="1"/>
    <col min="11002" max="11002" width="33.85546875" style="2" customWidth="1"/>
    <col min="11003" max="11003" width="5.140625" style="2" customWidth="1"/>
    <col min="11004" max="11005" width="17.5703125" style="2" customWidth="1"/>
    <col min="11006" max="11249" width="9.140625" style="2"/>
    <col min="11250" max="11250" width="3.7109375" style="2" customWidth="1"/>
    <col min="11251" max="11251" width="96.85546875" style="2" customWidth="1"/>
    <col min="11252" max="11252" width="30.85546875" style="2" customWidth="1"/>
    <col min="11253" max="11253" width="12.5703125" style="2" customWidth="1"/>
    <col min="11254" max="11254" width="5.140625" style="2" customWidth="1"/>
    <col min="11255" max="11255" width="9.140625" style="2"/>
    <col min="11256" max="11256" width="4.85546875" style="2" customWidth="1"/>
    <col min="11257" max="11257" width="30.5703125" style="2" customWidth="1"/>
    <col min="11258" max="11258" width="33.85546875" style="2" customWidth="1"/>
    <col min="11259" max="11259" width="5.140625" style="2" customWidth="1"/>
    <col min="11260" max="11261" width="17.5703125" style="2" customWidth="1"/>
    <col min="11262" max="11505" width="9.140625" style="2"/>
    <col min="11506" max="11506" width="3.7109375" style="2" customWidth="1"/>
    <col min="11507" max="11507" width="96.85546875" style="2" customWidth="1"/>
    <col min="11508" max="11508" width="30.85546875" style="2" customWidth="1"/>
    <col min="11509" max="11509" width="12.5703125" style="2" customWidth="1"/>
    <col min="11510" max="11510" width="5.140625" style="2" customWidth="1"/>
    <col min="11511" max="11511" width="9.140625" style="2"/>
    <col min="11512" max="11512" width="4.85546875" style="2" customWidth="1"/>
    <col min="11513" max="11513" width="30.5703125" style="2" customWidth="1"/>
    <col min="11514" max="11514" width="33.85546875" style="2" customWidth="1"/>
    <col min="11515" max="11515" width="5.140625" style="2" customWidth="1"/>
    <col min="11516" max="11517" width="17.5703125" style="2" customWidth="1"/>
    <col min="11518" max="11761" width="9.140625" style="2"/>
    <col min="11762" max="11762" width="3.7109375" style="2" customWidth="1"/>
    <col min="11763" max="11763" width="96.85546875" style="2" customWidth="1"/>
    <col min="11764" max="11764" width="30.85546875" style="2" customWidth="1"/>
    <col min="11765" max="11765" width="12.5703125" style="2" customWidth="1"/>
    <col min="11766" max="11766" width="5.140625" style="2" customWidth="1"/>
    <col min="11767" max="11767" width="9.140625" style="2"/>
    <col min="11768" max="11768" width="4.85546875" style="2" customWidth="1"/>
    <col min="11769" max="11769" width="30.5703125" style="2" customWidth="1"/>
    <col min="11770" max="11770" width="33.85546875" style="2" customWidth="1"/>
    <col min="11771" max="11771" width="5.140625" style="2" customWidth="1"/>
    <col min="11772" max="11773" width="17.5703125" style="2" customWidth="1"/>
    <col min="11774" max="12017" width="9.140625" style="2"/>
    <col min="12018" max="12018" width="3.7109375" style="2" customWidth="1"/>
    <col min="12019" max="12019" width="96.85546875" style="2" customWidth="1"/>
    <col min="12020" max="12020" width="30.85546875" style="2" customWidth="1"/>
    <col min="12021" max="12021" width="12.5703125" style="2" customWidth="1"/>
    <col min="12022" max="12022" width="5.140625" style="2" customWidth="1"/>
    <col min="12023" max="12023" width="9.140625" style="2"/>
    <col min="12024" max="12024" width="4.85546875" style="2" customWidth="1"/>
    <col min="12025" max="12025" width="30.5703125" style="2" customWidth="1"/>
    <col min="12026" max="12026" width="33.85546875" style="2" customWidth="1"/>
    <col min="12027" max="12027" width="5.140625" style="2" customWidth="1"/>
    <col min="12028" max="12029" width="17.5703125" style="2" customWidth="1"/>
    <col min="12030" max="12273" width="9.140625" style="2"/>
    <col min="12274" max="12274" width="3.7109375" style="2" customWidth="1"/>
    <col min="12275" max="12275" width="96.85546875" style="2" customWidth="1"/>
    <col min="12276" max="12276" width="30.85546875" style="2" customWidth="1"/>
    <col min="12277" max="12277" width="12.5703125" style="2" customWidth="1"/>
    <col min="12278" max="12278" width="5.140625" style="2" customWidth="1"/>
    <col min="12279" max="12279" width="9.140625" style="2"/>
    <col min="12280" max="12280" width="4.85546875" style="2" customWidth="1"/>
    <col min="12281" max="12281" width="30.5703125" style="2" customWidth="1"/>
    <col min="12282" max="12282" width="33.85546875" style="2" customWidth="1"/>
    <col min="12283" max="12283" width="5.140625" style="2" customWidth="1"/>
    <col min="12284" max="12285" width="17.5703125" style="2" customWidth="1"/>
    <col min="12286" max="12529" width="9.140625" style="2"/>
    <col min="12530" max="12530" width="3.7109375" style="2" customWidth="1"/>
    <col min="12531" max="12531" width="96.85546875" style="2" customWidth="1"/>
    <col min="12532" max="12532" width="30.85546875" style="2" customWidth="1"/>
    <col min="12533" max="12533" width="12.5703125" style="2" customWidth="1"/>
    <col min="12534" max="12534" width="5.140625" style="2" customWidth="1"/>
    <col min="12535" max="12535" width="9.140625" style="2"/>
    <col min="12536" max="12536" width="4.85546875" style="2" customWidth="1"/>
    <col min="12537" max="12537" width="30.5703125" style="2" customWidth="1"/>
    <col min="12538" max="12538" width="33.85546875" style="2" customWidth="1"/>
    <col min="12539" max="12539" width="5.140625" style="2" customWidth="1"/>
    <col min="12540" max="12541" width="17.5703125" style="2" customWidth="1"/>
    <col min="12542" max="12785" width="9.140625" style="2"/>
    <col min="12786" max="12786" width="3.7109375" style="2" customWidth="1"/>
    <col min="12787" max="12787" width="96.85546875" style="2" customWidth="1"/>
    <col min="12788" max="12788" width="30.85546875" style="2" customWidth="1"/>
    <col min="12789" max="12789" width="12.5703125" style="2" customWidth="1"/>
    <col min="12790" max="12790" width="5.140625" style="2" customWidth="1"/>
    <col min="12791" max="12791" width="9.140625" style="2"/>
    <col min="12792" max="12792" width="4.85546875" style="2" customWidth="1"/>
    <col min="12793" max="12793" width="30.5703125" style="2" customWidth="1"/>
    <col min="12794" max="12794" width="33.85546875" style="2" customWidth="1"/>
    <col min="12795" max="12795" width="5.140625" style="2" customWidth="1"/>
    <col min="12796" max="12797" width="17.5703125" style="2" customWidth="1"/>
    <col min="12798" max="13041" width="9.140625" style="2"/>
    <col min="13042" max="13042" width="3.7109375" style="2" customWidth="1"/>
    <col min="13043" max="13043" width="96.85546875" style="2" customWidth="1"/>
    <col min="13044" max="13044" width="30.85546875" style="2" customWidth="1"/>
    <col min="13045" max="13045" width="12.5703125" style="2" customWidth="1"/>
    <col min="13046" max="13046" width="5.140625" style="2" customWidth="1"/>
    <col min="13047" max="13047" width="9.140625" style="2"/>
    <col min="13048" max="13048" width="4.85546875" style="2" customWidth="1"/>
    <col min="13049" max="13049" width="30.5703125" style="2" customWidth="1"/>
    <col min="13050" max="13050" width="33.85546875" style="2" customWidth="1"/>
    <col min="13051" max="13051" width="5.140625" style="2" customWidth="1"/>
    <col min="13052" max="13053" width="17.5703125" style="2" customWidth="1"/>
    <col min="13054" max="13297" width="9.140625" style="2"/>
    <col min="13298" max="13298" width="3.7109375" style="2" customWidth="1"/>
    <col min="13299" max="13299" width="96.85546875" style="2" customWidth="1"/>
    <col min="13300" max="13300" width="30.85546875" style="2" customWidth="1"/>
    <col min="13301" max="13301" width="12.5703125" style="2" customWidth="1"/>
    <col min="13302" max="13302" width="5.140625" style="2" customWidth="1"/>
    <col min="13303" max="13303" width="9.140625" style="2"/>
    <col min="13304" max="13304" width="4.85546875" style="2" customWidth="1"/>
    <col min="13305" max="13305" width="30.5703125" style="2" customWidth="1"/>
    <col min="13306" max="13306" width="33.85546875" style="2" customWidth="1"/>
    <col min="13307" max="13307" width="5.140625" style="2" customWidth="1"/>
    <col min="13308" max="13309" width="17.5703125" style="2" customWidth="1"/>
    <col min="13310" max="13553" width="9.140625" style="2"/>
    <col min="13554" max="13554" width="3.7109375" style="2" customWidth="1"/>
    <col min="13555" max="13555" width="96.85546875" style="2" customWidth="1"/>
    <col min="13556" max="13556" width="30.85546875" style="2" customWidth="1"/>
    <col min="13557" max="13557" width="12.5703125" style="2" customWidth="1"/>
    <col min="13558" max="13558" width="5.140625" style="2" customWidth="1"/>
    <col min="13559" max="13559" width="9.140625" style="2"/>
    <col min="13560" max="13560" width="4.85546875" style="2" customWidth="1"/>
    <col min="13561" max="13561" width="30.5703125" style="2" customWidth="1"/>
    <col min="13562" max="13562" width="33.85546875" style="2" customWidth="1"/>
    <col min="13563" max="13563" width="5.140625" style="2" customWidth="1"/>
    <col min="13564" max="13565" width="17.5703125" style="2" customWidth="1"/>
    <col min="13566" max="13809" width="9.140625" style="2"/>
    <col min="13810" max="13810" width="3.7109375" style="2" customWidth="1"/>
    <col min="13811" max="13811" width="96.85546875" style="2" customWidth="1"/>
    <col min="13812" max="13812" width="30.85546875" style="2" customWidth="1"/>
    <col min="13813" max="13813" width="12.5703125" style="2" customWidth="1"/>
    <col min="13814" max="13814" width="5.140625" style="2" customWidth="1"/>
    <col min="13815" max="13815" width="9.140625" style="2"/>
    <col min="13816" max="13816" width="4.85546875" style="2" customWidth="1"/>
    <col min="13817" max="13817" width="30.5703125" style="2" customWidth="1"/>
    <col min="13818" max="13818" width="33.85546875" style="2" customWidth="1"/>
    <col min="13819" max="13819" width="5.140625" style="2" customWidth="1"/>
    <col min="13820" max="13821" width="17.5703125" style="2" customWidth="1"/>
    <col min="13822" max="14065" width="9.140625" style="2"/>
    <col min="14066" max="14066" width="3.7109375" style="2" customWidth="1"/>
    <col min="14067" max="14067" width="96.85546875" style="2" customWidth="1"/>
    <col min="14068" max="14068" width="30.85546875" style="2" customWidth="1"/>
    <col min="14069" max="14069" width="12.5703125" style="2" customWidth="1"/>
    <col min="14070" max="14070" width="5.140625" style="2" customWidth="1"/>
    <col min="14071" max="14071" width="9.140625" style="2"/>
    <col min="14072" max="14072" width="4.85546875" style="2" customWidth="1"/>
    <col min="14073" max="14073" width="30.5703125" style="2" customWidth="1"/>
    <col min="14074" max="14074" width="33.85546875" style="2" customWidth="1"/>
    <col min="14075" max="14075" width="5.140625" style="2" customWidth="1"/>
    <col min="14076" max="14077" width="17.5703125" style="2" customWidth="1"/>
    <col min="14078" max="14321" width="9.140625" style="2"/>
    <col min="14322" max="14322" width="3.7109375" style="2" customWidth="1"/>
    <col min="14323" max="14323" width="96.85546875" style="2" customWidth="1"/>
    <col min="14324" max="14324" width="30.85546875" style="2" customWidth="1"/>
    <col min="14325" max="14325" width="12.5703125" style="2" customWidth="1"/>
    <col min="14326" max="14326" width="5.140625" style="2" customWidth="1"/>
    <col min="14327" max="14327" width="9.140625" style="2"/>
    <col min="14328" max="14328" width="4.85546875" style="2" customWidth="1"/>
    <col min="14329" max="14329" width="30.5703125" style="2" customWidth="1"/>
    <col min="14330" max="14330" width="33.85546875" style="2" customWidth="1"/>
    <col min="14331" max="14331" width="5.140625" style="2" customWidth="1"/>
    <col min="14332" max="14333" width="17.5703125" style="2" customWidth="1"/>
    <col min="14334" max="14577" width="9.140625" style="2"/>
    <col min="14578" max="14578" width="3.7109375" style="2" customWidth="1"/>
    <col min="14579" max="14579" width="96.85546875" style="2" customWidth="1"/>
    <col min="14580" max="14580" width="30.85546875" style="2" customWidth="1"/>
    <col min="14581" max="14581" width="12.5703125" style="2" customWidth="1"/>
    <col min="14582" max="14582" width="5.140625" style="2" customWidth="1"/>
    <col min="14583" max="14583" width="9.140625" style="2"/>
    <col min="14584" max="14584" width="4.85546875" style="2" customWidth="1"/>
    <col min="14585" max="14585" width="30.5703125" style="2" customWidth="1"/>
    <col min="14586" max="14586" width="33.85546875" style="2" customWidth="1"/>
    <col min="14587" max="14587" width="5.140625" style="2" customWidth="1"/>
    <col min="14588" max="14589" width="17.5703125" style="2" customWidth="1"/>
    <col min="14590" max="14833" width="9.140625" style="2"/>
    <col min="14834" max="14834" width="3.7109375" style="2" customWidth="1"/>
    <col min="14835" max="14835" width="96.85546875" style="2" customWidth="1"/>
    <col min="14836" max="14836" width="30.85546875" style="2" customWidth="1"/>
    <col min="14837" max="14837" width="12.5703125" style="2" customWidth="1"/>
    <col min="14838" max="14838" width="5.140625" style="2" customWidth="1"/>
    <col min="14839" max="14839" width="9.140625" style="2"/>
    <col min="14840" max="14840" width="4.85546875" style="2" customWidth="1"/>
    <col min="14841" max="14841" width="30.5703125" style="2" customWidth="1"/>
    <col min="14842" max="14842" width="33.85546875" style="2" customWidth="1"/>
    <col min="14843" max="14843" width="5.140625" style="2" customWidth="1"/>
    <col min="14844" max="14845" width="17.5703125" style="2" customWidth="1"/>
    <col min="14846" max="15089" width="9.140625" style="2"/>
    <col min="15090" max="15090" width="3.7109375" style="2" customWidth="1"/>
    <col min="15091" max="15091" width="96.85546875" style="2" customWidth="1"/>
    <col min="15092" max="15092" width="30.85546875" style="2" customWidth="1"/>
    <col min="15093" max="15093" width="12.5703125" style="2" customWidth="1"/>
    <col min="15094" max="15094" width="5.140625" style="2" customWidth="1"/>
    <col min="15095" max="15095" width="9.140625" style="2"/>
    <col min="15096" max="15096" width="4.85546875" style="2" customWidth="1"/>
    <col min="15097" max="15097" width="30.5703125" style="2" customWidth="1"/>
    <col min="15098" max="15098" width="33.85546875" style="2" customWidth="1"/>
    <col min="15099" max="15099" width="5.140625" style="2" customWidth="1"/>
    <col min="15100" max="15101" width="17.5703125" style="2" customWidth="1"/>
    <col min="15102" max="15345" width="9.140625" style="2"/>
    <col min="15346" max="15346" width="3.7109375" style="2" customWidth="1"/>
    <col min="15347" max="15347" width="96.85546875" style="2" customWidth="1"/>
    <col min="15348" max="15348" width="30.85546875" style="2" customWidth="1"/>
    <col min="15349" max="15349" width="12.5703125" style="2" customWidth="1"/>
    <col min="15350" max="15350" width="5.140625" style="2" customWidth="1"/>
    <col min="15351" max="15351" width="9.140625" style="2"/>
    <col min="15352" max="15352" width="4.85546875" style="2" customWidth="1"/>
    <col min="15353" max="15353" width="30.5703125" style="2" customWidth="1"/>
    <col min="15354" max="15354" width="33.85546875" style="2" customWidth="1"/>
    <col min="15355" max="15355" width="5.140625" style="2" customWidth="1"/>
    <col min="15356" max="15357" width="17.5703125" style="2" customWidth="1"/>
    <col min="15358" max="15601" width="9.140625" style="2"/>
    <col min="15602" max="15602" width="3.7109375" style="2" customWidth="1"/>
    <col min="15603" max="15603" width="96.85546875" style="2" customWidth="1"/>
    <col min="15604" max="15604" width="30.85546875" style="2" customWidth="1"/>
    <col min="15605" max="15605" width="12.5703125" style="2" customWidth="1"/>
    <col min="15606" max="15606" width="5.140625" style="2" customWidth="1"/>
    <col min="15607" max="15607" width="9.140625" style="2"/>
    <col min="15608" max="15608" width="4.85546875" style="2" customWidth="1"/>
    <col min="15609" max="15609" width="30.5703125" style="2" customWidth="1"/>
    <col min="15610" max="15610" width="33.85546875" style="2" customWidth="1"/>
    <col min="15611" max="15611" width="5.140625" style="2" customWidth="1"/>
    <col min="15612" max="15613" width="17.5703125" style="2" customWidth="1"/>
    <col min="15614" max="15857" width="9.140625" style="2"/>
    <col min="15858" max="15858" width="3.7109375" style="2" customWidth="1"/>
    <col min="15859" max="15859" width="96.85546875" style="2" customWidth="1"/>
    <col min="15860" max="15860" width="30.85546875" style="2" customWidth="1"/>
    <col min="15861" max="15861" width="12.5703125" style="2" customWidth="1"/>
    <col min="15862" max="15862" width="5.140625" style="2" customWidth="1"/>
    <col min="15863" max="15863" width="9.140625" style="2"/>
    <col min="15864" max="15864" width="4.85546875" style="2" customWidth="1"/>
    <col min="15865" max="15865" width="30.5703125" style="2" customWidth="1"/>
    <col min="15866" max="15866" width="33.85546875" style="2" customWidth="1"/>
    <col min="15867" max="15867" width="5.140625" style="2" customWidth="1"/>
    <col min="15868" max="15869" width="17.5703125" style="2" customWidth="1"/>
    <col min="15870" max="16113" width="9.140625" style="2"/>
    <col min="16114" max="16114" width="3.7109375" style="2" customWidth="1"/>
    <col min="16115" max="16115" width="96.85546875" style="2" customWidth="1"/>
    <col min="16116" max="16116" width="30.85546875" style="2" customWidth="1"/>
    <col min="16117" max="16117" width="12.5703125" style="2" customWidth="1"/>
    <col min="16118" max="16118" width="5.140625" style="2" customWidth="1"/>
    <col min="16119" max="16119" width="9.140625" style="2"/>
    <col min="16120" max="16120" width="4.85546875" style="2" customWidth="1"/>
    <col min="16121" max="16121" width="30.5703125" style="2" customWidth="1"/>
    <col min="16122" max="16122" width="33.85546875" style="2" customWidth="1"/>
    <col min="16123" max="16123" width="5.140625" style="2" customWidth="1"/>
    <col min="16124" max="16125" width="17.5703125" style="2" customWidth="1"/>
    <col min="16126"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[7]И1!D13</f>
        <v>Субъект Российской Федерации</v>
      </c>
      <c r="C4" s="10" t="str">
        <f>[7]И1!E13</f>
        <v>Новосибирская область</v>
      </c>
    </row>
    <row r="5" spans="1:3" ht="15.95" customHeight="1">
      <c r="A5" s="8"/>
      <c r="B5" s="9" t="str">
        <f>[7]И1!D14</f>
        <v>Тип муниципального образования (выберите из списка)</v>
      </c>
      <c r="C5" s="10" t="str">
        <f>[7]И1!E14</f>
        <v xml:space="preserve">село Барышево, Новосибирский муниципальный район </v>
      </c>
    </row>
    <row r="6" spans="1:3">
      <c r="A6" s="8"/>
      <c r="B6" s="9" t="str">
        <f>IF([7]И1!E15="","",[7]И1!D15)</f>
        <v/>
      </c>
      <c r="C6" s="7" t="str">
        <f>IF([7]И1!E15="","",[7]И1!E15)</f>
        <v/>
      </c>
    </row>
    <row r="7" spans="1:3">
      <c r="A7" s="8"/>
      <c r="B7" s="9" t="str">
        <f>[7]И1!D16</f>
        <v>Код ОКТМО</v>
      </c>
      <c r="C7" s="11" t="str">
        <f>[7]И1!E16</f>
        <v>50640402101</v>
      </c>
    </row>
    <row r="8" spans="1:3">
      <c r="A8" s="8"/>
      <c r="B8" s="12" t="str">
        <f>[7]И1!D17</f>
        <v>Система теплоснабжения</v>
      </c>
      <c r="C8" s="13">
        <f>[7]И1!E17</f>
        <v>0</v>
      </c>
    </row>
    <row r="9" spans="1:3">
      <c r="A9" s="8"/>
      <c r="B9" s="9" t="str">
        <f>[7]И1!D8</f>
        <v>Период регулирования (i)-й</v>
      </c>
      <c r="C9" s="14">
        <f>[7]И1!E8</f>
        <v>2024</v>
      </c>
    </row>
    <row r="10" spans="1:3">
      <c r="A10" s="8"/>
      <c r="B10" s="9" t="str">
        <f>[7]И1!D9</f>
        <v>Период регулирования (i-1)-й</v>
      </c>
      <c r="C10" s="14">
        <f>[7]И1!E9</f>
        <v>2023</v>
      </c>
    </row>
    <row r="11" spans="1:3">
      <c r="A11" s="8"/>
      <c r="B11" s="9" t="str">
        <f>[7]И1!D10</f>
        <v>Период регулирования (i-2)-й</v>
      </c>
      <c r="C11" s="14">
        <f>[7]И1!E10</f>
        <v>2022</v>
      </c>
    </row>
    <row r="12" spans="1:3">
      <c r="A12" s="8"/>
      <c r="B12" s="9" t="str">
        <f>[7]И1!D11</f>
        <v>Базовый год (б)</v>
      </c>
      <c r="C12" s="14">
        <f>[7]И1!E11</f>
        <v>2019</v>
      </c>
    </row>
    <row r="13" spans="1:3">
      <c r="A13" s="8"/>
      <c r="B13" s="9" t="str">
        <f>[7]И1!D18</f>
        <v>Вид топлива, использование которого преобладает в системе теплоснабжения</v>
      </c>
      <c r="C13" s="15" t="str">
        <f>[7]И1!E18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2967.9693464609672</v>
      </c>
    </row>
    <row r="18" spans="1:3" ht="42.75">
      <c r="A18" s="22" t="s">
        <v>8</v>
      </c>
      <c r="B18" s="25" t="s">
        <v>9</v>
      </c>
      <c r="C18" s="26">
        <f>[7]С1!F12</f>
        <v>994.35037159416254</v>
      </c>
    </row>
    <row r="19" spans="1:3" ht="42.75">
      <c r="A19" s="22" t="s">
        <v>10</v>
      </c>
      <c r="B19" s="25" t="s">
        <v>11</v>
      </c>
      <c r="C19" s="26">
        <f>[7]С2!F12</f>
        <v>1337.1646821037446</v>
      </c>
    </row>
    <row r="20" spans="1:3" ht="30">
      <c r="A20" s="22" t="s">
        <v>12</v>
      </c>
      <c r="B20" s="25" t="s">
        <v>13</v>
      </c>
      <c r="C20" s="26">
        <f>[7]С3!F12</f>
        <v>317.6025648848447</v>
      </c>
    </row>
    <row r="21" spans="1:3" ht="42.75">
      <c r="A21" s="22" t="s">
        <v>14</v>
      </c>
      <c r="B21" s="25" t="s">
        <v>228</v>
      </c>
      <c r="C21" s="26">
        <f>[7]С4!F12</f>
        <v>260.65625049662776</v>
      </c>
    </row>
    <row r="22" spans="1:3" ht="33" customHeight="1">
      <c r="A22" s="22" t="s">
        <v>16</v>
      </c>
      <c r="B22" s="25" t="s">
        <v>229</v>
      </c>
      <c r="C22" s="26">
        <f>[7]С5!F12</f>
        <v>58.195477381587587</v>
      </c>
    </row>
    <row r="23" spans="1:3" ht="45.75" customHeight="1" thickBot="1">
      <c r="A23" s="27" t="s">
        <v>18</v>
      </c>
      <c r="B23" s="143" t="s">
        <v>230</v>
      </c>
      <c r="C23" s="28">
        <f>[7]С6!F12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[7]С1.1!E16</f>
        <v>7900</v>
      </c>
    </row>
    <row r="29" spans="1:3" ht="42.75">
      <c r="A29" s="22" t="s">
        <v>10</v>
      </c>
      <c r="B29" s="33" t="s">
        <v>232</v>
      </c>
      <c r="C29" s="34">
        <f>[7]С1.1!E32</f>
        <v>5751.37</v>
      </c>
    </row>
    <row r="30" spans="1:3" ht="38.25">
      <c r="A30" s="22" t="s">
        <v>233</v>
      </c>
      <c r="B30" s="33" t="s">
        <v>234</v>
      </c>
      <c r="C30" s="85" t="str">
        <f>[7]С1.1!E25</f>
        <v>ООО "Газпром газораспределение Томск"</v>
      </c>
    </row>
    <row r="31" spans="1:3" ht="38.25">
      <c r="A31" s="22" t="s">
        <v>235</v>
      </c>
      <c r="B31" s="33" t="str">
        <f>[7]С1.1!D26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[7]С1.1!E26</f>
        <v>4699.5</v>
      </c>
    </row>
    <row r="32" spans="1:3" ht="25.5">
      <c r="A32" s="22" t="s">
        <v>236</v>
      </c>
      <c r="B32" s="33" t="str">
        <f>[7]С1.1!D27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[7]С1.1!E27</f>
        <v>795.43</v>
      </c>
    </row>
    <row r="33" spans="1:3" ht="25.5">
      <c r="A33" s="22" t="s">
        <v>237</v>
      </c>
      <c r="B33" s="33" t="str">
        <f>[7]С1.1!D28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[7]С1.1!E28</f>
        <v>136.54</v>
      </c>
    </row>
    <row r="34" spans="1:3" ht="38.25">
      <c r="A34" s="22" t="s">
        <v>238</v>
      </c>
      <c r="B34" s="33" t="str">
        <f>[7]С1.1!D29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[7]С1.1!E29</f>
        <v>119.9</v>
      </c>
    </row>
    <row r="35" spans="1:3" ht="17.25">
      <c r="A35" s="22" t="s">
        <v>12</v>
      </c>
      <c r="B35" s="33" t="s">
        <v>23</v>
      </c>
      <c r="C35" s="35">
        <f>[7]С1.1!E20</f>
        <v>8.5000000000000006E-2</v>
      </c>
    </row>
    <row r="36" spans="1:3" ht="17.25">
      <c r="A36" s="22" t="s">
        <v>14</v>
      </c>
      <c r="B36" s="33" t="s">
        <v>24</v>
      </c>
      <c r="C36" s="35">
        <f>[7]С1.1!E21</f>
        <v>0.112</v>
      </c>
    </row>
    <row r="37" spans="1:3" ht="30">
      <c r="A37" s="22" t="s">
        <v>16</v>
      </c>
      <c r="B37" s="36" t="s">
        <v>239</v>
      </c>
      <c r="C37" s="121">
        <f>[7]С1!F13</f>
        <v>156.1</v>
      </c>
    </row>
    <row r="38" spans="1:3">
      <c r="A38" s="22" t="s">
        <v>18</v>
      </c>
      <c r="B38" s="36" t="s">
        <v>26</v>
      </c>
      <c r="C38" s="38">
        <f>[7]С1!F16</f>
        <v>7000</v>
      </c>
    </row>
    <row r="39" spans="1:3" ht="14.25">
      <c r="A39" s="122" t="s">
        <v>27</v>
      </c>
      <c r="B39" s="39" t="s">
        <v>240</v>
      </c>
      <c r="C39" s="40">
        <f>[7]С1!F17</f>
        <v>1.1285714285714286</v>
      </c>
    </row>
    <row r="40" spans="1:3" ht="15.75">
      <c r="A40" s="123" t="s">
        <v>29</v>
      </c>
      <c r="B40" s="42" t="s">
        <v>30</v>
      </c>
      <c r="C40" s="40">
        <f>[7]С1!F20</f>
        <v>22.307053372799995</v>
      </c>
    </row>
    <row r="41" spans="1:3" ht="15.75">
      <c r="A41" s="123" t="s">
        <v>31</v>
      </c>
      <c r="B41" s="43" t="s">
        <v>32</v>
      </c>
      <c r="C41" s="40">
        <f>[7]С1!F21</f>
        <v>21.531904799999996</v>
      </c>
    </row>
    <row r="42" spans="1:3" ht="14.25">
      <c r="A42" s="123" t="s">
        <v>33</v>
      </c>
      <c r="B42" s="44" t="s">
        <v>34</v>
      </c>
      <c r="C42" s="40">
        <f>[7]С1!F22</f>
        <v>1.036</v>
      </c>
    </row>
    <row r="43" spans="1:3" ht="53.25" thickBot="1">
      <c r="A43" s="27" t="s">
        <v>35</v>
      </c>
      <c r="B43" s="45" t="s">
        <v>36</v>
      </c>
      <c r="C43" s="46" t="str">
        <f>[7]С1!F23</f>
        <v>-</v>
      </c>
    </row>
    <row r="44" spans="1:3" ht="13.5" thickBot="1">
      <c r="A44" s="47"/>
      <c r="B44" s="75"/>
      <c r="C44" s="15"/>
    </row>
    <row r="45" spans="1:3" ht="30" customHeight="1">
      <c r="A45" s="50" t="s">
        <v>37</v>
      </c>
      <c r="B45" s="145" t="s">
        <v>38</v>
      </c>
      <c r="C45" s="145"/>
    </row>
    <row r="46" spans="1:3" ht="25.5">
      <c r="A46" s="22" t="s">
        <v>39</v>
      </c>
      <c r="B46" s="36" t="s">
        <v>40</v>
      </c>
      <c r="C46" s="51" t="str">
        <f>[7]С2.1!E12</f>
        <v>V</v>
      </c>
    </row>
    <row r="47" spans="1:3" ht="25.5">
      <c r="A47" s="22" t="s">
        <v>41</v>
      </c>
      <c r="B47" s="33" t="s">
        <v>42</v>
      </c>
      <c r="C47" s="51" t="str">
        <f>[7]С2.1!E13</f>
        <v>6 и менее баллов</v>
      </c>
    </row>
    <row r="48" spans="1:3" ht="25.5">
      <c r="A48" s="22" t="s">
        <v>43</v>
      </c>
      <c r="B48" s="33" t="s">
        <v>241</v>
      </c>
      <c r="C48" s="51" t="str">
        <f>[7]С2.1!E14</f>
        <v>от 200 до 500</v>
      </c>
    </row>
    <row r="49" spans="1:3" ht="25.5">
      <c r="A49" s="22" t="s">
        <v>45</v>
      </c>
      <c r="B49" s="33" t="s">
        <v>242</v>
      </c>
      <c r="C49" s="52" t="str">
        <f>[7]С2.1!E15</f>
        <v>нет</v>
      </c>
    </row>
    <row r="50" spans="1:3" ht="30">
      <c r="A50" s="22" t="s">
        <v>47</v>
      </c>
      <c r="B50" s="33" t="s">
        <v>48</v>
      </c>
      <c r="C50" s="34">
        <f>[7]С2!F18</f>
        <v>35106.652004551666</v>
      </c>
    </row>
    <row r="51" spans="1:3" ht="30">
      <c r="A51" s="22" t="s">
        <v>49</v>
      </c>
      <c r="B51" s="53" t="s">
        <v>50</v>
      </c>
      <c r="C51" s="34">
        <f>IF([7]С2!F19&gt;0,[7]С2!F19,[7]С2!F20)</f>
        <v>23441.524932855718</v>
      </c>
    </row>
    <row r="52" spans="1:3" ht="25.5">
      <c r="A52" s="22" t="s">
        <v>51</v>
      </c>
      <c r="B52" s="54" t="s">
        <v>52</v>
      </c>
      <c r="C52" s="34">
        <f>[7]С2.1!E20</f>
        <v>-37</v>
      </c>
    </row>
    <row r="53" spans="1:3" ht="25.5">
      <c r="A53" s="22" t="s">
        <v>53</v>
      </c>
      <c r="B53" s="54" t="s">
        <v>54</v>
      </c>
      <c r="C53" s="34" t="str">
        <f>[7]С2.1!E23</f>
        <v>нет</v>
      </c>
    </row>
    <row r="54" spans="1:3" ht="38.25">
      <c r="A54" s="22" t="s">
        <v>55</v>
      </c>
      <c r="B54" s="55" t="s">
        <v>56</v>
      </c>
      <c r="C54" s="34">
        <f>[7]С2.2!E10</f>
        <v>1287</v>
      </c>
    </row>
    <row r="55" spans="1:3" ht="25.5">
      <c r="A55" s="22" t="s">
        <v>57</v>
      </c>
      <c r="B55" s="56" t="s">
        <v>58</v>
      </c>
      <c r="C55" s="34">
        <f>[7]С2.2!E12</f>
        <v>5.97</v>
      </c>
    </row>
    <row r="56" spans="1:3" ht="52.5">
      <c r="A56" s="22" t="s">
        <v>59</v>
      </c>
      <c r="B56" s="57" t="s">
        <v>60</v>
      </c>
      <c r="C56" s="34">
        <f>[7]С2.2!E13</f>
        <v>1</v>
      </c>
    </row>
    <row r="57" spans="1:3" ht="27.75">
      <c r="A57" s="22" t="s">
        <v>61</v>
      </c>
      <c r="B57" s="56" t="s">
        <v>62</v>
      </c>
      <c r="C57" s="34">
        <f>[7]С2.2!E14</f>
        <v>12104</v>
      </c>
    </row>
    <row r="58" spans="1:3" ht="25.5">
      <c r="A58" s="22" t="s">
        <v>63</v>
      </c>
      <c r="B58" s="57" t="s">
        <v>64</v>
      </c>
      <c r="C58" s="35">
        <f>[7]С2.2!E15</f>
        <v>4.8000000000000001E-2</v>
      </c>
    </row>
    <row r="59" spans="1:3">
      <c r="A59" s="22" t="s">
        <v>65</v>
      </c>
      <c r="B59" s="57" t="s">
        <v>66</v>
      </c>
      <c r="C59" s="124">
        <f>[7]С2.2!E16</f>
        <v>1</v>
      </c>
    </row>
    <row r="60" spans="1:3" ht="15.75">
      <c r="A60" s="22" t="s">
        <v>67</v>
      </c>
      <c r="B60" s="58" t="s">
        <v>68</v>
      </c>
      <c r="C60" s="34">
        <f>[7]С2!F21</f>
        <v>1</v>
      </c>
    </row>
    <row r="61" spans="1:3" ht="30">
      <c r="A61" s="59" t="s">
        <v>69</v>
      </c>
      <c r="B61" s="33" t="s">
        <v>243</v>
      </c>
      <c r="C61" s="34">
        <f>[7]С2!F13</f>
        <v>105136.23090983224</v>
      </c>
    </row>
    <row r="62" spans="1:3" ht="30">
      <c r="A62" s="59" t="s">
        <v>71</v>
      </c>
      <c r="B62" s="60" t="s">
        <v>244</v>
      </c>
      <c r="C62" s="34">
        <f>[7]С2!F14</f>
        <v>64899</v>
      </c>
    </row>
    <row r="63" spans="1:3" ht="15.75">
      <c r="A63" s="59" t="s">
        <v>73</v>
      </c>
      <c r="B63" s="60" t="s">
        <v>74</v>
      </c>
      <c r="C63" s="40">
        <f>[7]С2!F15</f>
        <v>1.071</v>
      </c>
    </row>
    <row r="64" spans="1:3" ht="15.75">
      <c r="A64" s="59" t="s">
        <v>75</v>
      </c>
      <c r="B64" s="60" t="s">
        <v>76</v>
      </c>
      <c r="C64" s="125">
        <f>[7]С2!F16</f>
        <v>1</v>
      </c>
    </row>
    <row r="65" spans="1:3" ht="17.25">
      <c r="A65" s="59" t="s">
        <v>77</v>
      </c>
      <c r="B65" s="60" t="s">
        <v>78</v>
      </c>
      <c r="C65" s="126">
        <f>[7]С2!F17</f>
        <v>1.01</v>
      </c>
    </row>
    <row r="66" spans="1:3" s="63" customFormat="1" ht="14.25">
      <c r="A66" s="59" t="s">
        <v>79</v>
      </c>
      <c r="B66" s="61" t="s">
        <v>80</v>
      </c>
      <c r="C66" s="62">
        <f>[7]С2!F35</f>
        <v>10</v>
      </c>
    </row>
    <row r="67" spans="1:3" ht="30">
      <c r="A67" s="59" t="s">
        <v>81</v>
      </c>
      <c r="B67" s="64" t="s">
        <v>82</v>
      </c>
      <c r="C67" s="34">
        <f>[7]С2!F28</f>
        <v>141.64867100230373</v>
      </c>
    </row>
    <row r="68" spans="1:3" ht="17.25">
      <c r="A68" s="59" t="s">
        <v>83</v>
      </c>
      <c r="B68" s="53" t="s">
        <v>245</v>
      </c>
      <c r="C68" s="40">
        <f>[7]С2!F29</f>
        <v>0.18916419899999998</v>
      </c>
    </row>
    <row r="69" spans="1:3" ht="17.25">
      <c r="A69" s="59" t="s">
        <v>85</v>
      </c>
      <c r="B69" s="58" t="s">
        <v>246</v>
      </c>
      <c r="C69" s="62">
        <f>[7]С2!F30</f>
        <v>500</v>
      </c>
    </row>
    <row r="70" spans="1:3" ht="42.75">
      <c r="A70" s="59" t="s">
        <v>87</v>
      </c>
      <c r="B70" s="33" t="s">
        <v>247</v>
      </c>
      <c r="C70" s="34">
        <f>[7]С2!F22</f>
        <v>39638.324046481182</v>
      </c>
    </row>
    <row r="71" spans="1:3" ht="30">
      <c r="A71" s="59" t="s">
        <v>89</v>
      </c>
      <c r="B71" s="60" t="s">
        <v>248</v>
      </c>
      <c r="C71" s="34">
        <f>[7]С2!F23</f>
        <v>21</v>
      </c>
    </row>
    <row r="72" spans="1:3" ht="30">
      <c r="A72" s="59" t="s">
        <v>91</v>
      </c>
      <c r="B72" s="53" t="s">
        <v>92</v>
      </c>
      <c r="C72" s="34">
        <f>[7]С2.1!E28</f>
        <v>14036.09995</v>
      </c>
    </row>
    <row r="73" spans="1:3" ht="38.25">
      <c r="A73" s="59" t="s">
        <v>93</v>
      </c>
      <c r="B73" s="65" t="s">
        <v>94</v>
      </c>
      <c r="C73" s="52">
        <f>[7]С2.3!E21</f>
        <v>0</v>
      </c>
    </row>
    <row r="74" spans="1:3" ht="25.5">
      <c r="A74" s="59" t="s">
        <v>95</v>
      </c>
      <c r="B74" s="66" t="s">
        <v>96</v>
      </c>
      <c r="C74" s="67">
        <f>[7]С2.3!E11</f>
        <v>5.45</v>
      </c>
    </row>
    <row r="75" spans="1:3" ht="25.5">
      <c r="A75" s="59" t="s">
        <v>97</v>
      </c>
      <c r="B75" s="66" t="s">
        <v>98</v>
      </c>
      <c r="C75" s="62">
        <f>[7]С2.3!E13</f>
        <v>300</v>
      </c>
    </row>
    <row r="76" spans="1:3" ht="25.5">
      <c r="A76" s="59" t="s">
        <v>99</v>
      </c>
      <c r="B76" s="65" t="s">
        <v>100</v>
      </c>
      <c r="C76" s="68">
        <f>IF([7]С2.3!E22&gt;0,[7]С2.3!E22,[7]С2.3!E14)</f>
        <v>61211</v>
      </c>
    </row>
    <row r="77" spans="1:3" ht="38.25">
      <c r="A77" s="59" t="s">
        <v>101</v>
      </c>
      <c r="B77" s="65" t="s">
        <v>102</v>
      </c>
      <c r="C77" s="68">
        <f>IF([7]С2.3!E23&gt;0,[7]С2.3!E23,[7]С2.3!E15)</f>
        <v>45675</v>
      </c>
    </row>
    <row r="78" spans="1:3" ht="30">
      <c r="A78" s="59" t="s">
        <v>103</v>
      </c>
      <c r="B78" s="53" t="s">
        <v>104</v>
      </c>
      <c r="C78" s="34">
        <f>[7]С2.1!E29</f>
        <v>9518.3274000000001</v>
      </c>
    </row>
    <row r="79" spans="1:3" ht="38.25">
      <c r="A79" s="59" t="s">
        <v>105</v>
      </c>
      <c r="B79" s="65" t="s">
        <v>106</v>
      </c>
      <c r="C79" s="52">
        <f>[7]С2.3!E25</f>
        <v>0</v>
      </c>
    </row>
    <row r="80" spans="1:3" ht="25.5">
      <c r="A80" s="59" t="s">
        <v>107</v>
      </c>
      <c r="B80" s="66" t="s">
        <v>108</v>
      </c>
      <c r="C80" s="67">
        <f>[7]С2.3!E12</f>
        <v>0.2</v>
      </c>
    </row>
    <row r="81" spans="1:3" ht="25.5">
      <c r="A81" s="59" t="s">
        <v>109</v>
      </c>
      <c r="B81" s="66" t="s">
        <v>98</v>
      </c>
      <c r="C81" s="62">
        <f>[7]С2.3!E13</f>
        <v>300</v>
      </c>
    </row>
    <row r="82" spans="1:3" ht="25.5">
      <c r="A82" s="59" t="s">
        <v>110</v>
      </c>
      <c r="B82" s="69" t="s">
        <v>111</v>
      </c>
      <c r="C82" s="68">
        <f>IF([7]С2.3!E26&gt;0,[7]С2.3!E26,[7]С2.3!E16)</f>
        <v>65637</v>
      </c>
    </row>
    <row r="83" spans="1:3" ht="38.25">
      <c r="A83" s="59" t="s">
        <v>112</v>
      </c>
      <c r="B83" s="69" t="s">
        <v>113</v>
      </c>
      <c r="C83" s="68">
        <f>IF([7]С2.3!E27&gt;0,[7]С2.3!E27,[7]С2.3!E17)</f>
        <v>31684</v>
      </c>
    </row>
    <row r="84" spans="1:3" ht="30">
      <c r="A84" s="59" t="s">
        <v>249</v>
      </c>
      <c r="B84" s="60" t="s">
        <v>250</v>
      </c>
      <c r="C84" s="68">
        <f>IF([7]С2.1!E19&gt;0,[7]С2.1!E19,[7]С2!F26)</f>
        <v>2892</v>
      </c>
    </row>
    <row r="85" spans="1:3" ht="17.25">
      <c r="A85" s="59" t="s">
        <v>114</v>
      </c>
      <c r="B85" s="33" t="s">
        <v>115</v>
      </c>
      <c r="C85" s="35">
        <f>[7]С2!F31</f>
        <v>9.5962865259740182E-2</v>
      </c>
    </row>
    <row r="86" spans="1:3" ht="30">
      <c r="A86" s="59" t="s">
        <v>116</v>
      </c>
      <c r="B86" s="53" t="s">
        <v>117</v>
      </c>
      <c r="C86" s="70">
        <f>[7]С2!F32</f>
        <v>8.4029304029304031E-2</v>
      </c>
    </row>
    <row r="87" spans="1:3" ht="17.25">
      <c r="A87" s="59" t="s">
        <v>118</v>
      </c>
      <c r="B87" s="71" t="s">
        <v>119</v>
      </c>
      <c r="C87" s="35">
        <f>[7]С2!F33</f>
        <v>0.13880000000000001</v>
      </c>
    </row>
    <row r="88" spans="1:3" s="63" customFormat="1" ht="18" thickBot="1">
      <c r="A88" s="72" t="s">
        <v>120</v>
      </c>
      <c r="B88" s="73" t="s">
        <v>121</v>
      </c>
      <c r="C88" s="74">
        <f>[7]С2!F34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[7]С3!F14</f>
        <v>4199.9055432306041</v>
      </c>
    </row>
    <row r="92" spans="1:3" s="63" customFormat="1" ht="42.75">
      <c r="A92" s="77" t="s">
        <v>126</v>
      </c>
      <c r="B92" s="53" t="s">
        <v>127</v>
      </c>
      <c r="C92" s="78">
        <f>[7]С3!F15</f>
        <v>0.2</v>
      </c>
    </row>
    <row r="93" spans="1:3" s="63" customFormat="1" ht="14.25">
      <c r="A93" s="77" t="s">
        <v>128</v>
      </c>
      <c r="B93" s="79" t="s">
        <v>129</v>
      </c>
      <c r="C93" s="62">
        <f>[7]С3!F18</f>
        <v>15</v>
      </c>
    </row>
    <row r="94" spans="1:3" s="63" customFormat="1" ht="17.25">
      <c r="A94" s="77" t="s">
        <v>130</v>
      </c>
      <c r="B94" s="33" t="s">
        <v>131</v>
      </c>
      <c r="C94" s="34">
        <f>[7]С3!F19</f>
        <v>2638.2577020926874</v>
      </c>
    </row>
    <row r="95" spans="1:3" s="63" customFormat="1" ht="55.5">
      <c r="A95" s="77" t="s">
        <v>132</v>
      </c>
      <c r="B95" s="53" t="s">
        <v>133</v>
      </c>
      <c r="C95" s="80">
        <f>[7]С3!F20</f>
        <v>2.1999999999999999E-2</v>
      </c>
    </row>
    <row r="96" spans="1:3" s="63" customFormat="1" ht="14.25">
      <c r="A96" s="77" t="s">
        <v>134</v>
      </c>
      <c r="B96" s="58" t="s">
        <v>80</v>
      </c>
      <c r="C96" s="62">
        <f>[7]С3!F21</f>
        <v>10</v>
      </c>
    </row>
    <row r="97" spans="1:3" s="63" customFormat="1" ht="17.25">
      <c r="A97" s="77" t="s">
        <v>135</v>
      </c>
      <c r="B97" s="33" t="s">
        <v>136</v>
      </c>
      <c r="C97" s="34">
        <f>[7]С3!F22</f>
        <v>0.42494601300691121</v>
      </c>
    </row>
    <row r="98" spans="1:3" s="63" customFormat="1" ht="55.5">
      <c r="A98" s="77" t="s">
        <v>137</v>
      </c>
      <c r="B98" s="53" t="s">
        <v>138</v>
      </c>
      <c r="C98" s="80">
        <f>[7]С3!F23</f>
        <v>3.0000000000000001E-3</v>
      </c>
    </row>
    <row r="99" spans="1:3" s="63" customFormat="1" ht="30.75" thickBot="1">
      <c r="A99" s="81" t="s">
        <v>139</v>
      </c>
      <c r="B99" s="82" t="s">
        <v>82</v>
      </c>
      <c r="C99" s="83">
        <f>[7]С3!F24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[7]С4!F16</f>
        <v>832.33500000000004</v>
      </c>
    </row>
    <row r="103" spans="1:3" ht="30">
      <c r="A103" s="59" t="s">
        <v>145</v>
      </c>
      <c r="B103" s="58" t="s">
        <v>252</v>
      </c>
      <c r="C103" s="34">
        <f>[7]С4!F17</f>
        <v>43385</v>
      </c>
    </row>
    <row r="104" spans="1:3" ht="17.25">
      <c r="A104" s="59" t="s">
        <v>147</v>
      </c>
      <c r="B104" s="58" t="s">
        <v>148</v>
      </c>
      <c r="C104" s="40">
        <f>[7]С4!F18</f>
        <v>1.4999999999999999E-2</v>
      </c>
    </row>
    <row r="105" spans="1:3" ht="30">
      <c r="A105" s="59" t="s">
        <v>149</v>
      </c>
      <c r="B105" s="58" t="s">
        <v>150</v>
      </c>
      <c r="C105" s="34">
        <f>[7]С4!F19</f>
        <v>12104</v>
      </c>
    </row>
    <row r="106" spans="1:3" ht="31.5">
      <c r="A106" s="59" t="s">
        <v>151</v>
      </c>
      <c r="B106" s="58" t="s">
        <v>152</v>
      </c>
      <c r="C106" s="40">
        <f>[7]С4!F20</f>
        <v>1.4999999999999999E-2</v>
      </c>
    </row>
    <row r="107" spans="1:3" ht="30">
      <c r="A107" s="59" t="s">
        <v>153</v>
      </c>
      <c r="B107" s="33" t="s">
        <v>253</v>
      </c>
      <c r="C107" s="34">
        <f>[7]С4!F21</f>
        <v>1221.9019409821399</v>
      </c>
    </row>
    <row r="108" spans="1:3" ht="45.6" customHeight="1">
      <c r="A108" s="59" t="s">
        <v>155</v>
      </c>
      <c r="B108" s="53" t="s">
        <v>156</v>
      </c>
      <c r="C108" s="85" t="str">
        <f>IF([7]С4.2!F8="да",[7]С4.2!D21,[7]С4.2!D15)</f>
        <v>АО "Новосибирскэнергосбыт"</v>
      </c>
    </row>
    <row r="109" spans="1:3" ht="68.25" customHeight="1">
      <c r="A109" s="59" t="s">
        <v>157</v>
      </c>
      <c r="B109" s="53" t="s">
        <v>158</v>
      </c>
      <c r="C109" s="34">
        <f>[7]С4!F22</f>
        <v>3.6112641666666665</v>
      </c>
    </row>
    <row r="110" spans="1:3" ht="30">
      <c r="A110" s="59" t="s">
        <v>159</v>
      </c>
      <c r="B110" s="58" t="s">
        <v>254</v>
      </c>
      <c r="C110" s="62">
        <f>[7]С4!F23</f>
        <v>110</v>
      </c>
    </row>
    <row r="111" spans="1:3" ht="14.25">
      <c r="A111" s="59" t="s">
        <v>161</v>
      </c>
      <c r="B111" s="53" t="s">
        <v>162</v>
      </c>
      <c r="C111" s="34">
        <f>[7]С4!F24</f>
        <v>8497.1999999999989</v>
      </c>
    </row>
    <row r="112" spans="1:3" ht="14.25">
      <c r="A112" s="59" t="s">
        <v>163</v>
      </c>
      <c r="B112" s="58" t="s">
        <v>164</v>
      </c>
      <c r="C112" s="40">
        <f>[7]С4!F25</f>
        <v>0.36199999999999999</v>
      </c>
    </row>
    <row r="113" spans="1:3" ht="17.25">
      <c r="A113" s="59" t="s">
        <v>165</v>
      </c>
      <c r="B113" s="33" t="s">
        <v>166</v>
      </c>
      <c r="C113" s="34">
        <f>[7]С4!F26</f>
        <v>58.852059999999994</v>
      </c>
    </row>
    <row r="114" spans="1:3" ht="25.5">
      <c r="A114" s="59" t="s">
        <v>167</v>
      </c>
      <c r="B114" s="53" t="s">
        <v>94</v>
      </c>
      <c r="C114" s="85">
        <f>[7]С4.3!E16</f>
        <v>0</v>
      </c>
    </row>
    <row r="115" spans="1:3" ht="25.5">
      <c r="A115" s="59" t="s">
        <v>168</v>
      </c>
      <c r="B115" s="53" t="s">
        <v>169</v>
      </c>
      <c r="C115" s="34">
        <f>[7]С4.3!E17</f>
        <v>29.27</v>
      </c>
    </row>
    <row r="116" spans="1:3" ht="38.25">
      <c r="A116" s="59" t="s">
        <v>170</v>
      </c>
      <c r="B116" s="53" t="s">
        <v>106</v>
      </c>
      <c r="C116" s="85">
        <f>[7]С4.3!E18</f>
        <v>0</v>
      </c>
    </row>
    <row r="117" spans="1:3">
      <c r="A117" s="59" t="s">
        <v>171</v>
      </c>
      <c r="B117" s="53" t="s">
        <v>172</v>
      </c>
      <c r="C117" s="34">
        <f>[7]С4.3!E19</f>
        <v>31.54</v>
      </c>
    </row>
    <row r="118" spans="1:3">
      <c r="A118" s="59" t="s">
        <v>173</v>
      </c>
      <c r="B118" s="58" t="s">
        <v>174</v>
      </c>
      <c r="C118" s="62">
        <f>[7]С4.3!E11</f>
        <v>1871</v>
      </c>
    </row>
    <row r="119" spans="1:3">
      <c r="A119" s="59" t="s">
        <v>175</v>
      </c>
      <c r="B119" s="58" t="s">
        <v>176</v>
      </c>
      <c r="C119" s="52">
        <f>[7]С4.3!E12</f>
        <v>61</v>
      </c>
    </row>
    <row r="120" spans="1:3">
      <c r="A120" s="59" t="s">
        <v>177</v>
      </c>
      <c r="B120" s="58" t="s">
        <v>178</v>
      </c>
      <c r="C120" s="52">
        <f>[7]С4.3!E13</f>
        <v>73</v>
      </c>
    </row>
    <row r="121" spans="1:3" ht="30">
      <c r="A121" s="59" t="s">
        <v>179</v>
      </c>
      <c r="B121" s="33" t="s">
        <v>255</v>
      </c>
      <c r="C121" s="34">
        <f>[7]С4!F27</f>
        <v>1296.7467102743137</v>
      </c>
    </row>
    <row r="122" spans="1:3" ht="25.5">
      <c r="A122" s="59" t="s">
        <v>181</v>
      </c>
      <c r="B122" s="53" t="s">
        <v>256</v>
      </c>
      <c r="C122" s="34">
        <f>[7]С4!F28</f>
        <v>995.96521526444985</v>
      </c>
    </row>
    <row r="123" spans="1:3" ht="42.75">
      <c r="A123" s="59" t="s">
        <v>183</v>
      </c>
      <c r="B123" s="53" t="s">
        <v>184</v>
      </c>
      <c r="C123" s="34">
        <f>[7]С4!F29</f>
        <v>300.78149500986387</v>
      </c>
    </row>
    <row r="124" spans="1:3" ht="30.75" thickBot="1">
      <c r="A124" s="72" t="s">
        <v>185</v>
      </c>
      <c r="B124" s="90" t="s">
        <v>186</v>
      </c>
      <c r="C124" s="83">
        <f>[7]С4!F30</f>
        <v>505.76480359949664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[7]С5!F17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IF([7]С6.1!E11="нет",[7]С6!F13,"")</f>
        <v/>
      </c>
    </row>
    <row r="131" spans="1:3" ht="42.75">
      <c r="A131" s="59" t="s">
        <v>204</v>
      </c>
      <c r="B131" s="86" t="s">
        <v>205</v>
      </c>
      <c r="C131" s="92" t="str">
        <f>IF([7]С6.1!E12="нет",[7]С6.1!E17,"")</f>
        <v/>
      </c>
    </row>
    <row r="132" spans="1:3" ht="68.25">
      <c r="A132" s="59" t="s">
        <v>206</v>
      </c>
      <c r="B132" s="91" t="s">
        <v>207</v>
      </c>
      <c r="C132" s="127" t="str">
        <f>IF([7]С6.1!E18="нет",[7]С6!F19,"")</f>
        <v/>
      </c>
    </row>
    <row r="133" spans="1:3" ht="55.5">
      <c r="A133" s="59" t="s">
        <v>208</v>
      </c>
      <c r="B133" s="86" t="s">
        <v>209</v>
      </c>
      <c r="C133" s="35" t="str">
        <f>IF([7]С6.1!E18="нет",[7]С6.1!E19,"")</f>
        <v/>
      </c>
    </row>
    <row r="134" spans="1:3" ht="61.5" customHeight="1">
      <c r="A134" s="59" t="s">
        <v>210</v>
      </c>
      <c r="B134" s="86" t="s">
        <v>257</v>
      </c>
      <c r="C134" s="35" t="str">
        <f>IF([7]С6.1!E18="нет",[7]С6.1!E22,"")</f>
        <v/>
      </c>
    </row>
    <row r="135" spans="1:3" ht="69" thickBot="1">
      <c r="A135" s="72" t="s">
        <v>212</v>
      </c>
      <c r="B135" s="98" t="s">
        <v>213</v>
      </c>
      <c r="C135" s="74" t="str">
        <f>IF([7]С6.1!E18="нет",[7]С6.1!E23,"")</f>
        <v/>
      </c>
    </row>
    <row r="136" spans="1:3" s="89" customFormat="1" ht="13.5" thickBot="1">
      <c r="A136" s="47"/>
      <c r="B136" s="75"/>
      <c r="C136" s="15"/>
    </row>
    <row r="137" spans="1:3" ht="15.75">
      <c r="A137" s="84" t="s">
        <v>214</v>
      </c>
      <c r="B137" s="99" t="s">
        <v>215</v>
      </c>
      <c r="C137" s="100">
        <f>[7]С2!F39</f>
        <v>21.531904799999996</v>
      </c>
    </row>
    <row r="138" spans="1:3" ht="14.25">
      <c r="A138" s="59" t="s">
        <v>216</v>
      </c>
      <c r="B138" s="58" t="s">
        <v>217</v>
      </c>
      <c r="C138" s="34">
        <f>[7]С2!F40</f>
        <v>7</v>
      </c>
    </row>
    <row r="139" spans="1:3" ht="17.25">
      <c r="A139" s="59" t="s">
        <v>218</v>
      </c>
      <c r="B139" s="58" t="s">
        <v>219</v>
      </c>
      <c r="C139" s="34">
        <f>[7]С2!F42</f>
        <v>0.97</v>
      </c>
    </row>
    <row r="140" spans="1:3" ht="15" thickBot="1">
      <c r="A140" s="72" t="s">
        <v>220</v>
      </c>
      <c r="B140" s="73" t="s">
        <v>221</v>
      </c>
      <c r="C140" s="46">
        <f>[7]С2!F44</f>
        <v>0.36199999999999999</v>
      </c>
    </row>
    <row r="141" spans="1:3" s="89" customFormat="1" ht="13.5" thickBot="1">
      <c r="A141" s="47"/>
      <c r="B141" s="75"/>
      <c r="C141" s="15"/>
    </row>
    <row r="142" spans="1:3" ht="17.25">
      <c r="A142" s="84" t="s">
        <v>222</v>
      </c>
      <c r="B142" s="103" t="s">
        <v>258</v>
      </c>
      <c r="C142" s="128">
        <f>[7]С2!F37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[7]С2.5!$E$11</f>
        <v>-2.9000000000000026E-2</v>
      </c>
    </row>
    <row r="146" spans="1:3">
      <c r="B146" s="131">
        <f>B145+1</f>
        <v>2021</v>
      </c>
      <c r="C146" s="133">
        <f>[7]С2.5!$F$11</f>
        <v>0.245</v>
      </c>
    </row>
    <row r="147" spans="1:3">
      <c r="B147" s="131">
        <f t="shared" ref="B147:B210" si="0">B146+1</f>
        <v>2022</v>
      </c>
      <c r="C147" s="134">
        <f>[7]С2.5!$G$11</f>
        <v>0.114</v>
      </c>
    </row>
    <row r="148" spans="1:3">
      <c r="B148" s="110">
        <f t="shared" si="0"/>
        <v>2023</v>
      </c>
      <c r="C148" s="135">
        <f>[7]С2.5!$H$11</f>
        <v>2.4E-2</v>
      </c>
    </row>
    <row r="149" spans="1:3" ht="13.5" thickBot="1">
      <c r="B149" s="110">
        <f t="shared" si="0"/>
        <v>2024</v>
      </c>
      <c r="C149" s="135">
        <f>[7]С2.5!$I$11</f>
        <v>8.5999999999999993E-2</v>
      </c>
    </row>
    <row r="150" spans="1:3" ht="13.5" hidden="1" thickBot="1">
      <c r="B150" s="110">
        <f t="shared" si="0"/>
        <v>2025</v>
      </c>
      <c r="C150" s="135">
        <f>[7]С2.5!$J$11</f>
        <v>0</v>
      </c>
    </row>
    <row r="151" spans="1:3" ht="13.5" hidden="1" thickBot="1">
      <c r="B151" s="110">
        <f t="shared" si="0"/>
        <v>2026</v>
      </c>
      <c r="C151" s="135">
        <f>[7]С2.5!$K$11</f>
        <v>0</v>
      </c>
    </row>
    <row r="152" spans="1:3" ht="13.5" hidden="1" thickBot="1">
      <c r="B152" s="110">
        <f t="shared" si="0"/>
        <v>2027</v>
      </c>
      <c r="C152" s="135">
        <f>[7]С2.5!$L$11</f>
        <v>0</v>
      </c>
    </row>
    <row r="153" spans="1:3" ht="13.5" hidden="1" thickBot="1">
      <c r="B153" s="110">
        <f t="shared" si="0"/>
        <v>2028</v>
      </c>
      <c r="C153" s="135">
        <f>[7]С2.5!$M$11</f>
        <v>0</v>
      </c>
    </row>
    <row r="154" spans="1:3" ht="13.5" hidden="1" thickBot="1">
      <c r="B154" s="110">
        <f t="shared" si="0"/>
        <v>2029</v>
      </c>
      <c r="C154" s="135">
        <f>[7]С2.5!$N$11</f>
        <v>0</v>
      </c>
    </row>
    <row r="155" spans="1:3" ht="13.5" hidden="1" thickBot="1">
      <c r="B155" s="110">
        <f t="shared" si="0"/>
        <v>2030</v>
      </c>
      <c r="C155" s="135">
        <f>[7]С2.5!$O$11</f>
        <v>0</v>
      </c>
    </row>
    <row r="156" spans="1:3" ht="13.5" hidden="1" thickBot="1">
      <c r="B156" s="110">
        <f t="shared" si="0"/>
        <v>2031</v>
      </c>
      <c r="C156" s="135">
        <f>[7]С2.5!$P$11</f>
        <v>0</v>
      </c>
    </row>
    <row r="157" spans="1:3" ht="13.5" hidden="1" thickBot="1">
      <c r="B157" s="110">
        <f t="shared" si="0"/>
        <v>2032</v>
      </c>
      <c r="C157" s="135">
        <f>[7]С2.5!$Q$11</f>
        <v>0</v>
      </c>
    </row>
    <row r="158" spans="1:3" ht="13.5" hidden="1" thickBot="1">
      <c r="B158" s="110">
        <f t="shared" si="0"/>
        <v>2033</v>
      </c>
      <c r="C158" s="135">
        <f>[7]С2.5!$R$11</f>
        <v>0</v>
      </c>
    </row>
    <row r="159" spans="1:3" ht="13.5" hidden="1" thickBot="1">
      <c r="B159" s="110">
        <f t="shared" si="0"/>
        <v>2034</v>
      </c>
      <c r="C159" s="135">
        <f>[7]С2.5!$S$11</f>
        <v>0</v>
      </c>
    </row>
    <row r="160" spans="1:3" ht="13.5" hidden="1" thickBot="1">
      <c r="B160" s="110">
        <f t="shared" si="0"/>
        <v>2035</v>
      </c>
      <c r="C160" s="135">
        <f>[7]С2.5!$T$11</f>
        <v>0</v>
      </c>
    </row>
    <row r="161" spans="2:3" ht="13.5" hidden="1" thickBot="1">
      <c r="B161" s="110">
        <f t="shared" si="0"/>
        <v>2036</v>
      </c>
      <c r="C161" s="135">
        <f>[7]С2.5!$U$11</f>
        <v>0</v>
      </c>
    </row>
    <row r="162" spans="2:3" ht="13.5" hidden="1" thickBot="1">
      <c r="B162" s="110">
        <f t="shared" si="0"/>
        <v>2037</v>
      </c>
      <c r="C162" s="135">
        <f>[7]С2.5!$V$11</f>
        <v>0</v>
      </c>
    </row>
    <row r="163" spans="2:3" ht="13.5" hidden="1" thickBot="1">
      <c r="B163" s="110">
        <f t="shared" si="0"/>
        <v>2038</v>
      </c>
      <c r="C163" s="135">
        <f>[7]С2.5!$W$11</f>
        <v>0</v>
      </c>
    </row>
    <row r="164" spans="2:3" ht="13.5" hidden="1" thickBot="1">
      <c r="B164" s="110">
        <f t="shared" si="0"/>
        <v>2039</v>
      </c>
      <c r="C164" s="135">
        <f>[7]С2.5!$X$11</f>
        <v>0</v>
      </c>
    </row>
    <row r="165" spans="2:3" ht="13.5" hidden="1" thickBot="1">
      <c r="B165" s="110">
        <f t="shared" si="0"/>
        <v>2040</v>
      </c>
      <c r="C165" s="135">
        <f>[7]С2.5!$Y$11</f>
        <v>0</v>
      </c>
    </row>
    <row r="166" spans="2:3" ht="13.5" hidden="1" thickBot="1">
      <c r="B166" s="110">
        <f t="shared" si="0"/>
        <v>2041</v>
      </c>
      <c r="C166" s="135">
        <f>[7]С2.5!$Z$11</f>
        <v>0</v>
      </c>
    </row>
    <row r="167" spans="2:3" ht="13.5" hidden="1" thickBot="1">
      <c r="B167" s="110">
        <f t="shared" si="0"/>
        <v>2042</v>
      </c>
      <c r="C167" s="135">
        <f>[7]С2.5!$AA$11</f>
        <v>0</v>
      </c>
    </row>
    <row r="168" spans="2:3" ht="13.5" hidden="1" thickBot="1">
      <c r="B168" s="110">
        <f t="shared" si="0"/>
        <v>2043</v>
      </c>
      <c r="C168" s="135">
        <f>[7]С2.5!$AB$11</f>
        <v>0</v>
      </c>
    </row>
    <row r="169" spans="2:3" ht="13.5" hidden="1" thickBot="1">
      <c r="B169" s="110">
        <f t="shared" si="0"/>
        <v>2044</v>
      </c>
      <c r="C169" s="135">
        <f>[7]С2.5!$AC$11</f>
        <v>0</v>
      </c>
    </row>
    <row r="170" spans="2:3" ht="13.5" hidden="1" thickBot="1">
      <c r="B170" s="110">
        <f t="shared" si="0"/>
        <v>2045</v>
      </c>
      <c r="C170" s="135">
        <f>[7]С2.5!$AD$11</f>
        <v>0</v>
      </c>
    </row>
    <row r="171" spans="2:3" ht="13.5" hidden="1" thickBot="1">
      <c r="B171" s="110">
        <f t="shared" si="0"/>
        <v>2046</v>
      </c>
      <c r="C171" s="135">
        <f>[7]С2.5!$AE$11</f>
        <v>0</v>
      </c>
    </row>
    <row r="172" spans="2:3" ht="13.5" hidden="1" thickBot="1">
      <c r="B172" s="110">
        <f t="shared" si="0"/>
        <v>2047</v>
      </c>
      <c r="C172" s="135">
        <f>[7]С2.5!$AF$11</f>
        <v>0</v>
      </c>
    </row>
    <row r="173" spans="2:3" ht="13.5" hidden="1" thickBot="1">
      <c r="B173" s="110">
        <f t="shared" si="0"/>
        <v>2048</v>
      </c>
      <c r="C173" s="135">
        <f>[7]С2.5!$AG$11</f>
        <v>0</v>
      </c>
    </row>
    <row r="174" spans="2:3" ht="13.5" hidden="1" thickBot="1">
      <c r="B174" s="110">
        <f t="shared" si="0"/>
        <v>2049</v>
      </c>
      <c r="C174" s="135">
        <f>[7]С2.5!$AH$11</f>
        <v>0</v>
      </c>
    </row>
    <row r="175" spans="2:3" ht="13.5" hidden="1" thickBot="1">
      <c r="B175" s="110">
        <f t="shared" si="0"/>
        <v>2050</v>
      </c>
      <c r="C175" s="135">
        <f>[7]С2.5!$AI$11</f>
        <v>0</v>
      </c>
    </row>
    <row r="176" spans="2:3" ht="13.5" hidden="1" thickBot="1">
      <c r="B176" s="110">
        <f t="shared" si="0"/>
        <v>2051</v>
      </c>
      <c r="C176" s="135">
        <f>[7]С2.5!$AJ$11</f>
        <v>0</v>
      </c>
    </row>
    <row r="177" spans="2:3" ht="13.5" hidden="1" thickBot="1">
      <c r="B177" s="110">
        <f t="shared" si="0"/>
        <v>2052</v>
      </c>
      <c r="C177" s="135">
        <f>[7]С2.5!$AK$11</f>
        <v>0</v>
      </c>
    </row>
    <row r="178" spans="2:3" ht="13.5" hidden="1" thickBot="1">
      <c r="B178" s="110">
        <f t="shared" si="0"/>
        <v>2053</v>
      </c>
      <c r="C178" s="135">
        <f>[7]С2.5!$AL$11</f>
        <v>0</v>
      </c>
    </row>
    <row r="179" spans="2:3" ht="13.5" hidden="1" thickBot="1">
      <c r="B179" s="110">
        <f t="shared" si="0"/>
        <v>2054</v>
      </c>
      <c r="C179" s="135">
        <f>[7]С2.5!$AM$11</f>
        <v>0</v>
      </c>
    </row>
    <row r="180" spans="2:3" ht="13.5" hidden="1" thickBot="1">
      <c r="B180" s="110">
        <f t="shared" si="0"/>
        <v>2055</v>
      </c>
      <c r="C180" s="135">
        <f>[7]С2.5!$AN$11</f>
        <v>0</v>
      </c>
    </row>
    <row r="181" spans="2:3" ht="13.5" hidden="1" thickBot="1">
      <c r="B181" s="110">
        <f t="shared" si="0"/>
        <v>2056</v>
      </c>
      <c r="C181" s="135">
        <f>[7]С2.5!$AO$11</f>
        <v>0</v>
      </c>
    </row>
    <row r="182" spans="2:3" ht="13.5" hidden="1" thickBot="1">
      <c r="B182" s="110">
        <f t="shared" si="0"/>
        <v>2057</v>
      </c>
      <c r="C182" s="135">
        <f>[7]С2.5!$AP$11</f>
        <v>0</v>
      </c>
    </row>
    <row r="183" spans="2:3" ht="13.5" hidden="1" thickBot="1">
      <c r="B183" s="110">
        <f t="shared" si="0"/>
        <v>2058</v>
      </c>
      <c r="C183" s="135">
        <f>[7]С2.5!$AQ$11</f>
        <v>0</v>
      </c>
    </row>
    <row r="184" spans="2:3" ht="13.5" hidden="1" thickBot="1">
      <c r="B184" s="110">
        <f t="shared" si="0"/>
        <v>2059</v>
      </c>
      <c r="C184" s="135">
        <f>[7]С2.5!$AR$11</f>
        <v>0</v>
      </c>
    </row>
    <row r="185" spans="2:3" ht="13.5" hidden="1" thickBot="1">
      <c r="B185" s="110">
        <f t="shared" si="0"/>
        <v>2060</v>
      </c>
      <c r="C185" s="135">
        <f>[7]С2.5!$AS$11</f>
        <v>0</v>
      </c>
    </row>
    <row r="186" spans="2:3" ht="13.5" hidden="1" thickBot="1">
      <c r="B186" s="110">
        <f t="shared" si="0"/>
        <v>2061</v>
      </c>
      <c r="C186" s="135">
        <f>[7]С2.5!$AT$11</f>
        <v>0</v>
      </c>
    </row>
    <row r="187" spans="2:3" ht="13.5" hidden="1" thickBot="1">
      <c r="B187" s="110">
        <f t="shared" si="0"/>
        <v>2062</v>
      </c>
      <c r="C187" s="135">
        <f>[7]С2.5!$AU$11</f>
        <v>0</v>
      </c>
    </row>
    <row r="188" spans="2:3" ht="13.5" hidden="1" thickBot="1">
      <c r="B188" s="110">
        <f t="shared" si="0"/>
        <v>2063</v>
      </c>
      <c r="C188" s="135">
        <f>[7]С2.5!$AV$11</f>
        <v>0</v>
      </c>
    </row>
    <row r="189" spans="2:3" ht="13.5" hidden="1" thickBot="1">
      <c r="B189" s="110">
        <f t="shared" si="0"/>
        <v>2064</v>
      </c>
      <c r="C189" s="135">
        <f>[7]С2.5!$AW$11</f>
        <v>0</v>
      </c>
    </row>
    <row r="190" spans="2:3" ht="13.5" hidden="1" thickBot="1">
      <c r="B190" s="110">
        <f t="shared" si="0"/>
        <v>2065</v>
      </c>
      <c r="C190" s="135">
        <f>[7]С2.5!$AX$11</f>
        <v>0</v>
      </c>
    </row>
    <row r="191" spans="2:3" ht="13.5" hidden="1" thickBot="1">
      <c r="B191" s="110">
        <f t="shared" si="0"/>
        <v>2066</v>
      </c>
      <c r="C191" s="135">
        <f>[7]С2.5!$AY$11</f>
        <v>0</v>
      </c>
    </row>
    <row r="192" spans="2:3" ht="13.5" hidden="1" thickBot="1">
      <c r="B192" s="110">
        <f t="shared" si="0"/>
        <v>2067</v>
      </c>
      <c r="C192" s="135">
        <f>[7]С2.5!$AZ$11</f>
        <v>0</v>
      </c>
    </row>
    <row r="193" spans="2:3" ht="13.5" hidden="1" thickBot="1">
      <c r="B193" s="110">
        <f t="shared" si="0"/>
        <v>2068</v>
      </c>
      <c r="C193" s="135">
        <f>[7]С2.5!$BA$11</f>
        <v>0</v>
      </c>
    </row>
    <row r="194" spans="2:3" ht="13.5" hidden="1" thickBot="1">
      <c r="B194" s="110">
        <f t="shared" si="0"/>
        <v>2069</v>
      </c>
      <c r="C194" s="135">
        <f>[7]С2.5!$BB$11</f>
        <v>0</v>
      </c>
    </row>
    <row r="195" spans="2:3" ht="13.5" hidden="1" thickBot="1">
      <c r="B195" s="110">
        <f t="shared" si="0"/>
        <v>2070</v>
      </c>
      <c r="C195" s="135">
        <f>[7]С2.5!$BC$11</f>
        <v>0</v>
      </c>
    </row>
    <row r="196" spans="2:3" ht="13.5" hidden="1" thickBot="1">
      <c r="B196" s="110">
        <f t="shared" si="0"/>
        <v>2071</v>
      </c>
      <c r="C196" s="135">
        <f>[7]С2.5!$BD$11</f>
        <v>0</v>
      </c>
    </row>
    <row r="197" spans="2:3" ht="13.5" hidden="1" thickBot="1">
      <c r="B197" s="110">
        <f t="shared" si="0"/>
        <v>2072</v>
      </c>
      <c r="C197" s="135">
        <f>[7]С2.5!$BE$11</f>
        <v>0</v>
      </c>
    </row>
    <row r="198" spans="2:3" ht="13.5" hidden="1" thickBot="1">
      <c r="B198" s="110">
        <f t="shared" si="0"/>
        <v>2073</v>
      </c>
      <c r="C198" s="135">
        <f>[7]С2.5!$BF$11</f>
        <v>0</v>
      </c>
    </row>
    <row r="199" spans="2:3" ht="13.5" hidden="1" thickBot="1">
      <c r="B199" s="110">
        <f t="shared" si="0"/>
        <v>2074</v>
      </c>
      <c r="C199" s="135">
        <f>[7]С2.5!$BG$11</f>
        <v>0</v>
      </c>
    </row>
    <row r="200" spans="2:3" ht="13.5" hidden="1" thickBot="1">
      <c r="B200" s="110">
        <f t="shared" si="0"/>
        <v>2075</v>
      </c>
      <c r="C200" s="135">
        <f>[7]С2.5!$BH$11</f>
        <v>0</v>
      </c>
    </row>
    <row r="201" spans="2:3" ht="13.5" hidden="1" thickBot="1">
      <c r="B201" s="110">
        <f t="shared" si="0"/>
        <v>2076</v>
      </c>
      <c r="C201" s="135">
        <f>[7]С2.5!$BI$11</f>
        <v>0</v>
      </c>
    </row>
    <row r="202" spans="2:3" ht="13.5" hidden="1" thickBot="1">
      <c r="B202" s="110">
        <f t="shared" si="0"/>
        <v>2077</v>
      </c>
      <c r="C202" s="135">
        <f>[7]С2.5!$BJ$11</f>
        <v>0</v>
      </c>
    </row>
    <row r="203" spans="2:3" ht="13.5" hidden="1" thickBot="1">
      <c r="B203" s="110">
        <f t="shared" si="0"/>
        <v>2078</v>
      </c>
      <c r="C203" s="135">
        <f>[7]С2.5!$BK$11</f>
        <v>0</v>
      </c>
    </row>
    <row r="204" spans="2:3" ht="13.5" hidden="1" thickBot="1">
      <c r="B204" s="110">
        <f t="shared" si="0"/>
        <v>2079</v>
      </c>
      <c r="C204" s="135">
        <f>[7]С2.5!$BL$11</f>
        <v>0</v>
      </c>
    </row>
    <row r="205" spans="2:3" ht="13.5" hidden="1" thickBot="1">
      <c r="B205" s="110">
        <f t="shared" si="0"/>
        <v>2080</v>
      </c>
      <c r="C205" s="135">
        <f>[7]С2.5!$BM$11</f>
        <v>0</v>
      </c>
    </row>
    <row r="206" spans="2:3" ht="13.5" hidden="1" thickBot="1">
      <c r="B206" s="110">
        <f t="shared" si="0"/>
        <v>2081</v>
      </c>
      <c r="C206" s="135">
        <f>[7]С2.5!$BN$11</f>
        <v>0</v>
      </c>
    </row>
    <row r="207" spans="2:3" ht="13.5" hidden="1" thickBot="1">
      <c r="B207" s="110">
        <f t="shared" si="0"/>
        <v>2082</v>
      </c>
      <c r="C207" s="135">
        <f>[7]С2.5!$BO$11</f>
        <v>0</v>
      </c>
    </row>
    <row r="208" spans="2:3" ht="13.5" hidden="1" thickBot="1">
      <c r="B208" s="110">
        <f t="shared" si="0"/>
        <v>2083</v>
      </c>
      <c r="C208" s="135">
        <f>[7]С2.5!$BP$11</f>
        <v>0</v>
      </c>
    </row>
    <row r="209" spans="2:3" ht="13.5" hidden="1" thickBot="1">
      <c r="B209" s="110">
        <f t="shared" si="0"/>
        <v>2084</v>
      </c>
      <c r="C209" s="135">
        <f>[7]С2.5!$BQ$11</f>
        <v>0</v>
      </c>
    </row>
    <row r="210" spans="2:3" ht="13.5" hidden="1" thickBot="1">
      <c r="B210" s="110">
        <f t="shared" si="0"/>
        <v>2085</v>
      </c>
      <c r="C210" s="135">
        <f>[7]С2.5!$BR$11</f>
        <v>0</v>
      </c>
    </row>
    <row r="211" spans="2:3" ht="13.5" hidden="1" thickBot="1">
      <c r="B211" s="110">
        <f t="shared" ref="B211:B224" si="1">B210+1</f>
        <v>2086</v>
      </c>
      <c r="C211" s="135">
        <f>[7]С2.5!$BS$11</f>
        <v>0</v>
      </c>
    </row>
    <row r="212" spans="2:3" ht="13.5" hidden="1" thickBot="1">
      <c r="B212" s="110">
        <f t="shared" si="1"/>
        <v>2087</v>
      </c>
      <c r="C212" s="135">
        <f>[7]С2.5!$BT$11</f>
        <v>0</v>
      </c>
    </row>
    <row r="213" spans="2:3" ht="13.5" hidden="1" thickBot="1">
      <c r="B213" s="110">
        <f t="shared" si="1"/>
        <v>2088</v>
      </c>
      <c r="C213" s="135">
        <f>[7]С2.5!$BU$11</f>
        <v>0</v>
      </c>
    </row>
    <row r="214" spans="2:3" ht="13.5" hidden="1" thickBot="1">
      <c r="B214" s="110">
        <f t="shared" si="1"/>
        <v>2089</v>
      </c>
      <c r="C214" s="135">
        <f>[7]С2.5!$BV$11</f>
        <v>0</v>
      </c>
    </row>
    <row r="215" spans="2:3" ht="13.5" hidden="1" thickBot="1">
      <c r="B215" s="110">
        <f t="shared" si="1"/>
        <v>2090</v>
      </c>
      <c r="C215" s="135">
        <f>[7]С2.5!$BW$11</f>
        <v>0</v>
      </c>
    </row>
    <row r="216" spans="2:3" ht="13.5" hidden="1" thickBot="1">
      <c r="B216" s="110">
        <f t="shared" si="1"/>
        <v>2091</v>
      </c>
      <c r="C216" s="135">
        <f>[7]С2.5!$BX$11</f>
        <v>0</v>
      </c>
    </row>
    <row r="217" spans="2:3" ht="13.5" hidden="1" thickBot="1">
      <c r="B217" s="110">
        <f t="shared" si="1"/>
        <v>2092</v>
      </c>
      <c r="C217" s="135">
        <f>[7]С2.5!$BY$11</f>
        <v>0</v>
      </c>
    </row>
    <row r="218" spans="2:3" ht="13.5" hidden="1" thickBot="1">
      <c r="B218" s="110">
        <f t="shared" si="1"/>
        <v>2093</v>
      </c>
      <c r="C218" s="135">
        <f>[7]С2.5!$BZ$11</f>
        <v>0</v>
      </c>
    </row>
    <row r="219" spans="2:3" ht="13.5" hidden="1" thickBot="1">
      <c r="B219" s="110">
        <f t="shared" si="1"/>
        <v>2094</v>
      </c>
      <c r="C219" s="135">
        <f>[7]С2.5!$CA$11</f>
        <v>0</v>
      </c>
    </row>
    <row r="220" spans="2:3" ht="13.5" hidden="1" thickBot="1">
      <c r="B220" s="110">
        <f t="shared" si="1"/>
        <v>2095</v>
      </c>
      <c r="C220" s="135">
        <f>[7]С2.5!$CB$11</f>
        <v>0</v>
      </c>
    </row>
    <row r="221" spans="2:3" ht="13.5" hidden="1" thickBot="1">
      <c r="B221" s="110">
        <f t="shared" si="1"/>
        <v>2096</v>
      </c>
      <c r="C221" s="135">
        <f>[7]С2.5!$CC$11</f>
        <v>0</v>
      </c>
    </row>
    <row r="222" spans="2:3" ht="13.5" hidden="1" thickBot="1">
      <c r="B222" s="110">
        <f t="shared" si="1"/>
        <v>2097</v>
      </c>
      <c r="C222" s="135">
        <f>[7]С2.5!$CD$11</f>
        <v>0</v>
      </c>
    </row>
    <row r="223" spans="2:3" ht="13.5" hidden="1" thickBot="1">
      <c r="B223" s="110">
        <f t="shared" si="1"/>
        <v>2098</v>
      </c>
      <c r="C223" s="135">
        <f>[7]С2.5!$CE$11</f>
        <v>0</v>
      </c>
    </row>
    <row r="224" spans="2:3" ht="13.5" hidden="1" thickBot="1">
      <c r="B224" s="110">
        <f t="shared" si="1"/>
        <v>2099</v>
      </c>
      <c r="C224" s="135">
        <f>[7]С2.5!$CF$11</f>
        <v>0</v>
      </c>
    </row>
    <row r="225" spans="2:3" ht="13.5" hidden="1" thickBot="1">
      <c r="B225" s="112">
        <f>B162+1</f>
        <v>2038</v>
      </c>
      <c r="C225" s="136" t="e">
        <f>[7]С2.5!#REF!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7" t="s">
        <v>0</v>
      </c>
      <c r="C1" s="147"/>
    </row>
    <row r="2" spans="1:3">
      <c r="A2" s="3"/>
      <c r="B2" s="4" t="s">
        <v>1</v>
      </c>
      <c r="C2" s="5">
        <v>45317</v>
      </c>
    </row>
    <row r="3" spans="1:3">
      <c r="A3" s="3"/>
      <c r="B3" s="6" t="s">
        <v>2</v>
      </c>
    </row>
    <row r="4" spans="1:3" ht="25.5">
      <c r="A4" s="8"/>
      <c r="B4" s="9" t="str">
        <f>[8]И1!D13</f>
        <v>Субъект Российской Федерации</v>
      </c>
      <c r="C4" s="10" t="str">
        <f>[8]И1!E13</f>
        <v>Новосибирская область</v>
      </c>
    </row>
    <row r="5" spans="1:3" ht="51">
      <c r="A5" s="8"/>
      <c r="B5" s="9" t="str">
        <f>[8]И1!D14</f>
        <v>Тип муниципального образования (выберите из списка)</v>
      </c>
      <c r="C5" s="10" t="str">
        <f>[8]И1!E14</f>
        <v xml:space="preserve">поселок Железнодорожный, Новосибирский муниципальный район </v>
      </c>
    </row>
    <row r="6" spans="1:3">
      <c r="A6" s="8"/>
      <c r="B6" s="9" t="str">
        <f>IF([8]И1!E15="","",[8]И1!D15)</f>
        <v/>
      </c>
      <c r="C6" s="10" t="str">
        <f>IF([8]И1!E15="","",[8]И1!E15)</f>
        <v/>
      </c>
    </row>
    <row r="7" spans="1:3">
      <c r="A7" s="8"/>
      <c r="B7" s="9" t="str">
        <f>[8]И1!D16</f>
        <v>Код ОКТМО</v>
      </c>
      <c r="C7" s="11" t="str">
        <f>[8]И1!E16</f>
        <v>50640404101</v>
      </c>
    </row>
    <row r="8" spans="1:3">
      <c r="A8" s="8"/>
      <c r="B8" s="12" t="str">
        <f>[8]И1!D17</f>
        <v>Система теплоснабжения</v>
      </c>
      <c r="C8" s="13">
        <f>[8]И1!E17</f>
        <v>0</v>
      </c>
    </row>
    <row r="9" spans="1:3">
      <c r="A9" s="8"/>
      <c r="B9" s="9" t="str">
        <f>[8]И1!D8</f>
        <v>Период регулирования (i)-й</v>
      </c>
      <c r="C9" s="14">
        <f>[8]И1!E8</f>
        <v>2024</v>
      </c>
    </row>
    <row r="10" spans="1:3">
      <c r="A10" s="8"/>
      <c r="B10" s="9" t="str">
        <f>[8]И1!D9</f>
        <v>Период регулирования (i-1)-й</v>
      </c>
      <c r="C10" s="14">
        <f>[8]И1!E9</f>
        <v>2023</v>
      </c>
    </row>
    <row r="11" spans="1:3">
      <c r="A11" s="8"/>
      <c r="B11" s="9" t="str">
        <f>[8]И1!D10</f>
        <v>Период регулирования (i-2)-й</v>
      </c>
      <c r="C11" s="14">
        <f>[8]И1!E10</f>
        <v>2022</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3709.866880574682</v>
      </c>
    </row>
    <row r="18" spans="1:3" ht="42.75">
      <c r="A18" s="22" t="s">
        <v>8</v>
      </c>
      <c r="B18" s="25" t="s">
        <v>9</v>
      </c>
      <c r="C18" s="26">
        <f>[8]С1!F12</f>
        <v>695.58772759307203</v>
      </c>
    </row>
    <row r="19" spans="1:3" ht="42.75">
      <c r="A19" s="22" t="s">
        <v>10</v>
      </c>
      <c r="B19" s="25" t="s">
        <v>11</v>
      </c>
      <c r="C19" s="26">
        <f>[8]С2!F12</f>
        <v>1988.145782203278</v>
      </c>
    </row>
    <row r="20" spans="1:3" ht="30">
      <c r="A20" s="22" t="s">
        <v>12</v>
      </c>
      <c r="B20" s="25" t="s">
        <v>13</v>
      </c>
      <c r="C20" s="26">
        <f>[8]С3!F12</f>
        <v>472.46007696916996</v>
      </c>
    </row>
    <row r="21" spans="1:3" ht="42.75">
      <c r="A21" s="22" t="s">
        <v>14</v>
      </c>
      <c r="B21" s="25" t="s">
        <v>15</v>
      </c>
      <c r="C21" s="26">
        <f>[8]С4!F12</f>
        <v>480.93080595475607</v>
      </c>
    </row>
    <row r="22" spans="1:3" ht="30">
      <c r="A22" s="22" t="s">
        <v>16</v>
      </c>
      <c r="B22" s="25" t="s">
        <v>17</v>
      </c>
      <c r="C22" s="26">
        <f>[8]С5!F12</f>
        <v>72.742487854405525</v>
      </c>
    </row>
    <row r="23" spans="1:3" ht="43.5" thickBot="1">
      <c r="A23" s="27" t="s">
        <v>18</v>
      </c>
      <c r="B23" s="141" t="s">
        <v>19</v>
      </c>
      <c r="C23" s="28" t="str">
        <f>[8]С6!F12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[8]С1.1!E16</f>
        <v>5100</v>
      </c>
    </row>
    <row r="29" spans="1:3" ht="42.75">
      <c r="A29" s="22" t="s">
        <v>10</v>
      </c>
      <c r="B29" s="33" t="s">
        <v>22</v>
      </c>
      <c r="C29" s="34">
        <f>[8]С1.1!E27</f>
        <v>3125.3058500289503</v>
      </c>
    </row>
    <row r="30" spans="1:3" ht="17.25">
      <c r="A30" s="22" t="s">
        <v>12</v>
      </c>
      <c r="B30" s="33" t="s">
        <v>23</v>
      </c>
      <c r="C30" s="35">
        <f>[8]С1.1!E19</f>
        <v>-0.19900000000000001</v>
      </c>
    </row>
    <row r="31" spans="1:3" ht="17.25">
      <c r="A31" s="22" t="s">
        <v>14</v>
      </c>
      <c r="B31" s="33" t="s">
        <v>24</v>
      </c>
      <c r="C31" s="35">
        <f>[8]С1.1!E20</f>
        <v>5.7000000000000002E-2</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45" t="s">
        <v>38</v>
      </c>
      <c r="C40" s="145"/>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35106.652004551666</v>
      </c>
    </row>
    <row r="46" spans="1:3" ht="30">
      <c r="A46" s="22" t="s">
        <v>49</v>
      </c>
      <c r="B46" s="53" t="s">
        <v>50</v>
      </c>
      <c r="C46" s="34">
        <f>IF([8]С2!F19&gt;0,[8]С2!F19,[8]С2!F20)</f>
        <v>23441.524932855718</v>
      </c>
    </row>
    <row r="47" spans="1:3" ht="25.5">
      <c r="A47" s="22" t="s">
        <v>51</v>
      </c>
      <c r="B47" s="54" t="s">
        <v>52</v>
      </c>
      <c r="C47" s="34">
        <f>[8]С2.1!E19</f>
        <v>-37</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183796.83936385796</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1189.8488364193513</v>
      </c>
    </row>
    <row r="63" spans="1:3" ht="17.25">
      <c r="A63" s="59" t="s">
        <v>83</v>
      </c>
      <c r="B63" s="53" t="s">
        <v>84</v>
      </c>
      <c r="C63" s="34">
        <f>[8]С2!F27</f>
        <v>0.18916419899999998</v>
      </c>
    </row>
    <row r="64" spans="1:3" ht="17.25">
      <c r="A64" s="59" t="s">
        <v>85</v>
      </c>
      <c r="B64" s="58" t="s">
        <v>86</v>
      </c>
      <c r="C64" s="62">
        <f>[8]С2!F28</f>
        <v>4200</v>
      </c>
    </row>
    <row r="65" spans="1:3" ht="42.75">
      <c r="A65" s="59" t="s">
        <v>87</v>
      </c>
      <c r="B65" s="33" t="s">
        <v>88</v>
      </c>
      <c r="C65" s="34">
        <f>[8]С2!F22</f>
        <v>38698.422798410109</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9.5962865259740182E-2</v>
      </c>
    </row>
    <row r="80" spans="1:3" ht="30">
      <c r="A80" s="59" t="s">
        <v>116</v>
      </c>
      <c r="B80" s="53" t="s">
        <v>117</v>
      </c>
      <c r="C80" s="70">
        <f>[8]С2!F30</f>
        <v>8.4029304029304031E-2</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[8]С3!F14</f>
        <v>6054.0090724656739</v>
      </c>
    </row>
    <row r="86" spans="1:3" s="63" customFormat="1" ht="42.75">
      <c r="A86" s="77" t="s">
        <v>126</v>
      </c>
      <c r="B86" s="53" t="s">
        <v>127</v>
      </c>
      <c r="C86" s="78">
        <f>[8]С3!F15</f>
        <v>0.2</v>
      </c>
    </row>
    <row r="87" spans="1:3" s="63" customFormat="1" ht="14.25">
      <c r="A87" s="77" t="s">
        <v>128</v>
      </c>
      <c r="B87" s="79" t="s">
        <v>129</v>
      </c>
      <c r="C87" s="62">
        <f>[8]С3!F18</f>
        <v>15</v>
      </c>
    </row>
    <row r="88" spans="1:3" s="63" customFormat="1" ht="17.25">
      <c r="A88" s="77" t="s">
        <v>130</v>
      </c>
      <c r="B88" s="33" t="s">
        <v>131</v>
      </c>
      <c r="C88" s="34">
        <f>[8]С3!F19</f>
        <v>3778.1614077800232</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3.5695465092580538</v>
      </c>
    </row>
    <row r="92" spans="1:3" s="63" customFormat="1" ht="55.5">
      <c r="A92" s="77" t="s">
        <v>137</v>
      </c>
      <c r="B92" s="53" t="s">
        <v>138</v>
      </c>
      <c r="C92" s="80">
        <f>[8]С3!F23</f>
        <v>3.0000000000000001E-3</v>
      </c>
    </row>
    <row r="93" spans="1:3" s="63" customFormat="1" ht="27.75" thickBot="1">
      <c r="A93" s="81" t="s">
        <v>139</v>
      </c>
      <c r="B93" s="82" t="s">
        <v>140</v>
      </c>
      <c r="C93" s="83">
        <f>[8]С3!F24</f>
        <v>1189.8488364193513</v>
      </c>
    </row>
    <row r="94" spans="1:3" ht="13.5" thickBot="1">
      <c r="A94" s="47"/>
      <c r="B94" s="75"/>
      <c r="C94" s="15"/>
    </row>
    <row r="95" spans="1:3" ht="30" customHeight="1">
      <c r="A95" s="84" t="s">
        <v>141</v>
      </c>
      <c r="B95" s="145" t="s">
        <v>142</v>
      </c>
      <c r="C95" s="145"/>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54.112439999999999</v>
      </c>
    </row>
    <row r="108" spans="1:3" ht="25.5">
      <c r="A108" s="59" t="s">
        <v>167</v>
      </c>
      <c r="B108" s="53" t="s">
        <v>94</v>
      </c>
      <c r="C108" s="85">
        <f>[8]С4.3!E16</f>
        <v>0</v>
      </c>
    </row>
    <row r="109" spans="1:3" ht="25.5">
      <c r="A109" s="59" t="s">
        <v>168</v>
      </c>
      <c r="B109" s="53" t="s">
        <v>169</v>
      </c>
      <c r="C109" s="34">
        <f>[8]С4.3!E17</f>
        <v>12.8</v>
      </c>
    </row>
    <row r="110" spans="1:3" ht="38.25">
      <c r="A110" s="59" t="s">
        <v>170</v>
      </c>
      <c r="B110" s="53" t="s">
        <v>106</v>
      </c>
      <c r="C110" s="85">
        <f>[8]С4.3!E18</f>
        <v>0</v>
      </c>
    </row>
    <row r="111" spans="1:3">
      <c r="A111" s="59" t="s">
        <v>171</v>
      </c>
      <c r="B111" s="53" t="s">
        <v>172</v>
      </c>
      <c r="C111" s="34">
        <f>[8]С4.3!E19</f>
        <v>45.21</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1851.0127650478018</v>
      </c>
    </row>
    <row r="116" spans="1:3" ht="25.5">
      <c r="A116" s="59" t="s">
        <v>181</v>
      </c>
      <c r="B116" s="53" t="s">
        <v>182</v>
      </c>
      <c r="C116" s="34">
        <f>[8]С4!F28</f>
        <v>1421.6687903592947</v>
      </c>
    </row>
    <row r="117" spans="1:3" ht="42.75">
      <c r="A117" s="59" t="s">
        <v>183</v>
      </c>
      <c r="B117" s="53" t="s">
        <v>184</v>
      </c>
      <c r="C117" s="34">
        <f>[8]С4!F29</f>
        <v>429.3439746885071</v>
      </c>
    </row>
    <row r="118" spans="1:3" ht="30">
      <c r="A118" s="59" t="s">
        <v>185</v>
      </c>
      <c r="B118" s="39" t="s">
        <v>186</v>
      </c>
      <c r="C118" s="34">
        <f>[8]С4!F30</f>
        <v>1788.8863834729605</v>
      </c>
    </row>
    <row r="119" spans="1:3" ht="42.75">
      <c r="A119" s="59" t="s">
        <v>187</v>
      </c>
      <c r="B119" s="86" t="s">
        <v>188</v>
      </c>
      <c r="C119" s="34">
        <f>[8]С4!F33</f>
        <v>1030.6996696720105</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[8]С2.5!$E$11</f>
        <v>-2.9000000000000026E-2</v>
      </c>
    </row>
    <row r="144" spans="1:3">
      <c r="A144" s="105"/>
      <c r="B144" s="110">
        <f>B143+1</f>
        <v>2021</v>
      </c>
      <c r="C144" s="111">
        <f>[8]С2.5!$F$11</f>
        <v>0.245</v>
      </c>
    </row>
    <row r="145" spans="1:3">
      <c r="A145" s="105"/>
      <c r="B145" s="110">
        <f t="shared" ref="B145:B208" si="0">B144+1</f>
        <v>2022</v>
      </c>
      <c r="C145" s="111">
        <f>[8]С2.5!$G$11</f>
        <v>0.114</v>
      </c>
    </row>
    <row r="146" spans="1:3" ht="13.5" thickBot="1">
      <c r="A146" s="105"/>
      <c r="B146" s="112">
        <f t="shared" si="0"/>
        <v>2023</v>
      </c>
      <c r="C146" s="113">
        <f>[8]С2.5!$H$11</f>
        <v>2.4E-2</v>
      </c>
    </row>
    <row r="147" spans="1:3">
      <c r="A147" s="105"/>
      <c r="B147" s="114">
        <f t="shared" si="0"/>
        <v>2024</v>
      </c>
      <c r="C147" s="115">
        <f>[8]С2.5!$I$11</f>
        <v>8.5999999999999993E-2</v>
      </c>
    </row>
    <row r="148" spans="1:3" hidden="1">
      <c r="A148" s="105"/>
      <c r="B148" s="110">
        <f t="shared" si="0"/>
        <v>2025</v>
      </c>
      <c r="C148" s="111">
        <f>[8]С2.5!$J$11</f>
        <v>0.21215960863291</v>
      </c>
    </row>
    <row r="149" spans="1:3" hidden="1">
      <c r="A149" s="105"/>
      <c r="B149" s="110">
        <f t="shared" si="0"/>
        <v>2026</v>
      </c>
      <c r="C149" s="111">
        <f>[8]С2.5!$K$11</f>
        <v>3.5813361771260002E-2</v>
      </c>
    </row>
    <row r="150" spans="1:3" hidden="1">
      <c r="A150" s="105"/>
      <c r="B150" s="110">
        <f t="shared" si="0"/>
        <v>2027</v>
      </c>
      <c r="C150" s="111">
        <f>[8]С2.5!$L$11</f>
        <v>3.2682303599220003E-2</v>
      </c>
    </row>
    <row r="151" spans="1:3" hidden="1">
      <c r="A151" s="105"/>
      <c r="B151" s="110">
        <f t="shared" si="0"/>
        <v>2028</v>
      </c>
      <c r="C151" s="111">
        <f>[8]С2.5!$M$11</f>
        <v>0</v>
      </c>
    </row>
    <row r="152" spans="1:3" hidden="1">
      <c r="A152" s="105"/>
      <c r="B152" s="110">
        <f t="shared" si="0"/>
        <v>2029</v>
      </c>
      <c r="C152" s="111">
        <f>[8]С2.5!$N$11</f>
        <v>0</v>
      </c>
    </row>
    <row r="153" spans="1:3" hidden="1">
      <c r="A153" s="105"/>
      <c r="B153" s="110">
        <f t="shared" si="0"/>
        <v>2030</v>
      </c>
      <c r="C153" s="111">
        <f>[8]С2.5!$O$11</f>
        <v>0</v>
      </c>
    </row>
    <row r="154" spans="1:3" hidden="1">
      <c r="A154" s="105"/>
      <c r="B154" s="110">
        <f t="shared" si="0"/>
        <v>2031</v>
      </c>
      <c r="C154" s="111">
        <f>[8]С2.5!$P$11</f>
        <v>0</v>
      </c>
    </row>
    <row r="155" spans="1:3" hidden="1">
      <c r="A155" s="89"/>
      <c r="B155" s="110">
        <f t="shared" si="0"/>
        <v>2032</v>
      </c>
      <c r="C155" s="111">
        <f>[8]С2.5!$Q$11</f>
        <v>0</v>
      </c>
    </row>
    <row r="156" spans="1:3" hidden="1">
      <c r="A156" s="89"/>
      <c r="B156" s="110">
        <f t="shared" si="0"/>
        <v>2033</v>
      </c>
      <c r="C156" s="111">
        <f>[8]С2.5!$R$11</f>
        <v>0</v>
      </c>
    </row>
    <row r="157" spans="1:3" hidden="1">
      <c r="B157" s="110">
        <f t="shared" si="0"/>
        <v>2034</v>
      </c>
      <c r="C157" s="111">
        <f>[8]С2.5!$S$11</f>
        <v>0</v>
      </c>
    </row>
    <row r="158" spans="1:3" hidden="1">
      <c r="B158" s="110">
        <f t="shared" si="0"/>
        <v>2035</v>
      </c>
      <c r="C158" s="111">
        <f>[8]С2.5!$T$11</f>
        <v>0</v>
      </c>
    </row>
    <row r="159" spans="1:3" hidden="1">
      <c r="B159" s="110">
        <f t="shared" si="0"/>
        <v>2036</v>
      </c>
      <c r="C159" s="111">
        <f>[8]С2.5!$U$11</f>
        <v>0</v>
      </c>
    </row>
    <row r="160" spans="1:3"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7" t="s">
        <v>0</v>
      </c>
      <c r="C1" s="147"/>
    </row>
    <row r="2" spans="1:3">
      <c r="A2" s="3"/>
      <c r="B2" s="4" t="s">
        <v>1</v>
      </c>
      <c r="C2" s="5">
        <v>45317</v>
      </c>
    </row>
    <row r="3" spans="1:3">
      <c r="A3" s="3"/>
      <c r="B3" s="6"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 xml:space="preserve">село Боровое, Новосибирский муниципальный район </v>
      </c>
    </row>
    <row r="6" spans="1:3">
      <c r="A6" s="8"/>
      <c r="B6" s="9" t="str">
        <f>IF([9]И1!E15="","",[9]И1!D15)</f>
        <v/>
      </c>
      <c r="C6" s="10" t="str">
        <f>IF([9]И1!E15="","",[9]И1!E15)</f>
        <v/>
      </c>
    </row>
    <row r="7" spans="1:3">
      <c r="A7" s="8"/>
      <c r="B7" s="9" t="str">
        <f>[9]И1!D16</f>
        <v>Код ОКТМО</v>
      </c>
      <c r="C7" s="11" t="str">
        <f>[9]И1!E16</f>
        <v>50640407101</v>
      </c>
    </row>
    <row r="8" spans="1:3">
      <c r="A8" s="8"/>
      <c r="B8" s="12" t="str">
        <f>[9]И1!D17</f>
        <v>Система теплоснабжения</v>
      </c>
      <c r="C8" s="13">
        <f>[9]И1!E17</f>
        <v>0</v>
      </c>
    </row>
    <row r="9" spans="1:3">
      <c r="A9" s="8"/>
      <c r="B9" s="9" t="str">
        <f>[9]И1!D8</f>
        <v>Период регулирования (i)-й</v>
      </c>
      <c r="C9" s="14">
        <f>[9]И1!E8</f>
        <v>2024</v>
      </c>
    </row>
    <row r="10" spans="1:3">
      <c r="A10" s="8"/>
      <c r="B10" s="9" t="str">
        <f>[9]И1!D9</f>
        <v>Период регулирования (i-1)-й</v>
      </c>
      <c r="C10" s="14">
        <f>[9]И1!E9</f>
        <v>2023</v>
      </c>
    </row>
    <row r="11" spans="1:3">
      <c r="A11" s="8"/>
      <c r="B11" s="9" t="str">
        <f>[9]И1!D10</f>
        <v>Период регулирования (i-2)-й</v>
      </c>
      <c r="C11" s="14">
        <f>[9]И1!E10</f>
        <v>2022</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3512.5289435161881</v>
      </c>
    </row>
    <row r="18" spans="1:3" ht="42.75">
      <c r="A18" s="22" t="s">
        <v>8</v>
      </c>
      <c r="B18" s="25" t="s">
        <v>9</v>
      </c>
      <c r="C18" s="26">
        <f>[9]С1!F12</f>
        <v>514.94676889622713</v>
      </c>
    </row>
    <row r="19" spans="1:3" ht="42.75">
      <c r="A19" s="22" t="s">
        <v>10</v>
      </c>
      <c r="B19" s="25" t="s">
        <v>11</v>
      </c>
      <c r="C19" s="26">
        <f>[9]С2!F12</f>
        <v>1988.145782203278</v>
      </c>
    </row>
    <row r="20" spans="1:3" ht="30">
      <c r="A20" s="22" t="s">
        <v>12</v>
      </c>
      <c r="B20" s="25" t="s">
        <v>13</v>
      </c>
      <c r="C20" s="26">
        <f>[9]С3!F12</f>
        <v>472.46007696916996</v>
      </c>
    </row>
    <row r="21" spans="1:3" ht="42.75">
      <c r="A21" s="22" t="s">
        <v>14</v>
      </c>
      <c r="B21" s="25" t="s">
        <v>15</v>
      </c>
      <c r="C21" s="26">
        <f>[9]С4!F12</f>
        <v>468.1031989079799</v>
      </c>
    </row>
    <row r="22" spans="1:3" ht="30">
      <c r="A22" s="22" t="s">
        <v>16</v>
      </c>
      <c r="B22" s="25" t="s">
        <v>17</v>
      </c>
      <c r="C22" s="26">
        <f>[9]С5!F12</f>
        <v>68.8731165395331</v>
      </c>
    </row>
    <row r="23" spans="1:3" ht="43.5" thickBot="1">
      <c r="A23" s="27" t="s">
        <v>18</v>
      </c>
      <c r="B23" s="141"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[9]С1.1!E16</f>
        <v>5100</v>
      </c>
    </row>
    <row r="29" spans="1:3" ht="42.75">
      <c r="A29" s="22" t="s">
        <v>10</v>
      </c>
      <c r="B29" s="33" t="s">
        <v>22</v>
      </c>
      <c r="C29" s="34">
        <f>[9]С1.1!E27</f>
        <v>2313.6781824109253</v>
      </c>
    </row>
    <row r="30" spans="1:3" ht="17.25">
      <c r="A30" s="22" t="s">
        <v>12</v>
      </c>
      <c r="B30" s="33" t="s">
        <v>23</v>
      </c>
      <c r="C30" s="35">
        <f>[9]С1.1!E19</f>
        <v>-0.19900000000000001</v>
      </c>
    </row>
    <row r="31" spans="1:3" ht="17.25">
      <c r="A31" s="22" t="s">
        <v>14</v>
      </c>
      <c r="B31" s="33" t="s">
        <v>24</v>
      </c>
      <c r="C31" s="35">
        <f>[9]С1.1!E20</f>
        <v>5.7000000000000002E-2</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45" t="s">
        <v>38</v>
      </c>
      <c r="C40" s="145"/>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35106.652004551666</v>
      </c>
    </row>
    <row r="46" spans="1:3" ht="30">
      <c r="A46" s="22" t="s">
        <v>49</v>
      </c>
      <c r="B46" s="53" t="s">
        <v>50</v>
      </c>
      <c r="C46" s="34">
        <f>IF([9]С2!F19&gt;0,[9]С2!F19,[9]С2!F20)</f>
        <v>23441.524932855718</v>
      </c>
    </row>
    <row r="47" spans="1:3" ht="25.5">
      <c r="A47" s="22" t="s">
        <v>51</v>
      </c>
      <c r="B47" s="54" t="s">
        <v>52</v>
      </c>
      <c r="C47" s="34">
        <f>[9]С2.1!E19</f>
        <v>-37</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183796.83936385796</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1189.8488364193513</v>
      </c>
    </row>
    <row r="63" spans="1:3" ht="17.25">
      <c r="A63" s="59" t="s">
        <v>83</v>
      </c>
      <c r="B63" s="53" t="s">
        <v>84</v>
      </c>
      <c r="C63" s="34">
        <f>[9]С2!F27</f>
        <v>0.18916419899999998</v>
      </c>
    </row>
    <row r="64" spans="1:3" ht="17.25">
      <c r="A64" s="59" t="s">
        <v>85</v>
      </c>
      <c r="B64" s="58" t="s">
        <v>86</v>
      </c>
      <c r="C64" s="62">
        <f>[9]С2!F28</f>
        <v>4200</v>
      </c>
    </row>
    <row r="65" spans="1:3" ht="42.75">
      <c r="A65" s="59" t="s">
        <v>87</v>
      </c>
      <c r="B65" s="33" t="s">
        <v>88</v>
      </c>
      <c r="C65" s="34">
        <f>[9]С2!F22</f>
        <v>38698.422798410109</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9.5962865259740182E-2</v>
      </c>
    </row>
    <row r="80" spans="1:3" ht="30">
      <c r="A80" s="59" t="s">
        <v>116</v>
      </c>
      <c r="B80" s="53" t="s">
        <v>117</v>
      </c>
      <c r="C80" s="70">
        <f>[9]С2!F30</f>
        <v>8.4029304029304031E-2</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[9]С3!F14</f>
        <v>6054.0090724656739</v>
      </c>
    </row>
    <row r="86" spans="1:3" s="63" customFormat="1" ht="42.75">
      <c r="A86" s="77" t="s">
        <v>126</v>
      </c>
      <c r="B86" s="53" t="s">
        <v>127</v>
      </c>
      <c r="C86" s="78">
        <f>[9]С3!F15</f>
        <v>0.2</v>
      </c>
    </row>
    <row r="87" spans="1:3" s="63" customFormat="1" ht="14.25">
      <c r="A87" s="77" t="s">
        <v>128</v>
      </c>
      <c r="B87" s="79" t="s">
        <v>129</v>
      </c>
      <c r="C87" s="62">
        <f>[9]С3!F18</f>
        <v>15</v>
      </c>
    </row>
    <row r="88" spans="1:3" s="63" customFormat="1" ht="17.25">
      <c r="A88" s="77" t="s">
        <v>130</v>
      </c>
      <c r="B88" s="33" t="s">
        <v>131</v>
      </c>
      <c r="C88" s="34">
        <f>[9]С3!F19</f>
        <v>3778.1614077800232</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3.5695465092580538</v>
      </c>
    </row>
    <row r="92" spans="1:3" s="63" customFormat="1" ht="55.5">
      <c r="A92" s="77" t="s">
        <v>137</v>
      </c>
      <c r="B92" s="53" t="s">
        <v>138</v>
      </c>
      <c r="C92" s="80">
        <f>[9]С3!F23</f>
        <v>3.0000000000000001E-3</v>
      </c>
    </row>
    <row r="93" spans="1:3" s="63" customFormat="1" ht="27.75" thickBot="1">
      <c r="A93" s="81" t="s">
        <v>139</v>
      </c>
      <c r="B93" s="82" t="s">
        <v>140</v>
      </c>
      <c r="C93" s="83">
        <f>[9]С3!F24</f>
        <v>1189.8488364193513</v>
      </c>
    </row>
    <row r="94" spans="1:3" ht="13.5" thickBot="1">
      <c r="A94" s="47"/>
      <c r="B94" s="75"/>
      <c r="C94" s="15"/>
    </row>
    <row r="95" spans="1:3" ht="30" customHeight="1">
      <c r="A95" s="84" t="s">
        <v>141</v>
      </c>
      <c r="B95" s="145" t="s">
        <v>142</v>
      </c>
      <c r="C95" s="145"/>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51.693179999999998</v>
      </c>
    </row>
    <row r="108" spans="1:3" ht="25.5">
      <c r="A108" s="59" t="s">
        <v>167</v>
      </c>
      <c r="B108" s="53" t="s">
        <v>94</v>
      </c>
      <c r="C108" s="85">
        <f>[9]С4.3!E16</f>
        <v>0</v>
      </c>
    </row>
    <row r="109" spans="1:3" ht="25.5">
      <c r="A109" s="59" t="s">
        <v>168</v>
      </c>
      <c r="B109" s="53" t="s">
        <v>169</v>
      </c>
      <c r="C109" s="34">
        <f>[9]С4.3!E17</f>
        <v>14.74</v>
      </c>
    </row>
    <row r="110" spans="1:3" ht="38.25">
      <c r="A110" s="59" t="s">
        <v>170</v>
      </c>
      <c r="B110" s="53" t="s">
        <v>106</v>
      </c>
      <c r="C110" s="85">
        <f>[9]С4.3!E18</f>
        <v>0</v>
      </c>
    </row>
    <row r="111" spans="1:3">
      <c r="A111" s="59" t="s">
        <v>171</v>
      </c>
      <c r="B111" s="53" t="s">
        <v>172</v>
      </c>
      <c r="C111" s="34">
        <f>[9]С4.3!E19</f>
        <v>0</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1851.0127650478018</v>
      </c>
    </row>
    <row r="116" spans="1:3" ht="25.5">
      <c r="A116" s="59" t="s">
        <v>181</v>
      </c>
      <c r="B116" s="53" t="s">
        <v>182</v>
      </c>
      <c r="C116" s="34">
        <f>[9]С4!F28</f>
        <v>1421.6687903592947</v>
      </c>
    </row>
    <row r="117" spans="1:3" ht="42.75">
      <c r="A117" s="59" t="s">
        <v>183</v>
      </c>
      <c r="B117" s="53" t="s">
        <v>184</v>
      </c>
      <c r="C117" s="34">
        <f>[9]С4!F29</f>
        <v>429.3439746885071</v>
      </c>
    </row>
    <row r="118" spans="1:3" ht="30">
      <c r="A118" s="59" t="s">
        <v>185</v>
      </c>
      <c r="B118" s="39" t="s">
        <v>186</v>
      </c>
      <c r="C118" s="34">
        <f>[9]С4!F30</f>
        <v>1525.4626123108669</v>
      </c>
    </row>
    <row r="119" spans="1:3" ht="42.75">
      <c r="A119" s="59" t="s">
        <v>187</v>
      </c>
      <c r="B119" s="86" t="s">
        <v>188</v>
      </c>
      <c r="C119" s="34">
        <f>[9]С4!F33</f>
        <v>767.45705592005106</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[9]С2.5!$E$11</f>
        <v>-2.9000000000000026E-2</v>
      </c>
    </row>
    <row r="144" spans="1:3">
      <c r="A144" s="105"/>
      <c r="B144" s="110">
        <f>B143+1</f>
        <v>2021</v>
      </c>
      <c r="C144" s="111">
        <f>[9]С2.5!$F$11</f>
        <v>0.245</v>
      </c>
    </row>
    <row r="145" spans="1:3">
      <c r="A145" s="105"/>
      <c r="B145" s="110">
        <f t="shared" ref="B145:B208" si="0">B144+1</f>
        <v>2022</v>
      </c>
      <c r="C145" s="111">
        <f>[9]С2.5!$G$11</f>
        <v>0.114</v>
      </c>
    </row>
    <row r="146" spans="1:3" ht="13.5" thickBot="1">
      <c r="A146" s="105"/>
      <c r="B146" s="112">
        <f t="shared" si="0"/>
        <v>2023</v>
      </c>
      <c r="C146" s="113">
        <f>[9]С2.5!$H$11</f>
        <v>2.4E-2</v>
      </c>
    </row>
    <row r="147" spans="1:3">
      <c r="A147" s="105"/>
      <c r="B147" s="114">
        <f t="shared" si="0"/>
        <v>2024</v>
      </c>
      <c r="C147" s="115">
        <f>[9]С2.5!$I$11</f>
        <v>8.5999999999999993E-2</v>
      </c>
    </row>
    <row r="148" spans="1:3" hidden="1">
      <c r="A148" s="105"/>
      <c r="B148" s="110">
        <f t="shared" si="0"/>
        <v>2025</v>
      </c>
      <c r="C148" s="111">
        <f>[9]С2.5!$J$11</f>
        <v>0.21215960863291</v>
      </c>
    </row>
    <row r="149" spans="1:3" hidden="1">
      <c r="A149" s="105"/>
      <c r="B149" s="110">
        <f t="shared" si="0"/>
        <v>2026</v>
      </c>
      <c r="C149" s="111">
        <f>[9]С2.5!$K$11</f>
        <v>3.5813361771260002E-2</v>
      </c>
    </row>
    <row r="150" spans="1:3" hidden="1">
      <c r="A150" s="105"/>
      <c r="B150" s="110">
        <f t="shared" si="0"/>
        <v>2027</v>
      </c>
      <c r="C150" s="111">
        <f>[9]С2.5!$L$11</f>
        <v>3.2682303599220003E-2</v>
      </c>
    </row>
    <row r="151" spans="1:3" hidden="1">
      <c r="A151" s="105"/>
      <c r="B151" s="110">
        <f t="shared" si="0"/>
        <v>2028</v>
      </c>
      <c r="C151" s="111">
        <f>[9]С2.5!$M$11</f>
        <v>0</v>
      </c>
    </row>
    <row r="152" spans="1:3" hidden="1">
      <c r="A152" s="105"/>
      <c r="B152" s="110">
        <f t="shared" si="0"/>
        <v>2029</v>
      </c>
      <c r="C152" s="111">
        <f>[9]С2.5!$N$11</f>
        <v>0</v>
      </c>
    </row>
    <row r="153" spans="1:3" hidden="1">
      <c r="A153" s="105"/>
      <c r="B153" s="110">
        <f t="shared" si="0"/>
        <v>2030</v>
      </c>
      <c r="C153" s="111">
        <f>[9]С2.5!$O$11</f>
        <v>0</v>
      </c>
    </row>
    <row r="154" spans="1:3" hidden="1">
      <c r="A154" s="105"/>
      <c r="B154" s="110">
        <f t="shared" si="0"/>
        <v>2031</v>
      </c>
      <c r="C154" s="111">
        <f>[9]С2.5!$P$11</f>
        <v>0</v>
      </c>
    </row>
    <row r="155" spans="1:3" hidden="1">
      <c r="A155" s="89"/>
      <c r="B155" s="110">
        <f t="shared" si="0"/>
        <v>2032</v>
      </c>
      <c r="C155" s="111">
        <f>[9]С2.5!$Q$11</f>
        <v>0</v>
      </c>
    </row>
    <row r="156" spans="1:3" hidden="1">
      <c r="A156" s="89"/>
      <c r="B156" s="110">
        <f t="shared" si="0"/>
        <v>2033</v>
      </c>
      <c r="C156" s="111">
        <f>[9]С2.5!$R$11</f>
        <v>0</v>
      </c>
    </row>
    <row r="157" spans="1:3" hidden="1">
      <c r="B157" s="110">
        <f t="shared" si="0"/>
        <v>2034</v>
      </c>
      <c r="C157" s="111">
        <f>[9]С2.5!$S$11</f>
        <v>0</v>
      </c>
    </row>
    <row r="158" spans="1:3" hidden="1">
      <c r="B158" s="110">
        <f t="shared" si="0"/>
        <v>2035</v>
      </c>
      <c r="C158" s="111">
        <f>[9]С2.5!$T$11</f>
        <v>0</v>
      </c>
    </row>
    <row r="159" spans="1:3" hidden="1">
      <c r="B159" s="110">
        <f t="shared" si="0"/>
        <v>2036</v>
      </c>
      <c r="C159" s="111">
        <f>[9]С2.5!$U$11</f>
        <v>0</v>
      </c>
    </row>
    <row r="160" spans="1:3"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47" width="9.140625" style="2"/>
    <col min="148" max="229" width="0" style="2" hidden="1" customWidth="1"/>
    <col min="230" max="238" width="9.140625" style="2"/>
    <col min="239" max="239" width="3.7109375" style="2" customWidth="1"/>
    <col min="240" max="240" width="96.85546875" style="2" customWidth="1"/>
    <col min="241" max="241" width="30.85546875" style="2" customWidth="1"/>
    <col min="242" max="242" width="12.5703125" style="2" customWidth="1"/>
    <col min="243" max="243" width="5.140625" style="2" customWidth="1"/>
    <col min="244" max="244" width="9.140625" style="2"/>
    <col min="245" max="245" width="4.85546875" style="2" customWidth="1"/>
    <col min="246" max="246" width="30.5703125" style="2" customWidth="1"/>
    <col min="247" max="247" width="33.85546875" style="2" customWidth="1"/>
    <col min="248" max="248" width="5.140625" style="2" customWidth="1"/>
    <col min="249" max="250" width="17.5703125" style="2" customWidth="1"/>
    <col min="251" max="494" width="9.140625" style="2"/>
    <col min="495" max="495" width="3.7109375" style="2" customWidth="1"/>
    <col min="496" max="496" width="96.85546875" style="2" customWidth="1"/>
    <col min="497" max="497" width="30.85546875" style="2" customWidth="1"/>
    <col min="498" max="498" width="12.5703125" style="2" customWidth="1"/>
    <col min="499" max="499" width="5.140625" style="2" customWidth="1"/>
    <col min="500" max="500" width="9.140625" style="2"/>
    <col min="501" max="501" width="4.85546875" style="2" customWidth="1"/>
    <col min="502" max="502" width="30.5703125" style="2" customWidth="1"/>
    <col min="503" max="503" width="33.85546875" style="2" customWidth="1"/>
    <col min="504" max="504" width="5.140625" style="2" customWidth="1"/>
    <col min="505" max="506" width="17.5703125" style="2" customWidth="1"/>
    <col min="507" max="750" width="9.140625" style="2"/>
    <col min="751" max="751" width="3.7109375" style="2" customWidth="1"/>
    <col min="752" max="752" width="96.85546875" style="2" customWidth="1"/>
    <col min="753" max="753" width="30.85546875" style="2" customWidth="1"/>
    <col min="754" max="754" width="12.5703125" style="2" customWidth="1"/>
    <col min="755" max="755" width="5.140625" style="2" customWidth="1"/>
    <col min="756" max="756" width="9.140625" style="2"/>
    <col min="757" max="757" width="4.85546875" style="2" customWidth="1"/>
    <col min="758" max="758" width="30.5703125" style="2" customWidth="1"/>
    <col min="759" max="759" width="33.85546875" style="2" customWidth="1"/>
    <col min="760" max="760" width="5.140625" style="2" customWidth="1"/>
    <col min="761" max="762" width="17.5703125" style="2" customWidth="1"/>
    <col min="763" max="1006" width="9.140625" style="2"/>
    <col min="1007" max="1007" width="3.7109375" style="2" customWidth="1"/>
    <col min="1008" max="1008" width="96.85546875" style="2" customWidth="1"/>
    <col min="1009" max="1009" width="30.85546875" style="2" customWidth="1"/>
    <col min="1010" max="1010" width="12.5703125" style="2" customWidth="1"/>
    <col min="1011" max="1011" width="5.140625" style="2" customWidth="1"/>
    <col min="1012" max="1012" width="9.140625" style="2"/>
    <col min="1013" max="1013" width="4.85546875" style="2" customWidth="1"/>
    <col min="1014" max="1014" width="30.5703125" style="2" customWidth="1"/>
    <col min="1015" max="1015" width="33.85546875" style="2" customWidth="1"/>
    <col min="1016" max="1016" width="5.140625" style="2" customWidth="1"/>
    <col min="1017" max="1018" width="17.5703125" style="2" customWidth="1"/>
    <col min="1019" max="1262" width="9.140625" style="2"/>
    <col min="1263" max="1263" width="3.7109375" style="2" customWidth="1"/>
    <col min="1264" max="1264" width="96.85546875" style="2" customWidth="1"/>
    <col min="1265" max="1265" width="30.85546875" style="2" customWidth="1"/>
    <col min="1266" max="1266" width="12.5703125" style="2" customWidth="1"/>
    <col min="1267" max="1267" width="5.140625" style="2" customWidth="1"/>
    <col min="1268" max="1268" width="9.140625" style="2"/>
    <col min="1269" max="1269" width="4.85546875" style="2" customWidth="1"/>
    <col min="1270" max="1270" width="30.5703125" style="2" customWidth="1"/>
    <col min="1271" max="1271" width="33.85546875" style="2" customWidth="1"/>
    <col min="1272" max="1272" width="5.140625" style="2" customWidth="1"/>
    <col min="1273" max="1274" width="17.5703125" style="2" customWidth="1"/>
    <col min="1275" max="1518" width="9.140625" style="2"/>
    <col min="1519" max="1519" width="3.7109375" style="2" customWidth="1"/>
    <col min="1520" max="1520" width="96.85546875" style="2" customWidth="1"/>
    <col min="1521" max="1521" width="30.85546875" style="2" customWidth="1"/>
    <col min="1522" max="1522" width="12.5703125" style="2" customWidth="1"/>
    <col min="1523" max="1523" width="5.140625" style="2" customWidth="1"/>
    <col min="1524" max="1524" width="9.140625" style="2"/>
    <col min="1525" max="1525" width="4.85546875" style="2" customWidth="1"/>
    <col min="1526" max="1526" width="30.5703125" style="2" customWidth="1"/>
    <col min="1527" max="1527" width="33.85546875" style="2" customWidth="1"/>
    <col min="1528" max="1528" width="5.140625" style="2" customWidth="1"/>
    <col min="1529" max="1530" width="17.5703125" style="2" customWidth="1"/>
    <col min="1531" max="1774" width="9.140625" style="2"/>
    <col min="1775" max="1775" width="3.7109375" style="2" customWidth="1"/>
    <col min="1776" max="1776" width="96.85546875" style="2" customWidth="1"/>
    <col min="1777" max="1777" width="30.85546875" style="2" customWidth="1"/>
    <col min="1778" max="1778" width="12.5703125" style="2" customWidth="1"/>
    <col min="1779" max="1779" width="5.140625" style="2" customWidth="1"/>
    <col min="1780" max="1780" width="9.140625" style="2"/>
    <col min="1781" max="1781" width="4.85546875" style="2" customWidth="1"/>
    <col min="1782" max="1782" width="30.5703125" style="2" customWidth="1"/>
    <col min="1783" max="1783" width="33.85546875" style="2" customWidth="1"/>
    <col min="1784" max="1784" width="5.140625" style="2" customWidth="1"/>
    <col min="1785" max="1786" width="17.5703125" style="2" customWidth="1"/>
    <col min="1787" max="2030" width="9.140625" style="2"/>
    <col min="2031" max="2031" width="3.7109375" style="2" customWidth="1"/>
    <col min="2032" max="2032" width="96.85546875" style="2" customWidth="1"/>
    <col min="2033" max="2033" width="30.85546875" style="2" customWidth="1"/>
    <col min="2034" max="2034" width="12.5703125" style="2" customWidth="1"/>
    <col min="2035" max="2035" width="5.140625" style="2" customWidth="1"/>
    <col min="2036" max="2036" width="9.140625" style="2"/>
    <col min="2037" max="2037" width="4.85546875" style="2" customWidth="1"/>
    <col min="2038" max="2038" width="30.5703125" style="2" customWidth="1"/>
    <col min="2039" max="2039" width="33.85546875" style="2" customWidth="1"/>
    <col min="2040" max="2040" width="5.140625" style="2" customWidth="1"/>
    <col min="2041" max="2042" width="17.5703125" style="2" customWidth="1"/>
    <col min="2043" max="2286" width="9.140625" style="2"/>
    <col min="2287" max="2287" width="3.7109375" style="2" customWidth="1"/>
    <col min="2288" max="2288" width="96.85546875" style="2" customWidth="1"/>
    <col min="2289" max="2289" width="30.85546875" style="2" customWidth="1"/>
    <col min="2290" max="2290" width="12.5703125" style="2" customWidth="1"/>
    <col min="2291" max="2291" width="5.140625" style="2" customWidth="1"/>
    <col min="2292" max="2292" width="9.140625" style="2"/>
    <col min="2293" max="2293" width="4.85546875" style="2" customWidth="1"/>
    <col min="2294" max="2294" width="30.5703125" style="2" customWidth="1"/>
    <col min="2295" max="2295" width="33.85546875" style="2" customWidth="1"/>
    <col min="2296" max="2296" width="5.140625" style="2" customWidth="1"/>
    <col min="2297" max="2298" width="17.5703125" style="2" customWidth="1"/>
    <col min="2299" max="2542" width="9.140625" style="2"/>
    <col min="2543" max="2543" width="3.7109375" style="2" customWidth="1"/>
    <col min="2544" max="2544" width="96.85546875" style="2" customWidth="1"/>
    <col min="2545" max="2545" width="30.85546875" style="2" customWidth="1"/>
    <col min="2546" max="2546" width="12.5703125" style="2" customWidth="1"/>
    <col min="2547" max="2547" width="5.140625" style="2" customWidth="1"/>
    <col min="2548" max="2548" width="9.140625" style="2"/>
    <col min="2549" max="2549" width="4.85546875" style="2" customWidth="1"/>
    <col min="2550" max="2550" width="30.5703125" style="2" customWidth="1"/>
    <col min="2551" max="2551" width="33.85546875" style="2" customWidth="1"/>
    <col min="2552" max="2552" width="5.140625" style="2" customWidth="1"/>
    <col min="2553" max="2554" width="17.5703125" style="2" customWidth="1"/>
    <col min="2555" max="2798" width="9.140625" style="2"/>
    <col min="2799" max="2799" width="3.7109375" style="2" customWidth="1"/>
    <col min="2800" max="2800" width="96.85546875" style="2" customWidth="1"/>
    <col min="2801" max="2801" width="30.85546875" style="2" customWidth="1"/>
    <col min="2802" max="2802" width="12.5703125" style="2" customWidth="1"/>
    <col min="2803" max="2803" width="5.140625" style="2" customWidth="1"/>
    <col min="2804" max="2804" width="9.140625" style="2"/>
    <col min="2805" max="2805" width="4.85546875" style="2" customWidth="1"/>
    <col min="2806" max="2806" width="30.5703125" style="2" customWidth="1"/>
    <col min="2807" max="2807" width="33.85546875" style="2" customWidth="1"/>
    <col min="2808" max="2808" width="5.140625" style="2" customWidth="1"/>
    <col min="2809" max="2810" width="17.5703125" style="2" customWidth="1"/>
    <col min="2811" max="3054" width="9.140625" style="2"/>
    <col min="3055" max="3055" width="3.7109375" style="2" customWidth="1"/>
    <col min="3056" max="3056" width="96.85546875" style="2" customWidth="1"/>
    <col min="3057" max="3057" width="30.85546875" style="2" customWidth="1"/>
    <col min="3058" max="3058" width="12.5703125" style="2" customWidth="1"/>
    <col min="3059" max="3059" width="5.140625" style="2" customWidth="1"/>
    <col min="3060" max="3060" width="9.140625" style="2"/>
    <col min="3061" max="3061" width="4.85546875" style="2" customWidth="1"/>
    <col min="3062" max="3062" width="30.5703125" style="2" customWidth="1"/>
    <col min="3063" max="3063" width="33.85546875" style="2" customWidth="1"/>
    <col min="3064" max="3064" width="5.140625" style="2" customWidth="1"/>
    <col min="3065" max="3066" width="17.5703125" style="2" customWidth="1"/>
    <col min="3067" max="3310" width="9.140625" style="2"/>
    <col min="3311" max="3311" width="3.7109375" style="2" customWidth="1"/>
    <col min="3312" max="3312" width="96.85546875" style="2" customWidth="1"/>
    <col min="3313" max="3313" width="30.85546875" style="2" customWidth="1"/>
    <col min="3314" max="3314" width="12.5703125" style="2" customWidth="1"/>
    <col min="3315" max="3315" width="5.140625" style="2" customWidth="1"/>
    <col min="3316" max="3316" width="9.140625" style="2"/>
    <col min="3317" max="3317" width="4.85546875" style="2" customWidth="1"/>
    <col min="3318" max="3318" width="30.5703125" style="2" customWidth="1"/>
    <col min="3319" max="3319" width="33.85546875" style="2" customWidth="1"/>
    <col min="3320" max="3320" width="5.140625" style="2" customWidth="1"/>
    <col min="3321" max="3322" width="17.5703125" style="2" customWidth="1"/>
    <col min="3323" max="3566" width="9.140625" style="2"/>
    <col min="3567" max="3567" width="3.7109375" style="2" customWidth="1"/>
    <col min="3568" max="3568" width="96.85546875" style="2" customWidth="1"/>
    <col min="3569" max="3569" width="30.85546875" style="2" customWidth="1"/>
    <col min="3570" max="3570" width="12.5703125" style="2" customWidth="1"/>
    <col min="3571" max="3571" width="5.140625" style="2" customWidth="1"/>
    <col min="3572" max="3572" width="9.140625" style="2"/>
    <col min="3573" max="3573" width="4.85546875" style="2" customWidth="1"/>
    <col min="3574" max="3574" width="30.5703125" style="2" customWidth="1"/>
    <col min="3575" max="3575" width="33.85546875" style="2" customWidth="1"/>
    <col min="3576" max="3576" width="5.140625" style="2" customWidth="1"/>
    <col min="3577" max="3578" width="17.5703125" style="2" customWidth="1"/>
    <col min="3579" max="3822" width="9.140625" style="2"/>
    <col min="3823" max="3823" width="3.7109375" style="2" customWidth="1"/>
    <col min="3824" max="3824" width="96.85546875" style="2" customWidth="1"/>
    <col min="3825" max="3825" width="30.85546875" style="2" customWidth="1"/>
    <col min="3826" max="3826" width="12.5703125" style="2" customWidth="1"/>
    <col min="3827" max="3827" width="5.140625" style="2" customWidth="1"/>
    <col min="3828" max="3828" width="9.140625" style="2"/>
    <col min="3829" max="3829" width="4.85546875" style="2" customWidth="1"/>
    <col min="3830" max="3830" width="30.5703125" style="2" customWidth="1"/>
    <col min="3831" max="3831" width="33.85546875" style="2" customWidth="1"/>
    <col min="3832" max="3832" width="5.140625" style="2" customWidth="1"/>
    <col min="3833" max="3834" width="17.5703125" style="2" customWidth="1"/>
    <col min="3835" max="4078" width="9.140625" style="2"/>
    <col min="4079" max="4079" width="3.7109375" style="2" customWidth="1"/>
    <col min="4080" max="4080" width="96.85546875" style="2" customWidth="1"/>
    <col min="4081" max="4081" width="30.85546875" style="2" customWidth="1"/>
    <col min="4082" max="4082" width="12.5703125" style="2" customWidth="1"/>
    <col min="4083" max="4083" width="5.140625" style="2" customWidth="1"/>
    <col min="4084" max="4084" width="9.140625" style="2"/>
    <col min="4085" max="4085" width="4.85546875" style="2" customWidth="1"/>
    <col min="4086" max="4086" width="30.5703125" style="2" customWidth="1"/>
    <col min="4087" max="4087" width="33.85546875" style="2" customWidth="1"/>
    <col min="4088" max="4088" width="5.140625" style="2" customWidth="1"/>
    <col min="4089" max="4090" width="17.5703125" style="2" customWidth="1"/>
    <col min="4091" max="4334" width="9.140625" style="2"/>
    <col min="4335" max="4335" width="3.7109375" style="2" customWidth="1"/>
    <col min="4336" max="4336" width="96.85546875" style="2" customWidth="1"/>
    <col min="4337" max="4337" width="30.85546875" style="2" customWidth="1"/>
    <col min="4338" max="4338" width="12.5703125" style="2" customWidth="1"/>
    <col min="4339" max="4339" width="5.140625" style="2" customWidth="1"/>
    <col min="4340" max="4340" width="9.140625" style="2"/>
    <col min="4341" max="4341" width="4.85546875" style="2" customWidth="1"/>
    <col min="4342" max="4342" width="30.5703125" style="2" customWidth="1"/>
    <col min="4343" max="4343" width="33.85546875" style="2" customWidth="1"/>
    <col min="4344" max="4344" width="5.140625" style="2" customWidth="1"/>
    <col min="4345" max="4346" width="17.5703125" style="2" customWidth="1"/>
    <col min="4347" max="4590" width="9.140625" style="2"/>
    <col min="4591" max="4591" width="3.7109375" style="2" customWidth="1"/>
    <col min="4592" max="4592" width="96.85546875" style="2" customWidth="1"/>
    <col min="4593" max="4593" width="30.85546875" style="2" customWidth="1"/>
    <col min="4594" max="4594" width="12.5703125" style="2" customWidth="1"/>
    <col min="4595" max="4595" width="5.140625" style="2" customWidth="1"/>
    <col min="4596" max="4596" width="9.140625" style="2"/>
    <col min="4597" max="4597" width="4.85546875" style="2" customWidth="1"/>
    <col min="4598" max="4598" width="30.5703125" style="2" customWidth="1"/>
    <col min="4599" max="4599" width="33.85546875" style="2" customWidth="1"/>
    <col min="4600" max="4600" width="5.140625" style="2" customWidth="1"/>
    <col min="4601" max="4602" width="17.5703125" style="2" customWidth="1"/>
    <col min="4603" max="4846" width="9.140625" style="2"/>
    <col min="4847" max="4847" width="3.7109375" style="2" customWidth="1"/>
    <col min="4848" max="4848" width="96.85546875" style="2" customWidth="1"/>
    <col min="4849" max="4849" width="30.85546875" style="2" customWidth="1"/>
    <col min="4850" max="4850" width="12.5703125" style="2" customWidth="1"/>
    <col min="4851" max="4851" width="5.140625" style="2" customWidth="1"/>
    <col min="4852" max="4852" width="9.140625" style="2"/>
    <col min="4853" max="4853" width="4.85546875" style="2" customWidth="1"/>
    <col min="4854" max="4854" width="30.5703125" style="2" customWidth="1"/>
    <col min="4855" max="4855" width="33.85546875" style="2" customWidth="1"/>
    <col min="4856" max="4856" width="5.140625" style="2" customWidth="1"/>
    <col min="4857" max="4858" width="17.5703125" style="2" customWidth="1"/>
    <col min="4859" max="5102" width="9.140625" style="2"/>
    <col min="5103" max="5103" width="3.7109375" style="2" customWidth="1"/>
    <col min="5104" max="5104" width="96.85546875" style="2" customWidth="1"/>
    <col min="5105" max="5105" width="30.85546875" style="2" customWidth="1"/>
    <col min="5106" max="5106" width="12.5703125" style="2" customWidth="1"/>
    <col min="5107" max="5107" width="5.140625" style="2" customWidth="1"/>
    <col min="5108" max="5108" width="9.140625" style="2"/>
    <col min="5109" max="5109" width="4.85546875" style="2" customWidth="1"/>
    <col min="5110" max="5110" width="30.5703125" style="2" customWidth="1"/>
    <col min="5111" max="5111" width="33.85546875" style="2" customWidth="1"/>
    <col min="5112" max="5112" width="5.140625" style="2" customWidth="1"/>
    <col min="5113" max="5114" width="17.5703125" style="2" customWidth="1"/>
    <col min="5115" max="5358" width="9.140625" style="2"/>
    <col min="5359" max="5359" width="3.7109375" style="2" customWidth="1"/>
    <col min="5360" max="5360" width="96.85546875" style="2" customWidth="1"/>
    <col min="5361" max="5361" width="30.85546875" style="2" customWidth="1"/>
    <col min="5362" max="5362" width="12.5703125" style="2" customWidth="1"/>
    <col min="5363" max="5363" width="5.140625" style="2" customWidth="1"/>
    <col min="5364" max="5364" width="9.140625" style="2"/>
    <col min="5365" max="5365" width="4.85546875" style="2" customWidth="1"/>
    <col min="5366" max="5366" width="30.5703125" style="2" customWidth="1"/>
    <col min="5367" max="5367" width="33.85546875" style="2" customWidth="1"/>
    <col min="5368" max="5368" width="5.140625" style="2" customWidth="1"/>
    <col min="5369" max="5370" width="17.5703125" style="2" customWidth="1"/>
    <col min="5371" max="5614" width="9.140625" style="2"/>
    <col min="5615" max="5615" width="3.7109375" style="2" customWidth="1"/>
    <col min="5616" max="5616" width="96.85546875" style="2" customWidth="1"/>
    <col min="5617" max="5617" width="30.85546875" style="2" customWidth="1"/>
    <col min="5618" max="5618" width="12.5703125" style="2" customWidth="1"/>
    <col min="5619" max="5619" width="5.140625" style="2" customWidth="1"/>
    <col min="5620" max="5620" width="9.140625" style="2"/>
    <col min="5621" max="5621" width="4.85546875" style="2" customWidth="1"/>
    <col min="5622" max="5622" width="30.5703125" style="2" customWidth="1"/>
    <col min="5623" max="5623" width="33.85546875" style="2" customWidth="1"/>
    <col min="5624" max="5624" width="5.140625" style="2" customWidth="1"/>
    <col min="5625" max="5626" width="17.5703125" style="2" customWidth="1"/>
    <col min="5627" max="5870" width="9.140625" style="2"/>
    <col min="5871" max="5871" width="3.7109375" style="2" customWidth="1"/>
    <col min="5872" max="5872" width="96.85546875" style="2" customWidth="1"/>
    <col min="5873" max="5873" width="30.85546875" style="2" customWidth="1"/>
    <col min="5874" max="5874" width="12.5703125" style="2" customWidth="1"/>
    <col min="5875" max="5875" width="5.140625" style="2" customWidth="1"/>
    <col min="5876" max="5876" width="9.140625" style="2"/>
    <col min="5877" max="5877" width="4.85546875" style="2" customWidth="1"/>
    <col min="5878" max="5878" width="30.5703125" style="2" customWidth="1"/>
    <col min="5879" max="5879" width="33.85546875" style="2" customWidth="1"/>
    <col min="5880" max="5880" width="5.140625" style="2" customWidth="1"/>
    <col min="5881" max="5882" width="17.5703125" style="2" customWidth="1"/>
    <col min="5883" max="6126" width="9.140625" style="2"/>
    <col min="6127" max="6127" width="3.7109375" style="2" customWidth="1"/>
    <col min="6128" max="6128" width="96.85546875" style="2" customWidth="1"/>
    <col min="6129" max="6129" width="30.85546875" style="2" customWidth="1"/>
    <col min="6130" max="6130" width="12.5703125" style="2" customWidth="1"/>
    <col min="6131" max="6131" width="5.140625" style="2" customWidth="1"/>
    <col min="6132" max="6132" width="9.140625" style="2"/>
    <col min="6133" max="6133" width="4.85546875" style="2" customWidth="1"/>
    <col min="6134" max="6134" width="30.5703125" style="2" customWidth="1"/>
    <col min="6135" max="6135" width="33.85546875" style="2" customWidth="1"/>
    <col min="6136" max="6136" width="5.140625" style="2" customWidth="1"/>
    <col min="6137" max="6138" width="17.5703125" style="2" customWidth="1"/>
    <col min="6139" max="6382" width="9.140625" style="2"/>
    <col min="6383" max="6383" width="3.7109375" style="2" customWidth="1"/>
    <col min="6384" max="6384" width="96.85546875" style="2" customWidth="1"/>
    <col min="6385" max="6385" width="30.85546875" style="2" customWidth="1"/>
    <col min="6386" max="6386" width="12.5703125" style="2" customWidth="1"/>
    <col min="6387" max="6387" width="5.140625" style="2" customWidth="1"/>
    <col min="6388" max="6388" width="9.140625" style="2"/>
    <col min="6389" max="6389" width="4.85546875" style="2" customWidth="1"/>
    <col min="6390" max="6390" width="30.5703125" style="2" customWidth="1"/>
    <col min="6391" max="6391" width="33.85546875" style="2" customWidth="1"/>
    <col min="6392" max="6392" width="5.140625" style="2" customWidth="1"/>
    <col min="6393" max="6394" width="17.5703125" style="2" customWidth="1"/>
    <col min="6395" max="6638" width="9.140625" style="2"/>
    <col min="6639" max="6639" width="3.7109375" style="2" customWidth="1"/>
    <col min="6640" max="6640" width="96.85546875" style="2" customWidth="1"/>
    <col min="6641" max="6641" width="30.85546875" style="2" customWidth="1"/>
    <col min="6642" max="6642" width="12.5703125" style="2" customWidth="1"/>
    <col min="6643" max="6643" width="5.140625" style="2" customWidth="1"/>
    <col min="6644" max="6644" width="9.140625" style="2"/>
    <col min="6645" max="6645" width="4.85546875" style="2" customWidth="1"/>
    <col min="6646" max="6646" width="30.5703125" style="2" customWidth="1"/>
    <col min="6647" max="6647" width="33.85546875" style="2" customWidth="1"/>
    <col min="6648" max="6648" width="5.140625" style="2" customWidth="1"/>
    <col min="6649" max="6650" width="17.5703125" style="2" customWidth="1"/>
    <col min="6651" max="6894" width="9.140625" style="2"/>
    <col min="6895" max="6895" width="3.7109375" style="2" customWidth="1"/>
    <col min="6896" max="6896" width="96.85546875" style="2" customWidth="1"/>
    <col min="6897" max="6897" width="30.85546875" style="2" customWidth="1"/>
    <col min="6898" max="6898" width="12.5703125" style="2" customWidth="1"/>
    <col min="6899" max="6899" width="5.140625" style="2" customWidth="1"/>
    <col min="6900" max="6900" width="9.140625" style="2"/>
    <col min="6901" max="6901" width="4.85546875" style="2" customWidth="1"/>
    <col min="6902" max="6902" width="30.5703125" style="2" customWidth="1"/>
    <col min="6903" max="6903" width="33.85546875" style="2" customWidth="1"/>
    <col min="6904" max="6904" width="5.140625" style="2" customWidth="1"/>
    <col min="6905" max="6906" width="17.5703125" style="2" customWidth="1"/>
    <col min="6907" max="7150" width="9.140625" style="2"/>
    <col min="7151" max="7151" width="3.7109375" style="2" customWidth="1"/>
    <col min="7152" max="7152" width="96.85546875" style="2" customWidth="1"/>
    <col min="7153" max="7153" width="30.85546875" style="2" customWidth="1"/>
    <col min="7154" max="7154" width="12.5703125" style="2" customWidth="1"/>
    <col min="7155" max="7155" width="5.140625" style="2" customWidth="1"/>
    <col min="7156" max="7156" width="9.140625" style="2"/>
    <col min="7157" max="7157" width="4.85546875" style="2" customWidth="1"/>
    <col min="7158" max="7158" width="30.5703125" style="2" customWidth="1"/>
    <col min="7159" max="7159" width="33.85546875" style="2" customWidth="1"/>
    <col min="7160" max="7160" width="5.140625" style="2" customWidth="1"/>
    <col min="7161" max="7162" width="17.5703125" style="2" customWidth="1"/>
    <col min="7163" max="7406" width="9.140625" style="2"/>
    <col min="7407" max="7407" width="3.7109375" style="2" customWidth="1"/>
    <col min="7408" max="7408" width="96.85546875" style="2" customWidth="1"/>
    <col min="7409" max="7409" width="30.85546875" style="2" customWidth="1"/>
    <col min="7410" max="7410" width="12.5703125" style="2" customWidth="1"/>
    <col min="7411" max="7411" width="5.140625" style="2" customWidth="1"/>
    <col min="7412" max="7412" width="9.140625" style="2"/>
    <col min="7413" max="7413" width="4.85546875" style="2" customWidth="1"/>
    <col min="7414" max="7414" width="30.5703125" style="2" customWidth="1"/>
    <col min="7415" max="7415" width="33.85546875" style="2" customWidth="1"/>
    <col min="7416" max="7416" width="5.140625" style="2" customWidth="1"/>
    <col min="7417" max="7418" width="17.5703125" style="2" customWidth="1"/>
    <col min="7419" max="7662" width="9.140625" style="2"/>
    <col min="7663" max="7663" width="3.7109375" style="2" customWidth="1"/>
    <col min="7664" max="7664" width="96.85546875" style="2" customWidth="1"/>
    <col min="7665" max="7665" width="30.85546875" style="2" customWidth="1"/>
    <col min="7666" max="7666" width="12.5703125" style="2" customWidth="1"/>
    <col min="7667" max="7667" width="5.140625" style="2" customWidth="1"/>
    <col min="7668" max="7668" width="9.140625" style="2"/>
    <col min="7669" max="7669" width="4.85546875" style="2" customWidth="1"/>
    <col min="7670" max="7670" width="30.5703125" style="2" customWidth="1"/>
    <col min="7671" max="7671" width="33.85546875" style="2" customWidth="1"/>
    <col min="7672" max="7672" width="5.140625" style="2" customWidth="1"/>
    <col min="7673" max="7674" width="17.5703125" style="2" customWidth="1"/>
    <col min="7675" max="7918" width="9.140625" style="2"/>
    <col min="7919" max="7919" width="3.7109375" style="2" customWidth="1"/>
    <col min="7920" max="7920" width="96.85546875" style="2" customWidth="1"/>
    <col min="7921" max="7921" width="30.85546875" style="2" customWidth="1"/>
    <col min="7922" max="7922" width="12.5703125" style="2" customWidth="1"/>
    <col min="7923" max="7923" width="5.140625" style="2" customWidth="1"/>
    <col min="7924" max="7924" width="9.140625" style="2"/>
    <col min="7925" max="7925" width="4.85546875" style="2" customWidth="1"/>
    <col min="7926" max="7926" width="30.5703125" style="2" customWidth="1"/>
    <col min="7927" max="7927" width="33.85546875" style="2" customWidth="1"/>
    <col min="7928" max="7928" width="5.140625" style="2" customWidth="1"/>
    <col min="7929" max="7930" width="17.5703125" style="2" customWidth="1"/>
    <col min="7931" max="8174" width="9.140625" style="2"/>
    <col min="8175" max="8175" width="3.7109375" style="2" customWidth="1"/>
    <col min="8176" max="8176" width="96.85546875" style="2" customWidth="1"/>
    <col min="8177" max="8177" width="30.85546875" style="2" customWidth="1"/>
    <col min="8178" max="8178" width="12.5703125" style="2" customWidth="1"/>
    <col min="8179" max="8179" width="5.140625" style="2" customWidth="1"/>
    <col min="8180" max="8180" width="9.140625" style="2"/>
    <col min="8181" max="8181" width="4.85546875" style="2" customWidth="1"/>
    <col min="8182" max="8182" width="30.5703125" style="2" customWidth="1"/>
    <col min="8183" max="8183" width="33.85546875" style="2" customWidth="1"/>
    <col min="8184" max="8184" width="5.140625" style="2" customWidth="1"/>
    <col min="8185" max="8186" width="17.5703125" style="2" customWidth="1"/>
    <col min="8187" max="8430" width="9.140625" style="2"/>
    <col min="8431" max="8431" width="3.7109375" style="2" customWidth="1"/>
    <col min="8432" max="8432" width="96.85546875" style="2" customWidth="1"/>
    <col min="8433" max="8433" width="30.85546875" style="2" customWidth="1"/>
    <col min="8434" max="8434" width="12.5703125" style="2" customWidth="1"/>
    <col min="8435" max="8435" width="5.140625" style="2" customWidth="1"/>
    <col min="8436" max="8436" width="9.140625" style="2"/>
    <col min="8437" max="8437" width="4.85546875" style="2" customWidth="1"/>
    <col min="8438" max="8438" width="30.5703125" style="2" customWidth="1"/>
    <col min="8439" max="8439" width="33.85546875" style="2" customWidth="1"/>
    <col min="8440" max="8440" width="5.140625" style="2" customWidth="1"/>
    <col min="8441" max="8442" width="17.5703125" style="2" customWidth="1"/>
    <col min="8443" max="8686" width="9.140625" style="2"/>
    <col min="8687" max="8687" width="3.7109375" style="2" customWidth="1"/>
    <col min="8688" max="8688" width="96.85546875" style="2" customWidth="1"/>
    <col min="8689" max="8689" width="30.85546875" style="2" customWidth="1"/>
    <col min="8690" max="8690" width="12.5703125" style="2" customWidth="1"/>
    <col min="8691" max="8691" width="5.140625" style="2" customWidth="1"/>
    <col min="8692" max="8692" width="9.140625" style="2"/>
    <col min="8693" max="8693" width="4.85546875" style="2" customWidth="1"/>
    <col min="8694" max="8694" width="30.5703125" style="2" customWidth="1"/>
    <col min="8695" max="8695" width="33.85546875" style="2" customWidth="1"/>
    <col min="8696" max="8696" width="5.140625" style="2" customWidth="1"/>
    <col min="8697" max="8698" width="17.5703125" style="2" customWidth="1"/>
    <col min="8699" max="8942" width="9.140625" style="2"/>
    <col min="8943" max="8943" width="3.7109375" style="2" customWidth="1"/>
    <col min="8944" max="8944" width="96.85546875" style="2" customWidth="1"/>
    <col min="8945" max="8945" width="30.85546875" style="2" customWidth="1"/>
    <col min="8946" max="8946" width="12.5703125" style="2" customWidth="1"/>
    <col min="8947" max="8947" width="5.140625" style="2" customWidth="1"/>
    <col min="8948" max="8948" width="9.140625" style="2"/>
    <col min="8949" max="8949" width="4.85546875" style="2" customWidth="1"/>
    <col min="8950" max="8950" width="30.5703125" style="2" customWidth="1"/>
    <col min="8951" max="8951" width="33.85546875" style="2" customWidth="1"/>
    <col min="8952" max="8952" width="5.140625" style="2" customWidth="1"/>
    <col min="8953" max="8954" width="17.5703125" style="2" customWidth="1"/>
    <col min="8955" max="9198" width="9.140625" style="2"/>
    <col min="9199" max="9199" width="3.7109375" style="2" customWidth="1"/>
    <col min="9200" max="9200" width="96.85546875" style="2" customWidth="1"/>
    <col min="9201" max="9201" width="30.85546875" style="2" customWidth="1"/>
    <col min="9202" max="9202" width="12.5703125" style="2" customWidth="1"/>
    <col min="9203" max="9203" width="5.140625" style="2" customWidth="1"/>
    <col min="9204" max="9204" width="9.140625" style="2"/>
    <col min="9205" max="9205" width="4.85546875" style="2" customWidth="1"/>
    <col min="9206" max="9206" width="30.5703125" style="2" customWidth="1"/>
    <col min="9207" max="9207" width="33.85546875" style="2" customWidth="1"/>
    <col min="9208" max="9208" width="5.140625" style="2" customWidth="1"/>
    <col min="9209" max="9210" width="17.5703125" style="2" customWidth="1"/>
    <col min="9211" max="9454" width="9.140625" style="2"/>
    <col min="9455" max="9455" width="3.7109375" style="2" customWidth="1"/>
    <col min="9456" max="9456" width="96.85546875" style="2" customWidth="1"/>
    <col min="9457" max="9457" width="30.85546875" style="2" customWidth="1"/>
    <col min="9458" max="9458" width="12.5703125" style="2" customWidth="1"/>
    <col min="9459" max="9459" width="5.140625" style="2" customWidth="1"/>
    <col min="9460" max="9460" width="9.140625" style="2"/>
    <col min="9461" max="9461" width="4.85546875" style="2" customWidth="1"/>
    <col min="9462" max="9462" width="30.5703125" style="2" customWidth="1"/>
    <col min="9463" max="9463" width="33.85546875" style="2" customWidth="1"/>
    <col min="9464" max="9464" width="5.140625" style="2" customWidth="1"/>
    <col min="9465" max="9466" width="17.5703125" style="2" customWidth="1"/>
    <col min="9467" max="9710" width="9.140625" style="2"/>
    <col min="9711" max="9711" width="3.7109375" style="2" customWidth="1"/>
    <col min="9712" max="9712" width="96.85546875" style="2" customWidth="1"/>
    <col min="9713" max="9713" width="30.85546875" style="2" customWidth="1"/>
    <col min="9714" max="9714" width="12.5703125" style="2" customWidth="1"/>
    <col min="9715" max="9715" width="5.140625" style="2" customWidth="1"/>
    <col min="9716" max="9716" width="9.140625" style="2"/>
    <col min="9717" max="9717" width="4.85546875" style="2" customWidth="1"/>
    <col min="9718" max="9718" width="30.5703125" style="2" customWidth="1"/>
    <col min="9719" max="9719" width="33.85546875" style="2" customWidth="1"/>
    <col min="9720" max="9720" width="5.140625" style="2" customWidth="1"/>
    <col min="9721" max="9722" width="17.5703125" style="2" customWidth="1"/>
    <col min="9723" max="9966" width="9.140625" style="2"/>
    <col min="9967" max="9967" width="3.7109375" style="2" customWidth="1"/>
    <col min="9968" max="9968" width="96.85546875" style="2" customWidth="1"/>
    <col min="9969" max="9969" width="30.85546875" style="2" customWidth="1"/>
    <col min="9970" max="9970" width="12.5703125" style="2" customWidth="1"/>
    <col min="9971" max="9971" width="5.140625" style="2" customWidth="1"/>
    <col min="9972" max="9972" width="9.140625" style="2"/>
    <col min="9973" max="9973" width="4.85546875" style="2" customWidth="1"/>
    <col min="9974" max="9974" width="30.5703125" style="2" customWidth="1"/>
    <col min="9975" max="9975" width="33.85546875" style="2" customWidth="1"/>
    <col min="9976" max="9976" width="5.140625" style="2" customWidth="1"/>
    <col min="9977" max="9978" width="17.5703125" style="2" customWidth="1"/>
    <col min="9979" max="10222" width="9.140625" style="2"/>
    <col min="10223" max="10223" width="3.7109375" style="2" customWidth="1"/>
    <col min="10224" max="10224" width="96.85546875" style="2" customWidth="1"/>
    <col min="10225" max="10225" width="30.85546875" style="2" customWidth="1"/>
    <col min="10226" max="10226" width="12.5703125" style="2" customWidth="1"/>
    <col min="10227" max="10227" width="5.140625" style="2" customWidth="1"/>
    <col min="10228" max="10228" width="9.140625" style="2"/>
    <col min="10229" max="10229" width="4.85546875" style="2" customWidth="1"/>
    <col min="10230" max="10230" width="30.5703125" style="2" customWidth="1"/>
    <col min="10231" max="10231" width="33.85546875" style="2" customWidth="1"/>
    <col min="10232" max="10232" width="5.140625" style="2" customWidth="1"/>
    <col min="10233" max="10234" width="17.5703125" style="2" customWidth="1"/>
    <col min="10235" max="10478" width="9.140625" style="2"/>
    <col min="10479" max="10479" width="3.7109375" style="2" customWidth="1"/>
    <col min="10480" max="10480" width="96.85546875" style="2" customWidth="1"/>
    <col min="10481" max="10481" width="30.85546875" style="2" customWidth="1"/>
    <col min="10482" max="10482" width="12.5703125" style="2" customWidth="1"/>
    <col min="10483" max="10483" width="5.140625" style="2" customWidth="1"/>
    <col min="10484" max="10484" width="9.140625" style="2"/>
    <col min="10485" max="10485" width="4.85546875" style="2" customWidth="1"/>
    <col min="10486" max="10486" width="30.5703125" style="2" customWidth="1"/>
    <col min="10487" max="10487" width="33.85546875" style="2" customWidth="1"/>
    <col min="10488" max="10488" width="5.140625" style="2" customWidth="1"/>
    <col min="10489" max="10490" width="17.5703125" style="2" customWidth="1"/>
    <col min="10491" max="10734" width="9.140625" style="2"/>
    <col min="10735" max="10735" width="3.7109375" style="2" customWidth="1"/>
    <col min="10736" max="10736" width="96.85546875" style="2" customWidth="1"/>
    <col min="10737" max="10737" width="30.85546875" style="2" customWidth="1"/>
    <col min="10738" max="10738" width="12.5703125" style="2" customWidth="1"/>
    <col min="10739" max="10739" width="5.140625" style="2" customWidth="1"/>
    <col min="10740" max="10740" width="9.140625" style="2"/>
    <col min="10741" max="10741" width="4.85546875" style="2" customWidth="1"/>
    <col min="10742" max="10742" width="30.5703125" style="2" customWidth="1"/>
    <col min="10743" max="10743" width="33.85546875" style="2" customWidth="1"/>
    <col min="10744" max="10744" width="5.140625" style="2" customWidth="1"/>
    <col min="10745" max="10746" width="17.5703125" style="2" customWidth="1"/>
    <col min="10747" max="10990" width="9.140625" style="2"/>
    <col min="10991" max="10991" width="3.7109375" style="2" customWidth="1"/>
    <col min="10992" max="10992" width="96.85546875" style="2" customWidth="1"/>
    <col min="10993" max="10993" width="30.85546875" style="2" customWidth="1"/>
    <col min="10994" max="10994" width="12.5703125" style="2" customWidth="1"/>
    <col min="10995" max="10995" width="5.140625" style="2" customWidth="1"/>
    <col min="10996" max="10996" width="9.140625" style="2"/>
    <col min="10997" max="10997" width="4.85546875" style="2" customWidth="1"/>
    <col min="10998" max="10998" width="30.5703125" style="2" customWidth="1"/>
    <col min="10999" max="10999" width="33.85546875" style="2" customWidth="1"/>
    <col min="11000" max="11000" width="5.140625" style="2" customWidth="1"/>
    <col min="11001" max="11002" width="17.5703125" style="2" customWidth="1"/>
    <col min="11003" max="11246" width="9.140625" style="2"/>
    <col min="11247" max="11247" width="3.7109375" style="2" customWidth="1"/>
    <col min="11248" max="11248" width="96.85546875" style="2" customWidth="1"/>
    <col min="11249" max="11249" width="30.85546875" style="2" customWidth="1"/>
    <col min="11250" max="11250" width="12.5703125" style="2" customWidth="1"/>
    <col min="11251" max="11251" width="5.140625" style="2" customWidth="1"/>
    <col min="11252" max="11252" width="9.140625" style="2"/>
    <col min="11253" max="11253" width="4.85546875" style="2" customWidth="1"/>
    <col min="11254" max="11254" width="30.5703125" style="2" customWidth="1"/>
    <col min="11255" max="11255" width="33.85546875" style="2" customWidth="1"/>
    <col min="11256" max="11256" width="5.140625" style="2" customWidth="1"/>
    <col min="11257" max="11258" width="17.5703125" style="2" customWidth="1"/>
    <col min="11259" max="11502" width="9.140625" style="2"/>
    <col min="11503" max="11503" width="3.7109375" style="2" customWidth="1"/>
    <col min="11504" max="11504" width="96.85546875" style="2" customWidth="1"/>
    <col min="11505" max="11505" width="30.85546875" style="2" customWidth="1"/>
    <col min="11506" max="11506" width="12.5703125" style="2" customWidth="1"/>
    <col min="11507" max="11507" width="5.140625" style="2" customWidth="1"/>
    <col min="11508" max="11508" width="9.140625" style="2"/>
    <col min="11509" max="11509" width="4.85546875" style="2" customWidth="1"/>
    <col min="11510" max="11510" width="30.5703125" style="2" customWidth="1"/>
    <col min="11511" max="11511" width="33.85546875" style="2" customWidth="1"/>
    <col min="11512" max="11512" width="5.140625" style="2" customWidth="1"/>
    <col min="11513" max="11514" width="17.5703125" style="2" customWidth="1"/>
    <col min="11515" max="11758" width="9.140625" style="2"/>
    <col min="11759" max="11759" width="3.7109375" style="2" customWidth="1"/>
    <col min="11760" max="11760" width="96.85546875" style="2" customWidth="1"/>
    <col min="11761" max="11761" width="30.85546875" style="2" customWidth="1"/>
    <col min="11762" max="11762" width="12.5703125" style="2" customWidth="1"/>
    <col min="11763" max="11763" width="5.140625" style="2" customWidth="1"/>
    <col min="11764" max="11764" width="9.140625" style="2"/>
    <col min="11765" max="11765" width="4.85546875" style="2" customWidth="1"/>
    <col min="11766" max="11766" width="30.5703125" style="2" customWidth="1"/>
    <col min="11767" max="11767" width="33.85546875" style="2" customWidth="1"/>
    <col min="11768" max="11768" width="5.140625" style="2" customWidth="1"/>
    <col min="11769" max="11770" width="17.5703125" style="2" customWidth="1"/>
    <col min="11771" max="12014" width="9.140625" style="2"/>
    <col min="12015" max="12015" width="3.7109375" style="2" customWidth="1"/>
    <col min="12016" max="12016" width="96.85546875" style="2" customWidth="1"/>
    <col min="12017" max="12017" width="30.85546875" style="2" customWidth="1"/>
    <col min="12018" max="12018" width="12.5703125" style="2" customWidth="1"/>
    <col min="12019" max="12019" width="5.140625" style="2" customWidth="1"/>
    <col min="12020" max="12020" width="9.140625" style="2"/>
    <col min="12021" max="12021" width="4.85546875" style="2" customWidth="1"/>
    <col min="12022" max="12022" width="30.5703125" style="2" customWidth="1"/>
    <col min="12023" max="12023" width="33.85546875" style="2" customWidth="1"/>
    <col min="12024" max="12024" width="5.140625" style="2" customWidth="1"/>
    <col min="12025" max="12026" width="17.5703125" style="2" customWidth="1"/>
    <col min="12027" max="12270" width="9.140625" style="2"/>
    <col min="12271" max="12271" width="3.7109375" style="2" customWidth="1"/>
    <col min="12272" max="12272" width="96.85546875" style="2" customWidth="1"/>
    <col min="12273" max="12273" width="30.85546875" style="2" customWidth="1"/>
    <col min="12274" max="12274" width="12.5703125" style="2" customWidth="1"/>
    <col min="12275" max="12275" width="5.140625" style="2" customWidth="1"/>
    <col min="12276" max="12276" width="9.140625" style="2"/>
    <col min="12277" max="12277" width="4.85546875" style="2" customWidth="1"/>
    <col min="12278" max="12278" width="30.5703125" style="2" customWidth="1"/>
    <col min="12279" max="12279" width="33.85546875" style="2" customWidth="1"/>
    <col min="12280" max="12280" width="5.140625" style="2" customWidth="1"/>
    <col min="12281" max="12282" width="17.5703125" style="2" customWidth="1"/>
    <col min="12283" max="12526" width="9.140625" style="2"/>
    <col min="12527" max="12527" width="3.7109375" style="2" customWidth="1"/>
    <col min="12528" max="12528" width="96.85546875" style="2" customWidth="1"/>
    <col min="12529" max="12529" width="30.85546875" style="2" customWidth="1"/>
    <col min="12530" max="12530" width="12.5703125" style="2" customWidth="1"/>
    <col min="12531" max="12531" width="5.140625" style="2" customWidth="1"/>
    <col min="12532" max="12532" width="9.140625" style="2"/>
    <col min="12533" max="12533" width="4.85546875" style="2" customWidth="1"/>
    <col min="12534" max="12534" width="30.5703125" style="2" customWidth="1"/>
    <col min="12535" max="12535" width="33.85546875" style="2" customWidth="1"/>
    <col min="12536" max="12536" width="5.140625" style="2" customWidth="1"/>
    <col min="12537" max="12538" width="17.5703125" style="2" customWidth="1"/>
    <col min="12539" max="12782" width="9.140625" style="2"/>
    <col min="12783" max="12783" width="3.7109375" style="2" customWidth="1"/>
    <col min="12784" max="12784" width="96.85546875" style="2" customWidth="1"/>
    <col min="12785" max="12785" width="30.85546875" style="2" customWidth="1"/>
    <col min="12786" max="12786" width="12.5703125" style="2" customWidth="1"/>
    <col min="12787" max="12787" width="5.140625" style="2" customWidth="1"/>
    <col min="12788" max="12788" width="9.140625" style="2"/>
    <col min="12789" max="12789" width="4.85546875" style="2" customWidth="1"/>
    <col min="12790" max="12790" width="30.5703125" style="2" customWidth="1"/>
    <col min="12791" max="12791" width="33.85546875" style="2" customWidth="1"/>
    <col min="12792" max="12792" width="5.140625" style="2" customWidth="1"/>
    <col min="12793" max="12794" width="17.5703125" style="2" customWidth="1"/>
    <col min="12795" max="13038" width="9.140625" style="2"/>
    <col min="13039" max="13039" width="3.7109375" style="2" customWidth="1"/>
    <col min="13040" max="13040" width="96.85546875" style="2" customWidth="1"/>
    <col min="13041" max="13041" width="30.85546875" style="2" customWidth="1"/>
    <col min="13042" max="13042" width="12.5703125" style="2" customWidth="1"/>
    <col min="13043" max="13043" width="5.140625" style="2" customWidth="1"/>
    <col min="13044" max="13044" width="9.140625" style="2"/>
    <col min="13045" max="13045" width="4.85546875" style="2" customWidth="1"/>
    <col min="13046" max="13046" width="30.5703125" style="2" customWidth="1"/>
    <col min="13047" max="13047" width="33.85546875" style="2" customWidth="1"/>
    <col min="13048" max="13048" width="5.140625" style="2" customWidth="1"/>
    <col min="13049" max="13050" width="17.5703125" style="2" customWidth="1"/>
    <col min="13051" max="13294" width="9.140625" style="2"/>
    <col min="13295" max="13295" width="3.7109375" style="2" customWidth="1"/>
    <col min="13296" max="13296" width="96.85546875" style="2" customWidth="1"/>
    <col min="13297" max="13297" width="30.85546875" style="2" customWidth="1"/>
    <col min="13298" max="13298" width="12.5703125" style="2" customWidth="1"/>
    <col min="13299" max="13299" width="5.140625" style="2" customWidth="1"/>
    <col min="13300" max="13300" width="9.140625" style="2"/>
    <col min="13301" max="13301" width="4.85546875" style="2" customWidth="1"/>
    <col min="13302" max="13302" width="30.5703125" style="2" customWidth="1"/>
    <col min="13303" max="13303" width="33.85546875" style="2" customWidth="1"/>
    <col min="13304" max="13304" width="5.140625" style="2" customWidth="1"/>
    <col min="13305" max="13306" width="17.5703125" style="2" customWidth="1"/>
    <col min="13307" max="13550" width="9.140625" style="2"/>
    <col min="13551" max="13551" width="3.7109375" style="2" customWidth="1"/>
    <col min="13552" max="13552" width="96.85546875" style="2" customWidth="1"/>
    <col min="13553" max="13553" width="30.85546875" style="2" customWidth="1"/>
    <col min="13554" max="13554" width="12.5703125" style="2" customWidth="1"/>
    <col min="13555" max="13555" width="5.140625" style="2" customWidth="1"/>
    <col min="13556" max="13556" width="9.140625" style="2"/>
    <col min="13557" max="13557" width="4.85546875" style="2" customWidth="1"/>
    <col min="13558" max="13558" width="30.5703125" style="2" customWidth="1"/>
    <col min="13559" max="13559" width="33.85546875" style="2" customWidth="1"/>
    <col min="13560" max="13560" width="5.140625" style="2" customWidth="1"/>
    <col min="13561" max="13562" width="17.5703125" style="2" customWidth="1"/>
    <col min="13563" max="13806" width="9.140625" style="2"/>
    <col min="13807" max="13807" width="3.7109375" style="2" customWidth="1"/>
    <col min="13808" max="13808" width="96.85546875" style="2" customWidth="1"/>
    <col min="13809" max="13809" width="30.85546875" style="2" customWidth="1"/>
    <col min="13810" max="13810" width="12.5703125" style="2" customWidth="1"/>
    <col min="13811" max="13811" width="5.140625" style="2" customWidth="1"/>
    <col min="13812" max="13812" width="9.140625" style="2"/>
    <col min="13813" max="13813" width="4.85546875" style="2" customWidth="1"/>
    <col min="13814" max="13814" width="30.5703125" style="2" customWidth="1"/>
    <col min="13815" max="13815" width="33.85546875" style="2" customWidth="1"/>
    <col min="13816" max="13816" width="5.140625" style="2" customWidth="1"/>
    <col min="13817" max="13818" width="17.5703125" style="2" customWidth="1"/>
    <col min="13819" max="14062" width="9.140625" style="2"/>
    <col min="14063" max="14063" width="3.7109375" style="2" customWidth="1"/>
    <col min="14064" max="14064" width="96.85546875" style="2" customWidth="1"/>
    <col min="14065" max="14065" width="30.85546875" style="2" customWidth="1"/>
    <col min="14066" max="14066" width="12.5703125" style="2" customWidth="1"/>
    <col min="14067" max="14067" width="5.140625" style="2" customWidth="1"/>
    <col min="14068" max="14068" width="9.140625" style="2"/>
    <col min="14069" max="14069" width="4.85546875" style="2" customWidth="1"/>
    <col min="14070" max="14070" width="30.5703125" style="2" customWidth="1"/>
    <col min="14071" max="14071" width="33.85546875" style="2" customWidth="1"/>
    <col min="14072" max="14072" width="5.140625" style="2" customWidth="1"/>
    <col min="14073" max="14074" width="17.5703125" style="2" customWidth="1"/>
    <col min="14075" max="14318" width="9.140625" style="2"/>
    <col min="14319" max="14319" width="3.7109375" style="2" customWidth="1"/>
    <col min="14320" max="14320" width="96.85546875" style="2" customWidth="1"/>
    <col min="14321" max="14321" width="30.85546875" style="2" customWidth="1"/>
    <col min="14322" max="14322" width="12.5703125" style="2" customWidth="1"/>
    <col min="14323" max="14323" width="5.140625" style="2" customWidth="1"/>
    <col min="14324" max="14324" width="9.140625" style="2"/>
    <col min="14325" max="14325" width="4.85546875" style="2" customWidth="1"/>
    <col min="14326" max="14326" width="30.5703125" style="2" customWidth="1"/>
    <col min="14327" max="14327" width="33.85546875" style="2" customWidth="1"/>
    <col min="14328" max="14328" width="5.140625" style="2" customWidth="1"/>
    <col min="14329" max="14330" width="17.5703125" style="2" customWidth="1"/>
    <col min="14331" max="14574" width="9.140625" style="2"/>
    <col min="14575" max="14575" width="3.7109375" style="2" customWidth="1"/>
    <col min="14576" max="14576" width="96.85546875" style="2" customWidth="1"/>
    <col min="14577" max="14577" width="30.85546875" style="2" customWidth="1"/>
    <col min="14578" max="14578" width="12.5703125" style="2" customWidth="1"/>
    <col min="14579" max="14579" width="5.140625" style="2" customWidth="1"/>
    <col min="14580" max="14580" width="9.140625" style="2"/>
    <col min="14581" max="14581" width="4.85546875" style="2" customWidth="1"/>
    <col min="14582" max="14582" width="30.5703125" style="2" customWidth="1"/>
    <col min="14583" max="14583" width="33.85546875" style="2" customWidth="1"/>
    <col min="14584" max="14584" width="5.140625" style="2" customWidth="1"/>
    <col min="14585" max="14586" width="17.5703125" style="2" customWidth="1"/>
    <col min="14587" max="14830" width="9.140625" style="2"/>
    <col min="14831" max="14831" width="3.7109375" style="2" customWidth="1"/>
    <col min="14832" max="14832" width="96.85546875" style="2" customWidth="1"/>
    <col min="14833" max="14833" width="30.85546875" style="2" customWidth="1"/>
    <col min="14834" max="14834" width="12.5703125" style="2" customWidth="1"/>
    <col min="14835" max="14835" width="5.140625" style="2" customWidth="1"/>
    <col min="14836" max="14836" width="9.140625" style="2"/>
    <col min="14837" max="14837" width="4.85546875" style="2" customWidth="1"/>
    <col min="14838" max="14838" width="30.5703125" style="2" customWidth="1"/>
    <col min="14839" max="14839" width="33.85546875" style="2" customWidth="1"/>
    <col min="14840" max="14840" width="5.140625" style="2" customWidth="1"/>
    <col min="14841" max="14842" width="17.5703125" style="2" customWidth="1"/>
    <col min="14843" max="15086" width="9.140625" style="2"/>
    <col min="15087" max="15087" width="3.7109375" style="2" customWidth="1"/>
    <col min="15088" max="15088" width="96.85546875" style="2" customWidth="1"/>
    <col min="15089" max="15089" width="30.85546875" style="2" customWidth="1"/>
    <col min="15090" max="15090" width="12.5703125" style="2" customWidth="1"/>
    <col min="15091" max="15091" width="5.140625" style="2" customWidth="1"/>
    <col min="15092" max="15092" width="9.140625" style="2"/>
    <col min="15093" max="15093" width="4.85546875" style="2" customWidth="1"/>
    <col min="15094" max="15094" width="30.5703125" style="2" customWidth="1"/>
    <col min="15095" max="15095" width="33.85546875" style="2" customWidth="1"/>
    <col min="15096" max="15096" width="5.140625" style="2" customWidth="1"/>
    <col min="15097" max="15098" width="17.5703125" style="2" customWidth="1"/>
    <col min="15099" max="15342" width="9.140625" style="2"/>
    <col min="15343" max="15343" width="3.7109375" style="2" customWidth="1"/>
    <col min="15344" max="15344" width="96.85546875" style="2" customWidth="1"/>
    <col min="15345" max="15345" width="30.85546875" style="2" customWidth="1"/>
    <col min="15346" max="15346" width="12.5703125" style="2" customWidth="1"/>
    <col min="15347" max="15347" width="5.140625" style="2" customWidth="1"/>
    <col min="15348" max="15348" width="9.140625" style="2"/>
    <col min="15349" max="15349" width="4.85546875" style="2" customWidth="1"/>
    <col min="15350" max="15350" width="30.5703125" style="2" customWidth="1"/>
    <col min="15351" max="15351" width="33.85546875" style="2" customWidth="1"/>
    <col min="15352" max="15352" width="5.140625" style="2" customWidth="1"/>
    <col min="15353" max="15354" width="17.5703125" style="2" customWidth="1"/>
    <col min="15355" max="15598" width="9.140625" style="2"/>
    <col min="15599" max="15599" width="3.7109375" style="2" customWidth="1"/>
    <col min="15600" max="15600" width="96.85546875" style="2" customWidth="1"/>
    <col min="15601" max="15601" width="30.85546875" style="2" customWidth="1"/>
    <col min="15602" max="15602" width="12.5703125" style="2" customWidth="1"/>
    <col min="15603" max="15603" width="5.140625" style="2" customWidth="1"/>
    <col min="15604" max="15604" width="9.140625" style="2"/>
    <col min="15605" max="15605" width="4.85546875" style="2" customWidth="1"/>
    <col min="15606" max="15606" width="30.5703125" style="2" customWidth="1"/>
    <col min="15607" max="15607" width="33.85546875" style="2" customWidth="1"/>
    <col min="15608" max="15608" width="5.140625" style="2" customWidth="1"/>
    <col min="15609" max="15610" width="17.5703125" style="2" customWidth="1"/>
    <col min="15611" max="15854" width="9.140625" style="2"/>
    <col min="15855" max="15855" width="3.7109375" style="2" customWidth="1"/>
    <col min="15856" max="15856" width="96.85546875" style="2" customWidth="1"/>
    <col min="15857" max="15857" width="30.85546875" style="2" customWidth="1"/>
    <col min="15858" max="15858" width="12.5703125" style="2" customWidth="1"/>
    <col min="15859" max="15859" width="5.140625" style="2" customWidth="1"/>
    <col min="15860" max="15860" width="9.140625" style="2"/>
    <col min="15861" max="15861" width="4.85546875" style="2" customWidth="1"/>
    <col min="15862" max="15862" width="30.5703125" style="2" customWidth="1"/>
    <col min="15863" max="15863" width="33.85546875" style="2" customWidth="1"/>
    <col min="15864" max="15864" width="5.140625" style="2" customWidth="1"/>
    <col min="15865" max="15866" width="17.5703125" style="2" customWidth="1"/>
    <col min="15867" max="16110" width="9.140625" style="2"/>
    <col min="16111" max="16111" width="3.7109375" style="2" customWidth="1"/>
    <col min="16112" max="16112" width="96.85546875" style="2" customWidth="1"/>
    <col min="16113" max="16113" width="30.85546875" style="2" customWidth="1"/>
    <col min="16114" max="16114" width="12.5703125" style="2" customWidth="1"/>
    <col min="16115" max="16115" width="5.140625" style="2" customWidth="1"/>
    <col min="16116" max="16116" width="9.140625" style="2"/>
    <col min="16117" max="16117" width="4.85546875" style="2" customWidth="1"/>
    <col min="16118" max="16118" width="30.5703125" style="2" customWidth="1"/>
    <col min="16119" max="16119" width="33.85546875" style="2" customWidth="1"/>
    <col min="16120" max="16120" width="5.140625" style="2" customWidth="1"/>
    <col min="16121" max="16122" width="17.5703125" style="2" customWidth="1"/>
    <col min="16123"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[10]И1!D13</f>
        <v>Субъект Российской Федерации</v>
      </c>
      <c r="C4" s="10" t="str">
        <f>[10]И1!E13</f>
        <v>Новосибирская область</v>
      </c>
    </row>
    <row r="5" spans="1:3" ht="15.95" customHeight="1">
      <c r="A5" s="8"/>
      <c r="B5" s="9" t="str">
        <f>[10]И1!D14</f>
        <v>Тип муниципального образования (выберите из списка)</v>
      </c>
      <c r="C5" s="10" t="str">
        <f>[10]И1!E14</f>
        <v>село Верх-Тула, Новосибирский муниципальный район</v>
      </c>
    </row>
    <row r="6" spans="1:3">
      <c r="A6" s="8"/>
      <c r="B6" s="9" t="str">
        <f>IF([10]И1!E15="","",[10]И1!D15)</f>
        <v/>
      </c>
      <c r="C6" s="7" t="str">
        <f>IF([10]И1!E15="","",[10]И1!E15)</f>
        <v/>
      </c>
    </row>
    <row r="7" spans="1:3">
      <c r="A7" s="8"/>
      <c r="B7" s="9" t="str">
        <f>[10]И1!D16</f>
        <v>Код ОКТМО</v>
      </c>
      <c r="C7" s="11" t="str">
        <f>[10]И1!E16</f>
        <v>50640410101</v>
      </c>
    </row>
    <row r="8" spans="1:3">
      <c r="A8" s="8"/>
      <c r="B8" s="12" t="str">
        <f>[10]И1!D17</f>
        <v>Система теплоснабжения</v>
      </c>
      <c r="C8" s="13">
        <f>[10]И1!E17</f>
        <v>0</v>
      </c>
    </row>
    <row r="9" spans="1:3">
      <c r="A9" s="8"/>
      <c r="B9" s="9" t="str">
        <f>[10]И1!D8</f>
        <v>Период регулирования (i)-й</v>
      </c>
      <c r="C9" s="14">
        <f>[10]И1!E8</f>
        <v>2024</v>
      </c>
    </row>
    <row r="10" spans="1:3">
      <c r="A10" s="8"/>
      <c r="B10" s="9" t="str">
        <f>[10]И1!D9</f>
        <v>Период регулирования (i-1)-й</v>
      </c>
      <c r="C10" s="14">
        <f>[10]И1!E9</f>
        <v>2023</v>
      </c>
    </row>
    <row r="11" spans="1:3">
      <c r="A11" s="8"/>
      <c r="B11" s="9" t="str">
        <f>[10]И1!D10</f>
        <v>Период регулирования (i-2)-й</v>
      </c>
      <c r="C11" s="14">
        <f>[10]И1!E10</f>
        <v>2022</v>
      </c>
    </row>
    <row r="12" spans="1:3">
      <c r="A12" s="8"/>
      <c r="B12" s="9" t="str">
        <f>[10]И1!D11</f>
        <v>Базовый год (б)</v>
      </c>
      <c r="C12" s="14">
        <f>[10]И1!E11</f>
        <v>2019</v>
      </c>
    </row>
    <row r="13" spans="1:3">
      <c r="A13" s="8"/>
      <c r="B13" s="9" t="str">
        <f>[10]И1!D18</f>
        <v>Вид топлива, использование которого преобладает в системе теплоснабжения</v>
      </c>
      <c r="C13" s="15" t="str">
        <f>[10]И1!E18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2967.0737070949722</v>
      </c>
    </row>
    <row r="18" spans="1:3" ht="42.75">
      <c r="A18" s="22" t="s">
        <v>8</v>
      </c>
      <c r="B18" s="25" t="s">
        <v>9</v>
      </c>
      <c r="C18" s="26">
        <f>[10]С1!F12</f>
        <v>994.35037159416254</v>
      </c>
    </row>
    <row r="19" spans="1:3" ht="42.75">
      <c r="A19" s="22" t="s">
        <v>10</v>
      </c>
      <c r="B19" s="25" t="s">
        <v>11</v>
      </c>
      <c r="C19" s="26">
        <f>[10]С2!F12</f>
        <v>1337.1646821037446</v>
      </c>
    </row>
    <row r="20" spans="1:3" ht="30">
      <c r="A20" s="22" t="s">
        <v>12</v>
      </c>
      <c r="B20" s="25" t="s">
        <v>13</v>
      </c>
      <c r="C20" s="26">
        <f>[10]С3!F12</f>
        <v>317.6025648848447</v>
      </c>
    </row>
    <row r="21" spans="1:3" ht="42.75">
      <c r="A21" s="22" t="s">
        <v>14</v>
      </c>
      <c r="B21" s="25" t="s">
        <v>228</v>
      </c>
      <c r="C21" s="26">
        <f>[10]С4!F12</f>
        <v>259.77817268682895</v>
      </c>
    </row>
    <row r="22" spans="1:3" ht="33" customHeight="1">
      <c r="A22" s="22" t="s">
        <v>16</v>
      </c>
      <c r="B22" s="25" t="s">
        <v>229</v>
      </c>
      <c r="C22" s="26">
        <f>[10]С5!F12</f>
        <v>58.177915825391608</v>
      </c>
    </row>
    <row r="23" spans="1:3" ht="45.75" customHeight="1" thickBot="1">
      <c r="A23" s="27" t="s">
        <v>18</v>
      </c>
      <c r="B23" s="143" t="s">
        <v>230</v>
      </c>
      <c r="C23" s="28">
        <f>[10]С6!F12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[10]С1.1!E16</f>
        <v>7900</v>
      </c>
    </row>
    <row r="29" spans="1:3" ht="42.75">
      <c r="A29" s="22" t="s">
        <v>10</v>
      </c>
      <c r="B29" s="33" t="s">
        <v>232</v>
      </c>
      <c r="C29" s="34">
        <f>[10]С1.1!E32</f>
        <v>5751.37</v>
      </c>
    </row>
    <row r="30" spans="1:3" ht="38.25">
      <c r="A30" s="22" t="s">
        <v>233</v>
      </c>
      <c r="B30" s="33" t="s">
        <v>234</v>
      </c>
      <c r="C30" s="85" t="str">
        <f>[10]С1.1!E25</f>
        <v>ООО "Газпром газораспределение Томск"</v>
      </c>
    </row>
    <row r="31" spans="1:3" ht="38.25">
      <c r="A31" s="22" t="s">
        <v>235</v>
      </c>
      <c r="B31" s="33" t="str">
        <f>[10]С1.1!D26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[10]С1.1!E26</f>
        <v>4699.5</v>
      </c>
    </row>
    <row r="32" spans="1:3" ht="25.5">
      <c r="A32" s="22" t="s">
        <v>236</v>
      </c>
      <c r="B32" s="33" t="str">
        <f>[10]С1.1!D27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[10]С1.1!E27</f>
        <v>795.43</v>
      </c>
    </row>
    <row r="33" spans="1:3" ht="25.5">
      <c r="A33" s="22" t="s">
        <v>237</v>
      </c>
      <c r="B33" s="33" t="str">
        <f>[10]С1.1!D28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[10]С1.1!E28</f>
        <v>136.54</v>
      </c>
    </row>
    <row r="34" spans="1:3" ht="38.25">
      <c r="A34" s="22" t="s">
        <v>238</v>
      </c>
      <c r="B34" s="33" t="str">
        <f>[10]С1.1!D29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[10]С1.1!E29</f>
        <v>119.9</v>
      </c>
    </row>
    <row r="35" spans="1:3" ht="17.25">
      <c r="A35" s="22" t="s">
        <v>12</v>
      </c>
      <c r="B35" s="33" t="s">
        <v>23</v>
      </c>
      <c r="C35" s="35">
        <f>[10]С1.1!E20</f>
        <v>8.5000000000000006E-2</v>
      </c>
    </row>
    <row r="36" spans="1:3" ht="17.25">
      <c r="A36" s="22" t="s">
        <v>14</v>
      </c>
      <c r="B36" s="33" t="s">
        <v>24</v>
      </c>
      <c r="C36" s="35">
        <f>[10]С1.1!E21</f>
        <v>0.112</v>
      </c>
    </row>
    <row r="37" spans="1:3" ht="30">
      <c r="A37" s="22" t="s">
        <v>16</v>
      </c>
      <c r="B37" s="36" t="s">
        <v>239</v>
      </c>
      <c r="C37" s="121">
        <f>[10]С1!F13</f>
        <v>156.1</v>
      </c>
    </row>
    <row r="38" spans="1:3">
      <c r="A38" s="22" t="s">
        <v>18</v>
      </c>
      <c r="B38" s="36" t="s">
        <v>26</v>
      </c>
      <c r="C38" s="38">
        <f>[10]С1!F16</f>
        <v>7000</v>
      </c>
    </row>
    <row r="39" spans="1:3" ht="14.25">
      <c r="A39" s="122" t="s">
        <v>27</v>
      </c>
      <c r="B39" s="39" t="s">
        <v>240</v>
      </c>
      <c r="C39" s="40">
        <f>[10]С1!F17</f>
        <v>1.1285714285714286</v>
      </c>
    </row>
    <row r="40" spans="1:3" ht="15.75">
      <c r="A40" s="123" t="s">
        <v>29</v>
      </c>
      <c r="B40" s="42" t="s">
        <v>30</v>
      </c>
      <c r="C40" s="40">
        <f>[10]С1!F20</f>
        <v>22.307053372799995</v>
      </c>
    </row>
    <row r="41" spans="1:3" ht="15.75">
      <c r="A41" s="123" t="s">
        <v>31</v>
      </c>
      <c r="B41" s="43" t="s">
        <v>32</v>
      </c>
      <c r="C41" s="40">
        <f>[10]С1!F21</f>
        <v>21.531904799999996</v>
      </c>
    </row>
    <row r="42" spans="1:3" ht="14.25">
      <c r="A42" s="123" t="s">
        <v>33</v>
      </c>
      <c r="B42" s="44" t="s">
        <v>34</v>
      </c>
      <c r="C42" s="40">
        <f>[10]С1!F22</f>
        <v>1.036</v>
      </c>
    </row>
    <row r="43" spans="1:3" ht="53.25" thickBot="1">
      <c r="A43" s="27" t="s">
        <v>35</v>
      </c>
      <c r="B43" s="45" t="s">
        <v>36</v>
      </c>
      <c r="C43" s="46" t="str">
        <f>[10]С1!F23</f>
        <v>-</v>
      </c>
    </row>
    <row r="44" spans="1:3" ht="13.5" thickBot="1">
      <c r="A44" s="47"/>
      <c r="B44" s="75"/>
      <c r="C44" s="15"/>
    </row>
    <row r="45" spans="1:3" ht="30" customHeight="1">
      <c r="A45" s="50" t="s">
        <v>37</v>
      </c>
      <c r="B45" s="145" t="s">
        <v>38</v>
      </c>
      <c r="C45" s="145"/>
    </row>
    <row r="46" spans="1:3" ht="25.5">
      <c r="A46" s="22" t="s">
        <v>39</v>
      </c>
      <c r="B46" s="36" t="s">
        <v>40</v>
      </c>
      <c r="C46" s="51" t="str">
        <f>[10]С2.1!E12</f>
        <v>V</v>
      </c>
    </row>
    <row r="47" spans="1:3" ht="25.5">
      <c r="A47" s="22" t="s">
        <v>41</v>
      </c>
      <c r="B47" s="33" t="s">
        <v>42</v>
      </c>
      <c r="C47" s="51" t="str">
        <f>[10]С2.1!E13</f>
        <v>6 и менее баллов</v>
      </c>
    </row>
    <row r="48" spans="1:3" ht="25.5">
      <c r="A48" s="22" t="s">
        <v>43</v>
      </c>
      <c r="B48" s="33" t="s">
        <v>241</v>
      </c>
      <c r="C48" s="51" t="str">
        <f>[10]С2.1!E14</f>
        <v>от 200 до 500</v>
      </c>
    </row>
    <row r="49" spans="1:3" ht="25.5">
      <c r="A49" s="22" t="s">
        <v>45</v>
      </c>
      <c r="B49" s="33" t="s">
        <v>242</v>
      </c>
      <c r="C49" s="52" t="str">
        <f>[10]С2.1!E15</f>
        <v>нет</v>
      </c>
    </row>
    <row r="50" spans="1:3" ht="30">
      <c r="A50" s="22" t="s">
        <v>47</v>
      </c>
      <c r="B50" s="33" t="s">
        <v>48</v>
      </c>
      <c r="C50" s="34">
        <f>[10]С2!F18</f>
        <v>35106.652004551666</v>
      </c>
    </row>
    <row r="51" spans="1:3" ht="30">
      <c r="A51" s="22" t="s">
        <v>49</v>
      </c>
      <c r="B51" s="53" t="s">
        <v>50</v>
      </c>
      <c r="C51" s="34">
        <f>IF([10]С2!F19&gt;0,[10]С2!F19,[10]С2!F20)</f>
        <v>23441.524932855718</v>
      </c>
    </row>
    <row r="52" spans="1:3" ht="25.5">
      <c r="A52" s="22" t="s">
        <v>51</v>
      </c>
      <c r="B52" s="54" t="s">
        <v>52</v>
      </c>
      <c r="C52" s="34">
        <f>[10]С2.1!E20</f>
        <v>-37</v>
      </c>
    </row>
    <row r="53" spans="1:3" ht="25.5">
      <c r="A53" s="22" t="s">
        <v>53</v>
      </c>
      <c r="B53" s="54" t="s">
        <v>54</v>
      </c>
      <c r="C53" s="34" t="str">
        <f>[10]С2.1!E23</f>
        <v>нет</v>
      </c>
    </row>
    <row r="54" spans="1:3" ht="38.25">
      <c r="A54" s="22" t="s">
        <v>55</v>
      </c>
      <c r="B54" s="55" t="s">
        <v>56</v>
      </c>
      <c r="C54" s="34">
        <f>[10]С2.2!E10</f>
        <v>1287</v>
      </c>
    </row>
    <row r="55" spans="1:3" ht="25.5">
      <c r="A55" s="22" t="s">
        <v>57</v>
      </c>
      <c r="B55" s="56" t="s">
        <v>58</v>
      </c>
      <c r="C55" s="34">
        <f>[10]С2.2!E12</f>
        <v>5.97</v>
      </c>
    </row>
    <row r="56" spans="1:3" ht="52.5">
      <c r="A56" s="22" t="s">
        <v>59</v>
      </c>
      <c r="B56" s="57" t="s">
        <v>60</v>
      </c>
      <c r="C56" s="34">
        <f>[10]С2.2!E13</f>
        <v>1</v>
      </c>
    </row>
    <row r="57" spans="1:3" ht="27.75">
      <c r="A57" s="22" t="s">
        <v>61</v>
      </c>
      <c r="B57" s="56" t="s">
        <v>62</v>
      </c>
      <c r="C57" s="34">
        <f>[10]С2.2!E14</f>
        <v>12104</v>
      </c>
    </row>
    <row r="58" spans="1:3" ht="25.5">
      <c r="A58" s="22" t="s">
        <v>63</v>
      </c>
      <c r="B58" s="57" t="s">
        <v>64</v>
      </c>
      <c r="C58" s="35">
        <f>[10]С2.2!E15</f>
        <v>4.8000000000000001E-2</v>
      </c>
    </row>
    <row r="59" spans="1:3">
      <c r="A59" s="22" t="s">
        <v>65</v>
      </c>
      <c r="B59" s="57" t="s">
        <v>66</v>
      </c>
      <c r="C59" s="124">
        <f>[10]С2.2!E16</f>
        <v>1</v>
      </c>
    </row>
    <row r="60" spans="1:3" ht="15.75">
      <c r="A60" s="22" t="s">
        <v>67</v>
      </c>
      <c r="B60" s="58" t="s">
        <v>68</v>
      </c>
      <c r="C60" s="34">
        <f>[10]С2!F21</f>
        <v>1</v>
      </c>
    </row>
    <row r="61" spans="1:3" ht="30">
      <c r="A61" s="59" t="s">
        <v>69</v>
      </c>
      <c r="B61" s="33" t="s">
        <v>243</v>
      </c>
      <c r="C61" s="34">
        <f>[10]С2!F13</f>
        <v>105136.23090983224</v>
      </c>
    </row>
    <row r="62" spans="1:3" ht="30">
      <c r="A62" s="59" t="s">
        <v>71</v>
      </c>
      <c r="B62" s="60" t="s">
        <v>244</v>
      </c>
      <c r="C62" s="34">
        <f>[10]С2!F14</f>
        <v>64899</v>
      </c>
    </row>
    <row r="63" spans="1:3" ht="15.75">
      <c r="A63" s="59" t="s">
        <v>73</v>
      </c>
      <c r="B63" s="60" t="s">
        <v>74</v>
      </c>
      <c r="C63" s="40">
        <f>[10]С2!F15</f>
        <v>1.071</v>
      </c>
    </row>
    <row r="64" spans="1:3" ht="15.75">
      <c r="A64" s="59" t="s">
        <v>75</v>
      </c>
      <c r="B64" s="60" t="s">
        <v>76</v>
      </c>
      <c r="C64" s="125">
        <f>[10]С2!F16</f>
        <v>1</v>
      </c>
    </row>
    <row r="65" spans="1:3" ht="17.25">
      <c r="A65" s="59" t="s">
        <v>77</v>
      </c>
      <c r="B65" s="60" t="s">
        <v>78</v>
      </c>
      <c r="C65" s="126">
        <f>[10]С2!F17</f>
        <v>1.01</v>
      </c>
    </row>
    <row r="66" spans="1:3" s="63" customFormat="1" ht="14.25">
      <c r="A66" s="59" t="s">
        <v>79</v>
      </c>
      <c r="B66" s="61" t="s">
        <v>80</v>
      </c>
      <c r="C66" s="62">
        <f>[10]С2!F35</f>
        <v>10</v>
      </c>
    </row>
    <row r="67" spans="1:3" ht="30">
      <c r="A67" s="59" t="s">
        <v>81</v>
      </c>
      <c r="B67" s="64" t="s">
        <v>82</v>
      </c>
      <c r="C67" s="34">
        <f>[10]С2!F28</f>
        <v>141.64867100230373</v>
      </c>
    </row>
    <row r="68" spans="1:3" ht="17.25">
      <c r="A68" s="59" t="s">
        <v>83</v>
      </c>
      <c r="B68" s="53" t="s">
        <v>245</v>
      </c>
      <c r="C68" s="40">
        <f>[10]С2!F29</f>
        <v>0.18916419899999998</v>
      </c>
    </row>
    <row r="69" spans="1:3" ht="17.25">
      <c r="A69" s="59" t="s">
        <v>85</v>
      </c>
      <c r="B69" s="58" t="s">
        <v>246</v>
      </c>
      <c r="C69" s="62">
        <f>[10]С2!F30</f>
        <v>500</v>
      </c>
    </row>
    <row r="70" spans="1:3" ht="42.75">
      <c r="A70" s="59" t="s">
        <v>87</v>
      </c>
      <c r="B70" s="33" t="s">
        <v>247</v>
      </c>
      <c r="C70" s="34">
        <f>[10]С2!F22</f>
        <v>39638.324046481182</v>
      </c>
    </row>
    <row r="71" spans="1:3" ht="30">
      <c r="A71" s="59" t="s">
        <v>89</v>
      </c>
      <c r="B71" s="60" t="s">
        <v>248</v>
      </c>
      <c r="C71" s="34">
        <f>[10]С2!F23</f>
        <v>21</v>
      </c>
    </row>
    <row r="72" spans="1:3" ht="30">
      <c r="A72" s="59" t="s">
        <v>91</v>
      </c>
      <c r="B72" s="53" t="s">
        <v>92</v>
      </c>
      <c r="C72" s="34">
        <f>[10]С2.1!E28</f>
        <v>14036.09995</v>
      </c>
    </row>
    <row r="73" spans="1:3" ht="38.25">
      <c r="A73" s="59" t="s">
        <v>93</v>
      </c>
      <c r="B73" s="65" t="s">
        <v>94</v>
      </c>
      <c r="C73" s="52">
        <f>[10]С2.3!E21</f>
        <v>0</v>
      </c>
    </row>
    <row r="74" spans="1:3" ht="25.5">
      <c r="A74" s="59" t="s">
        <v>95</v>
      </c>
      <c r="B74" s="66" t="s">
        <v>96</v>
      </c>
      <c r="C74" s="67">
        <f>[10]С2.3!E11</f>
        <v>5.45</v>
      </c>
    </row>
    <row r="75" spans="1:3" ht="25.5">
      <c r="A75" s="59" t="s">
        <v>97</v>
      </c>
      <c r="B75" s="66" t="s">
        <v>98</v>
      </c>
      <c r="C75" s="62">
        <f>[10]С2.3!E13</f>
        <v>300</v>
      </c>
    </row>
    <row r="76" spans="1:3" ht="25.5">
      <c r="A76" s="59" t="s">
        <v>99</v>
      </c>
      <c r="B76" s="65" t="s">
        <v>100</v>
      </c>
      <c r="C76" s="68">
        <f>IF([10]С2.3!E22&gt;0,[10]С2.3!E22,[10]С2.3!E14)</f>
        <v>61211</v>
      </c>
    </row>
    <row r="77" spans="1:3" ht="38.25">
      <c r="A77" s="59" t="s">
        <v>101</v>
      </c>
      <c r="B77" s="65" t="s">
        <v>102</v>
      </c>
      <c r="C77" s="68">
        <f>IF([10]С2.3!E23&gt;0,[10]С2.3!E23,[10]С2.3!E15)</f>
        <v>45675</v>
      </c>
    </row>
    <row r="78" spans="1:3" ht="30">
      <c r="A78" s="59" t="s">
        <v>103</v>
      </c>
      <c r="B78" s="53" t="s">
        <v>104</v>
      </c>
      <c r="C78" s="34">
        <f>[10]С2.1!E29</f>
        <v>9518.3274000000001</v>
      </c>
    </row>
    <row r="79" spans="1:3" ht="38.25">
      <c r="A79" s="59" t="s">
        <v>105</v>
      </c>
      <c r="B79" s="65" t="s">
        <v>106</v>
      </c>
      <c r="C79" s="52">
        <f>[10]С2.3!E25</f>
        <v>0</v>
      </c>
    </row>
    <row r="80" spans="1:3" ht="25.5">
      <c r="A80" s="59" t="s">
        <v>107</v>
      </c>
      <c r="B80" s="66" t="s">
        <v>108</v>
      </c>
      <c r="C80" s="67">
        <f>[10]С2.3!E12</f>
        <v>0.2</v>
      </c>
    </row>
    <row r="81" spans="1:3" ht="25.5">
      <c r="A81" s="59" t="s">
        <v>109</v>
      </c>
      <c r="B81" s="66" t="s">
        <v>98</v>
      </c>
      <c r="C81" s="62">
        <f>[10]С2.3!E13</f>
        <v>300</v>
      </c>
    </row>
    <row r="82" spans="1:3" ht="25.5">
      <c r="A82" s="59" t="s">
        <v>110</v>
      </c>
      <c r="B82" s="69" t="s">
        <v>111</v>
      </c>
      <c r="C82" s="68">
        <f>IF([10]С2.3!E26&gt;0,[10]С2.3!E26,[10]С2.3!E16)</f>
        <v>65637</v>
      </c>
    </row>
    <row r="83" spans="1:3" ht="38.25">
      <c r="A83" s="59" t="s">
        <v>112</v>
      </c>
      <c r="B83" s="69" t="s">
        <v>113</v>
      </c>
      <c r="C83" s="68">
        <f>IF([10]С2.3!E27&gt;0,[10]С2.3!E27,[10]С2.3!E17)</f>
        <v>31684</v>
      </c>
    </row>
    <row r="84" spans="1:3" ht="30">
      <c r="A84" s="59" t="s">
        <v>249</v>
      </c>
      <c r="B84" s="60" t="s">
        <v>250</v>
      </c>
      <c r="C84" s="68">
        <f>IF([10]С2.1!E19&gt;0,[10]С2.1!E19,[10]С2!F26)</f>
        <v>2892</v>
      </c>
    </row>
    <row r="85" spans="1:3" ht="17.25">
      <c r="A85" s="59" t="s">
        <v>114</v>
      </c>
      <c r="B85" s="33" t="s">
        <v>115</v>
      </c>
      <c r="C85" s="35">
        <f>[10]С2!F31</f>
        <v>9.5962865259740182E-2</v>
      </c>
    </row>
    <row r="86" spans="1:3" ht="30">
      <c r="A86" s="59" t="s">
        <v>116</v>
      </c>
      <c r="B86" s="53" t="s">
        <v>117</v>
      </c>
      <c r="C86" s="70">
        <f>[10]С2!F32</f>
        <v>8.4029304029304031E-2</v>
      </c>
    </row>
    <row r="87" spans="1:3" ht="17.25">
      <c r="A87" s="59" t="s">
        <v>118</v>
      </c>
      <c r="B87" s="71" t="s">
        <v>119</v>
      </c>
      <c r="C87" s="35">
        <f>[10]С2!F33</f>
        <v>0.13880000000000001</v>
      </c>
    </row>
    <row r="88" spans="1:3" s="63" customFormat="1" ht="18" thickBot="1">
      <c r="A88" s="72" t="s">
        <v>120</v>
      </c>
      <c r="B88" s="73" t="s">
        <v>121</v>
      </c>
      <c r="C88" s="74">
        <f>[10]С2!F34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[10]С3!F14</f>
        <v>4199.9055432306041</v>
      </c>
    </row>
    <row r="92" spans="1:3" s="63" customFormat="1" ht="42.75">
      <c r="A92" s="77" t="s">
        <v>126</v>
      </c>
      <c r="B92" s="53" t="s">
        <v>127</v>
      </c>
      <c r="C92" s="78">
        <f>[10]С3!F15</f>
        <v>0.2</v>
      </c>
    </row>
    <row r="93" spans="1:3" s="63" customFormat="1" ht="14.25">
      <c r="A93" s="77" t="s">
        <v>128</v>
      </c>
      <c r="B93" s="79" t="s">
        <v>129</v>
      </c>
      <c r="C93" s="62">
        <f>[10]С3!F18</f>
        <v>15</v>
      </c>
    </row>
    <row r="94" spans="1:3" s="63" customFormat="1" ht="17.25">
      <c r="A94" s="77" t="s">
        <v>130</v>
      </c>
      <c r="B94" s="33" t="s">
        <v>131</v>
      </c>
      <c r="C94" s="34">
        <f>[10]С3!F19</f>
        <v>2638.2577020926874</v>
      </c>
    </row>
    <row r="95" spans="1:3" s="63" customFormat="1" ht="55.5">
      <c r="A95" s="77" t="s">
        <v>132</v>
      </c>
      <c r="B95" s="53" t="s">
        <v>133</v>
      </c>
      <c r="C95" s="80">
        <f>[10]С3!F20</f>
        <v>2.1999999999999999E-2</v>
      </c>
    </row>
    <row r="96" spans="1:3" s="63" customFormat="1" ht="14.25">
      <c r="A96" s="77" t="s">
        <v>134</v>
      </c>
      <c r="B96" s="58" t="s">
        <v>80</v>
      </c>
      <c r="C96" s="62">
        <f>[10]С3!F21</f>
        <v>10</v>
      </c>
    </row>
    <row r="97" spans="1:3" s="63" customFormat="1" ht="17.25">
      <c r="A97" s="77" t="s">
        <v>135</v>
      </c>
      <c r="B97" s="33" t="s">
        <v>136</v>
      </c>
      <c r="C97" s="34">
        <f>[10]С3!F22</f>
        <v>0.42494601300691121</v>
      </c>
    </row>
    <row r="98" spans="1:3" s="63" customFormat="1" ht="55.5">
      <c r="A98" s="77" t="s">
        <v>137</v>
      </c>
      <c r="B98" s="53" t="s">
        <v>138</v>
      </c>
      <c r="C98" s="80">
        <f>[10]С3!F23</f>
        <v>3.0000000000000001E-3</v>
      </c>
    </row>
    <row r="99" spans="1:3" s="63" customFormat="1" ht="30.75" thickBot="1">
      <c r="A99" s="81" t="s">
        <v>139</v>
      </c>
      <c r="B99" s="82" t="s">
        <v>82</v>
      </c>
      <c r="C99" s="83">
        <f>[10]С3!F24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[10]С4!F16</f>
        <v>832.33500000000004</v>
      </c>
    </row>
    <row r="103" spans="1:3" ht="30">
      <c r="A103" s="59" t="s">
        <v>145</v>
      </c>
      <c r="B103" s="58" t="s">
        <v>252</v>
      </c>
      <c r="C103" s="34">
        <f>[10]С4!F17</f>
        <v>43385</v>
      </c>
    </row>
    <row r="104" spans="1:3" ht="17.25">
      <c r="A104" s="59" t="s">
        <v>147</v>
      </c>
      <c r="B104" s="58" t="s">
        <v>148</v>
      </c>
      <c r="C104" s="40">
        <f>[10]С4!F18</f>
        <v>1.4999999999999999E-2</v>
      </c>
    </row>
    <row r="105" spans="1:3" ht="30">
      <c r="A105" s="59" t="s">
        <v>149</v>
      </c>
      <c r="B105" s="58" t="s">
        <v>150</v>
      </c>
      <c r="C105" s="34">
        <f>[10]С4!F19</f>
        <v>12104</v>
      </c>
    </row>
    <row r="106" spans="1:3" ht="31.5">
      <c r="A106" s="59" t="s">
        <v>151</v>
      </c>
      <c r="B106" s="58" t="s">
        <v>152</v>
      </c>
      <c r="C106" s="40">
        <f>[10]С4!F20</f>
        <v>1.4999999999999999E-2</v>
      </c>
    </row>
    <row r="107" spans="1:3" ht="30">
      <c r="A107" s="59" t="s">
        <v>153</v>
      </c>
      <c r="B107" s="33" t="s">
        <v>253</v>
      </c>
      <c r="C107" s="34">
        <f>[10]С4!F21</f>
        <v>1221.9019409821399</v>
      </c>
    </row>
    <row r="108" spans="1:3" ht="45.6" customHeight="1">
      <c r="A108" s="59" t="s">
        <v>155</v>
      </c>
      <c r="B108" s="53" t="s">
        <v>156</v>
      </c>
      <c r="C108" s="85" t="str">
        <f>IF([10]С4.2!F8="да",[10]С4.2!D21,[10]С4.2!D15)</f>
        <v>АО "Новосибирскэнергосбыт"</v>
      </c>
    </row>
    <row r="109" spans="1:3" ht="68.25" customHeight="1">
      <c r="A109" s="59" t="s">
        <v>157</v>
      </c>
      <c r="B109" s="53" t="s">
        <v>158</v>
      </c>
      <c r="C109" s="34">
        <f>[10]С4!F22</f>
        <v>3.6112641666666665</v>
      </c>
    </row>
    <row r="110" spans="1:3" ht="30">
      <c r="A110" s="59" t="s">
        <v>159</v>
      </c>
      <c r="B110" s="58" t="s">
        <v>254</v>
      </c>
      <c r="C110" s="62">
        <f>[10]С4!F23</f>
        <v>110</v>
      </c>
    </row>
    <row r="111" spans="1:3" ht="14.25">
      <c r="A111" s="59" t="s">
        <v>161</v>
      </c>
      <c r="B111" s="53" t="s">
        <v>162</v>
      </c>
      <c r="C111" s="34">
        <f>[10]С4!F24</f>
        <v>8497.1999999999989</v>
      </c>
    </row>
    <row r="112" spans="1:3" ht="14.25">
      <c r="A112" s="59" t="s">
        <v>163</v>
      </c>
      <c r="B112" s="58" t="s">
        <v>164</v>
      </c>
      <c r="C112" s="40">
        <f>[10]С4!F25</f>
        <v>0.36199999999999999</v>
      </c>
    </row>
    <row r="113" spans="1:3" ht="17.25">
      <c r="A113" s="59" t="s">
        <v>165</v>
      </c>
      <c r="B113" s="33" t="s">
        <v>166</v>
      </c>
      <c r="C113" s="34">
        <f>[10]С4!F26</f>
        <v>46.828789999999998</v>
      </c>
    </row>
    <row r="114" spans="1:3" ht="25.5">
      <c r="A114" s="59" t="s">
        <v>167</v>
      </c>
      <c r="B114" s="53" t="s">
        <v>94</v>
      </c>
      <c r="C114" s="85">
        <f>[10]С4.3!E16</f>
        <v>0</v>
      </c>
    </row>
    <row r="115" spans="1:3" ht="25.5">
      <c r="A115" s="59" t="s">
        <v>168</v>
      </c>
      <c r="B115" s="53" t="s">
        <v>169</v>
      </c>
      <c r="C115" s="34">
        <f>[10]С4.3!E17</f>
        <v>23.79</v>
      </c>
    </row>
    <row r="116" spans="1:3" ht="38.25">
      <c r="A116" s="59" t="s">
        <v>170</v>
      </c>
      <c r="B116" s="53" t="s">
        <v>106</v>
      </c>
      <c r="C116" s="85">
        <f>[10]С4.3!E18</f>
        <v>0</v>
      </c>
    </row>
    <row r="117" spans="1:3">
      <c r="A117" s="59" t="s">
        <v>171</v>
      </c>
      <c r="B117" s="53" t="s">
        <v>172</v>
      </c>
      <c r="C117" s="34">
        <f>[10]С4.3!E19</f>
        <v>11.87</v>
      </c>
    </row>
    <row r="118" spans="1:3">
      <c r="A118" s="59" t="s">
        <v>173</v>
      </c>
      <c r="B118" s="58" t="s">
        <v>174</v>
      </c>
      <c r="C118" s="62">
        <f>[10]С4.3!E11</f>
        <v>1871</v>
      </c>
    </row>
    <row r="119" spans="1:3">
      <c r="A119" s="59" t="s">
        <v>175</v>
      </c>
      <c r="B119" s="58" t="s">
        <v>176</v>
      </c>
      <c r="C119" s="52">
        <f>[10]С4.3!E12</f>
        <v>61</v>
      </c>
    </row>
    <row r="120" spans="1:3">
      <c r="A120" s="59" t="s">
        <v>177</v>
      </c>
      <c r="B120" s="58" t="s">
        <v>178</v>
      </c>
      <c r="C120" s="52">
        <f>[10]С4.3!E13</f>
        <v>73</v>
      </c>
    </row>
    <row r="121" spans="1:3" ht="30">
      <c r="A121" s="59" t="s">
        <v>179</v>
      </c>
      <c r="B121" s="33" t="s">
        <v>255</v>
      </c>
      <c r="C121" s="34">
        <f>[10]С4!F27</f>
        <v>1296.7467102743137</v>
      </c>
    </row>
    <row r="122" spans="1:3" ht="25.5">
      <c r="A122" s="59" t="s">
        <v>181</v>
      </c>
      <c r="B122" s="53" t="s">
        <v>256</v>
      </c>
      <c r="C122" s="34">
        <f>[10]С4!F28</f>
        <v>995.96521526444985</v>
      </c>
    </row>
    <row r="123" spans="1:3" ht="42.75">
      <c r="A123" s="59" t="s">
        <v>183</v>
      </c>
      <c r="B123" s="53" t="s">
        <v>184</v>
      </c>
      <c r="C123" s="34">
        <f>[10]С4!F29</f>
        <v>300.78149500986387</v>
      </c>
    </row>
    <row r="124" spans="1:3" ht="30.75" thickBot="1">
      <c r="A124" s="72" t="s">
        <v>185</v>
      </c>
      <c r="B124" s="90" t="s">
        <v>186</v>
      </c>
      <c r="C124" s="83">
        <f>[10]С4!F30</f>
        <v>504.8644851324691</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[10]С5!F17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IF([10]С6.1!E11="нет",[10]С6!F13,"")</f>
        <v/>
      </c>
    </row>
    <row r="131" spans="1:3" ht="42.75">
      <c r="A131" s="59" t="s">
        <v>204</v>
      </c>
      <c r="B131" s="86" t="s">
        <v>205</v>
      </c>
      <c r="C131" s="92" t="str">
        <f>IF([10]С6.1!E12="нет",[10]С6.1!E17,"")</f>
        <v/>
      </c>
    </row>
    <row r="132" spans="1:3" ht="68.25">
      <c r="A132" s="59" t="s">
        <v>206</v>
      </c>
      <c r="B132" s="91" t="s">
        <v>207</v>
      </c>
      <c r="C132" s="127" t="str">
        <f>IF([10]С6.1!E18="нет",[10]С6!F19,"")</f>
        <v/>
      </c>
    </row>
    <row r="133" spans="1:3" ht="55.5">
      <c r="A133" s="59" t="s">
        <v>208</v>
      </c>
      <c r="B133" s="86" t="s">
        <v>209</v>
      </c>
      <c r="C133" s="35" t="str">
        <f>IF([10]С6.1!E18="нет",[10]С6.1!E19,"")</f>
        <v/>
      </c>
    </row>
    <row r="134" spans="1:3" ht="61.5" customHeight="1">
      <c r="A134" s="59" t="s">
        <v>210</v>
      </c>
      <c r="B134" s="86" t="s">
        <v>257</v>
      </c>
      <c r="C134" s="35" t="str">
        <f>IF([10]С6.1!E18="нет",[10]С6.1!E22,"")</f>
        <v/>
      </c>
    </row>
    <row r="135" spans="1:3" ht="69" thickBot="1">
      <c r="A135" s="72" t="s">
        <v>212</v>
      </c>
      <c r="B135" s="98" t="s">
        <v>213</v>
      </c>
      <c r="C135" s="74" t="str">
        <f>IF([10]С6.1!E18="нет",[10]С6.1!E23,"")</f>
        <v/>
      </c>
    </row>
    <row r="136" spans="1:3" s="89" customFormat="1" ht="13.5" thickBot="1">
      <c r="A136" s="47"/>
      <c r="B136" s="75"/>
      <c r="C136" s="15"/>
    </row>
    <row r="137" spans="1:3" ht="15.75">
      <c r="A137" s="84" t="s">
        <v>214</v>
      </c>
      <c r="B137" s="99" t="s">
        <v>215</v>
      </c>
      <c r="C137" s="100">
        <f>[10]С2!F39</f>
        <v>21.531904799999996</v>
      </c>
    </row>
    <row r="138" spans="1:3" ht="14.25">
      <c r="A138" s="59" t="s">
        <v>216</v>
      </c>
      <c r="B138" s="58" t="s">
        <v>217</v>
      </c>
      <c r="C138" s="34">
        <f>[10]С2!F40</f>
        <v>7</v>
      </c>
    </row>
    <row r="139" spans="1:3" ht="17.25">
      <c r="A139" s="59" t="s">
        <v>218</v>
      </c>
      <c r="B139" s="58" t="s">
        <v>219</v>
      </c>
      <c r="C139" s="34">
        <f>[10]С2!F42</f>
        <v>0.97</v>
      </c>
    </row>
    <row r="140" spans="1:3" ht="15" thickBot="1">
      <c r="A140" s="72" t="s">
        <v>220</v>
      </c>
      <c r="B140" s="73" t="s">
        <v>221</v>
      </c>
      <c r="C140" s="46">
        <f>[10]С2!F44</f>
        <v>0.36199999999999999</v>
      </c>
    </row>
    <row r="141" spans="1:3" s="89" customFormat="1" ht="13.5" thickBot="1">
      <c r="A141" s="47"/>
      <c r="B141" s="75"/>
      <c r="C141" s="15"/>
    </row>
    <row r="142" spans="1:3" ht="17.25">
      <c r="A142" s="84" t="s">
        <v>222</v>
      </c>
      <c r="B142" s="103" t="s">
        <v>258</v>
      </c>
      <c r="C142" s="128">
        <f>[10]С2!F37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[10]С2.5!$E$11</f>
        <v>-2.9000000000000026E-2</v>
      </c>
    </row>
    <row r="146" spans="1:3">
      <c r="B146" s="131">
        <f>B145+1</f>
        <v>2021</v>
      </c>
      <c r="C146" s="133">
        <f>[10]С2.5!$F$11</f>
        <v>0.245</v>
      </c>
    </row>
    <row r="147" spans="1:3">
      <c r="B147" s="131">
        <f t="shared" ref="B147:B210" si="0">B146+1</f>
        <v>2022</v>
      </c>
      <c r="C147" s="134">
        <f>[10]С2.5!$G$11</f>
        <v>0.114</v>
      </c>
    </row>
    <row r="148" spans="1:3">
      <c r="B148" s="110">
        <f t="shared" si="0"/>
        <v>2023</v>
      </c>
      <c r="C148" s="135">
        <f>[10]С2.5!$H$11</f>
        <v>2.4E-2</v>
      </c>
    </row>
    <row r="149" spans="1:3" ht="13.5" thickBot="1">
      <c r="B149" s="110">
        <f t="shared" si="0"/>
        <v>2024</v>
      </c>
      <c r="C149" s="135">
        <f>[10]С2.5!$I$11</f>
        <v>8.5999999999999993E-2</v>
      </c>
    </row>
    <row r="150" spans="1:3" ht="13.5" hidden="1" thickBot="1">
      <c r="B150" s="110">
        <f t="shared" si="0"/>
        <v>2025</v>
      </c>
      <c r="C150" s="135">
        <f>[10]С2.5!$J$11</f>
        <v>0</v>
      </c>
    </row>
    <row r="151" spans="1:3" ht="13.5" hidden="1" thickBot="1">
      <c r="B151" s="110">
        <f t="shared" si="0"/>
        <v>2026</v>
      </c>
      <c r="C151" s="135">
        <f>[10]С2.5!$K$11</f>
        <v>0</v>
      </c>
    </row>
    <row r="152" spans="1:3" ht="13.5" hidden="1" thickBot="1">
      <c r="B152" s="110">
        <f t="shared" si="0"/>
        <v>2027</v>
      </c>
      <c r="C152" s="135">
        <f>[10]С2.5!$L$11</f>
        <v>0</v>
      </c>
    </row>
    <row r="153" spans="1:3" ht="13.5" hidden="1" thickBot="1">
      <c r="B153" s="110">
        <f t="shared" si="0"/>
        <v>2028</v>
      </c>
      <c r="C153" s="135">
        <f>[10]С2.5!$M$11</f>
        <v>0</v>
      </c>
    </row>
    <row r="154" spans="1:3" ht="13.5" hidden="1" thickBot="1">
      <c r="B154" s="110">
        <f t="shared" si="0"/>
        <v>2029</v>
      </c>
      <c r="C154" s="135">
        <f>[10]С2.5!$N$11</f>
        <v>0</v>
      </c>
    </row>
    <row r="155" spans="1:3" ht="13.5" hidden="1" thickBot="1">
      <c r="B155" s="110">
        <f t="shared" si="0"/>
        <v>2030</v>
      </c>
      <c r="C155" s="135">
        <f>[10]С2.5!$O$11</f>
        <v>0</v>
      </c>
    </row>
    <row r="156" spans="1:3" ht="13.5" hidden="1" thickBot="1">
      <c r="B156" s="110">
        <f t="shared" si="0"/>
        <v>2031</v>
      </c>
      <c r="C156" s="135">
        <f>[10]С2.5!$P$11</f>
        <v>0</v>
      </c>
    </row>
    <row r="157" spans="1:3" ht="13.5" hidden="1" thickBot="1">
      <c r="B157" s="110">
        <f t="shared" si="0"/>
        <v>2032</v>
      </c>
      <c r="C157" s="135">
        <f>[10]С2.5!$Q$11</f>
        <v>0</v>
      </c>
    </row>
    <row r="158" spans="1:3" ht="13.5" hidden="1" thickBot="1">
      <c r="B158" s="110">
        <f t="shared" si="0"/>
        <v>2033</v>
      </c>
      <c r="C158" s="135">
        <f>[10]С2.5!$R$11</f>
        <v>0</v>
      </c>
    </row>
    <row r="159" spans="1:3" ht="13.5" hidden="1" thickBot="1">
      <c r="B159" s="110">
        <f t="shared" si="0"/>
        <v>2034</v>
      </c>
      <c r="C159" s="135">
        <f>[10]С2.5!$S$11</f>
        <v>0</v>
      </c>
    </row>
    <row r="160" spans="1:3" ht="13.5" hidden="1" thickBot="1">
      <c r="B160" s="110">
        <f t="shared" si="0"/>
        <v>2035</v>
      </c>
      <c r="C160" s="135">
        <f>[10]С2.5!$T$11</f>
        <v>0</v>
      </c>
    </row>
    <row r="161" spans="2:3" ht="13.5" hidden="1" thickBot="1">
      <c r="B161" s="110">
        <f t="shared" si="0"/>
        <v>2036</v>
      </c>
      <c r="C161" s="135">
        <f>[10]С2.5!$U$11</f>
        <v>0</v>
      </c>
    </row>
    <row r="162" spans="2:3" ht="13.5" hidden="1" thickBot="1">
      <c r="B162" s="110">
        <f t="shared" si="0"/>
        <v>2037</v>
      </c>
      <c r="C162" s="135">
        <f>[10]С2.5!$V$11</f>
        <v>0</v>
      </c>
    </row>
    <row r="163" spans="2:3" ht="13.5" hidden="1" thickBot="1">
      <c r="B163" s="110">
        <f t="shared" si="0"/>
        <v>2038</v>
      </c>
      <c r="C163" s="135">
        <f>[10]С2.5!$W$11</f>
        <v>0</v>
      </c>
    </row>
    <row r="164" spans="2:3" ht="13.5" hidden="1" thickBot="1">
      <c r="B164" s="110">
        <f t="shared" si="0"/>
        <v>2039</v>
      </c>
      <c r="C164" s="135">
        <f>[10]С2.5!$X$11</f>
        <v>0</v>
      </c>
    </row>
    <row r="165" spans="2:3" ht="13.5" hidden="1" thickBot="1">
      <c r="B165" s="110">
        <f t="shared" si="0"/>
        <v>2040</v>
      </c>
      <c r="C165" s="135">
        <f>[10]С2.5!$Y$11</f>
        <v>0</v>
      </c>
    </row>
    <row r="166" spans="2:3" ht="13.5" hidden="1" thickBot="1">
      <c r="B166" s="110">
        <f t="shared" si="0"/>
        <v>2041</v>
      </c>
      <c r="C166" s="135">
        <f>[10]С2.5!$Z$11</f>
        <v>0</v>
      </c>
    </row>
    <row r="167" spans="2:3" ht="13.5" hidden="1" thickBot="1">
      <c r="B167" s="110">
        <f t="shared" si="0"/>
        <v>2042</v>
      </c>
      <c r="C167" s="135">
        <f>[10]С2.5!$AA$11</f>
        <v>0</v>
      </c>
    </row>
    <row r="168" spans="2:3" ht="13.5" hidden="1" thickBot="1">
      <c r="B168" s="110">
        <f t="shared" si="0"/>
        <v>2043</v>
      </c>
      <c r="C168" s="135">
        <f>[10]С2.5!$AB$11</f>
        <v>0</v>
      </c>
    </row>
    <row r="169" spans="2:3" ht="13.5" hidden="1" thickBot="1">
      <c r="B169" s="110">
        <f t="shared" si="0"/>
        <v>2044</v>
      </c>
      <c r="C169" s="135">
        <f>[10]С2.5!$AC$11</f>
        <v>0</v>
      </c>
    </row>
    <row r="170" spans="2:3" ht="13.5" hidden="1" thickBot="1">
      <c r="B170" s="110">
        <f t="shared" si="0"/>
        <v>2045</v>
      </c>
      <c r="C170" s="135">
        <f>[10]С2.5!$AD$11</f>
        <v>0</v>
      </c>
    </row>
    <row r="171" spans="2:3" ht="13.5" hidden="1" thickBot="1">
      <c r="B171" s="110">
        <f t="shared" si="0"/>
        <v>2046</v>
      </c>
      <c r="C171" s="135">
        <f>[10]С2.5!$AE$11</f>
        <v>0</v>
      </c>
    </row>
    <row r="172" spans="2:3" ht="13.5" hidden="1" thickBot="1">
      <c r="B172" s="110">
        <f t="shared" si="0"/>
        <v>2047</v>
      </c>
      <c r="C172" s="135">
        <f>[10]С2.5!$AF$11</f>
        <v>0</v>
      </c>
    </row>
    <row r="173" spans="2:3" ht="13.5" hidden="1" thickBot="1">
      <c r="B173" s="110">
        <f t="shared" si="0"/>
        <v>2048</v>
      </c>
      <c r="C173" s="135">
        <f>[10]С2.5!$AG$11</f>
        <v>0</v>
      </c>
    </row>
    <row r="174" spans="2:3" ht="13.5" hidden="1" thickBot="1">
      <c r="B174" s="110">
        <f t="shared" si="0"/>
        <v>2049</v>
      </c>
      <c r="C174" s="135">
        <f>[10]С2.5!$AH$11</f>
        <v>0</v>
      </c>
    </row>
    <row r="175" spans="2:3" ht="13.5" hidden="1" thickBot="1">
      <c r="B175" s="110">
        <f t="shared" si="0"/>
        <v>2050</v>
      </c>
      <c r="C175" s="135">
        <f>[10]С2.5!$AI$11</f>
        <v>0</v>
      </c>
    </row>
    <row r="176" spans="2:3" ht="13.5" hidden="1" thickBot="1">
      <c r="B176" s="110">
        <f t="shared" si="0"/>
        <v>2051</v>
      </c>
      <c r="C176" s="135">
        <f>[10]С2.5!$AJ$11</f>
        <v>0</v>
      </c>
    </row>
    <row r="177" spans="2:3" ht="13.5" hidden="1" thickBot="1">
      <c r="B177" s="110">
        <f t="shared" si="0"/>
        <v>2052</v>
      </c>
      <c r="C177" s="135">
        <f>[10]С2.5!$AK$11</f>
        <v>0</v>
      </c>
    </row>
    <row r="178" spans="2:3" ht="13.5" hidden="1" thickBot="1">
      <c r="B178" s="110">
        <f t="shared" si="0"/>
        <v>2053</v>
      </c>
      <c r="C178" s="135">
        <f>[10]С2.5!$AL$11</f>
        <v>0</v>
      </c>
    </row>
    <row r="179" spans="2:3" ht="13.5" hidden="1" thickBot="1">
      <c r="B179" s="110">
        <f t="shared" si="0"/>
        <v>2054</v>
      </c>
      <c r="C179" s="135">
        <f>[10]С2.5!$AM$11</f>
        <v>0</v>
      </c>
    </row>
    <row r="180" spans="2:3" ht="13.5" hidden="1" thickBot="1">
      <c r="B180" s="110">
        <f t="shared" si="0"/>
        <v>2055</v>
      </c>
      <c r="C180" s="135">
        <f>[10]С2.5!$AN$11</f>
        <v>0</v>
      </c>
    </row>
    <row r="181" spans="2:3" ht="13.5" hidden="1" thickBot="1">
      <c r="B181" s="110">
        <f t="shared" si="0"/>
        <v>2056</v>
      </c>
      <c r="C181" s="135">
        <f>[10]С2.5!$AO$11</f>
        <v>0</v>
      </c>
    </row>
    <row r="182" spans="2:3" ht="13.5" hidden="1" thickBot="1">
      <c r="B182" s="110">
        <f t="shared" si="0"/>
        <v>2057</v>
      </c>
      <c r="C182" s="135">
        <f>[10]С2.5!$AP$11</f>
        <v>0</v>
      </c>
    </row>
    <row r="183" spans="2:3" ht="13.5" hidden="1" thickBot="1">
      <c r="B183" s="110">
        <f t="shared" si="0"/>
        <v>2058</v>
      </c>
      <c r="C183" s="135">
        <f>[10]С2.5!$AQ$11</f>
        <v>0</v>
      </c>
    </row>
    <row r="184" spans="2:3" ht="13.5" hidden="1" thickBot="1">
      <c r="B184" s="110">
        <f t="shared" si="0"/>
        <v>2059</v>
      </c>
      <c r="C184" s="135">
        <f>[10]С2.5!$AR$11</f>
        <v>0</v>
      </c>
    </row>
    <row r="185" spans="2:3" ht="13.5" hidden="1" thickBot="1">
      <c r="B185" s="110">
        <f t="shared" si="0"/>
        <v>2060</v>
      </c>
      <c r="C185" s="135">
        <f>[10]С2.5!$AS$11</f>
        <v>0</v>
      </c>
    </row>
    <row r="186" spans="2:3" ht="13.5" hidden="1" thickBot="1">
      <c r="B186" s="110">
        <f t="shared" si="0"/>
        <v>2061</v>
      </c>
      <c r="C186" s="135">
        <f>[10]С2.5!$AT$11</f>
        <v>0</v>
      </c>
    </row>
    <row r="187" spans="2:3" ht="13.5" hidden="1" thickBot="1">
      <c r="B187" s="110">
        <f t="shared" si="0"/>
        <v>2062</v>
      </c>
      <c r="C187" s="135">
        <f>[10]С2.5!$AU$11</f>
        <v>0</v>
      </c>
    </row>
    <row r="188" spans="2:3" ht="13.5" hidden="1" thickBot="1">
      <c r="B188" s="110">
        <f t="shared" si="0"/>
        <v>2063</v>
      </c>
      <c r="C188" s="135">
        <f>[10]С2.5!$AV$11</f>
        <v>0</v>
      </c>
    </row>
    <row r="189" spans="2:3" ht="13.5" hidden="1" thickBot="1">
      <c r="B189" s="110">
        <f t="shared" si="0"/>
        <v>2064</v>
      </c>
      <c r="C189" s="135">
        <f>[10]С2.5!$AW$11</f>
        <v>0</v>
      </c>
    </row>
    <row r="190" spans="2:3" ht="13.5" hidden="1" thickBot="1">
      <c r="B190" s="110">
        <f t="shared" si="0"/>
        <v>2065</v>
      </c>
      <c r="C190" s="135">
        <f>[10]С2.5!$AX$11</f>
        <v>0</v>
      </c>
    </row>
    <row r="191" spans="2:3" ht="13.5" hidden="1" thickBot="1">
      <c r="B191" s="110">
        <f t="shared" si="0"/>
        <v>2066</v>
      </c>
      <c r="C191" s="135">
        <f>[10]С2.5!$AY$11</f>
        <v>0</v>
      </c>
    </row>
    <row r="192" spans="2:3" ht="13.5" hidden="1" thickBot="1">
      <c r="B192" s="110">
        <f t="shared" si="0"/>
        <v>2067</v>
      </c>
      <c r="C192" s="135">
        <f>[10]С2.5!$AZ$11</f>
        <v>0</v>
      </c>
    </row>
    <row r="193" spans="2:3" ht="13.5" hidden="1" thickBot="1">
      <c r="B193" s="110">
        <f t="shared" si="0"/>
        <v>2068</v>
      </c>
      <c r="C193" s="135">
        <f>[10]С2.5!$BA$11</f>
        <v>0</v>
      </c>
    </row>
    <row r="194" spans="2:3" ht="13.5" hidden="1" thickBot="1">
      <c r="B194" s="110">
        <f t="shared" si="0"/>
        <v>2069</v>
      </c>
      <c r="C194" s="135">
        <f>[10]С2.5!$BB$11</f>
        <v>0</v>
      </c>
    </row>
    <row r="195" spans="2:3" ht="13.5" hidden="1" thickBot="1">
      <c r="B195" s="110">
        <f t="shared" si="0"/>
        <v>2070</v>
      </c>
      <c r="C195" s="135">
        <f>[10]С2.5!$BC$11</f>
        <v>0</v>
      </c>
    </row>
    <row r="196" spans="2:3" ht="13.5" hidden="1" thickBot="1">
      <c r="B196" s="110">
        <f t="shared" si="0"/>
        <v>2071</v>
      </c>
      <c r="C196" s="135">
        <f>[10]С2.5!$BD$11</f>
        <v>0</v>
      </c>
    </row>
    <row r="197" spans="2:3" ht="13.5" hidden="1" thickBot="1">
      <c r="B197" s="110">
        <f t="shared" si="0"/>
        <v>2072</v>
      </c>
      <c r="C197" s="135">
        <f>[10]С2.5!$BE$11</f>
        <v>0</v>
      </c>
    </row>
    <row r="198" spans="2:3" ht="13.5" hidden="1" thickBot="1">
      <c r="B198" s="110">
        <f t="shared" si="0"/>
        <v>2073</v>
      </c>
      <c r="C198" s="135">
        <f>[10]С2.5!$BF$11</f>
        <v>0</v>
      </c>
    </row>
    <row r="199" spans="2:3" ht="13.5" hidden="1" thickBot="1">
      <c r="B199" s="110">
        <f t="shared" si="0"/>
        <v>2074</v>
      </c>
      <c r="C199" s="135">
        <f>[10]С2.5!$BG$11</f>
        <v>0</v>
      </c>
    </row>
    <row r="200" spans="2:3" ht="13.5" hidden="1" thickBot="1">
      <c r="B200" s="110">
        <f t="shared" si="0"/>
        <v>2075</v>
      </c>
      <c r="C200" s="135">
        <f>[10]С2.5!$BH$11</f>
        <v>0</v>
      </c>
    </row>
    <row r="201" spans="2:3" ht="13.5" hidden="1" thickBot="1">
      <c r="B201" s="110">
        <f t="shared" si="0"/>
        <v>2076</v>
      </c>
      <c r="C201" s="135">
        <f>[10]С2.5!$BI$11</f>
        <v>0</v>
      </c>
    </row>
    <row r="202" spans="2:3" ht="13.5" hidden="1" thickBot="1">
      <c r="B202" s="110">
        <f t="shared" si="0"/>
        <v>2077</v>
      </c>
      <c r="C202" s="135">
        <f>[10]С2.5!$BJ$11</f>
        <v>0</v>
      </c>
    </row>
    <row r="203" spans="2:3" ht="13.5" hidden="1" thickBot="1">
      <c r="B203" s="110">
        <f t="shared" si="0"/>
        <v>2078</v>
      </c>
      <c r="C203" s="135">
        <f>[10]С2.5!$BK$11</f>
        <v>0</v>
      </c>
    </row>
    <row r="204" spans="2:3" ht="13.5" hidden="1" thickBot="1">
      <c r="B204" s="110">
        <f t="shared" si="0"/>
        <v>2079</v>
      </c>
      <c r="C204" s="135">
        <f>[10]С2.5!$BL$11</f>
        <v>0</v>
      </c>
    </row>
    <row r="205" spans="2:3" ht="13.5" hidden="1" thickBot="1">
      <c r="B205" s="110">
        <f t="shared" si="0"/>
        <v>2080</v>
      </c>
      <c r="C205" s="135">
        <f>[10]С2.5!$BM$11</f>
        <v>0</v>
      </c>
    </row>
    <row r="206" spans="2:3" ht="13.5" hidden="1" thickBot="1">
      <c r="B206" s="110">
        <f t="shared" si="0"/>
        <v>2081</v>
      </c>
      <c r="C206" s="135">
        <f>[10]С2.5!$BN$11</f>
        <v>0</v>
      </c>
    </row>
    <row r="207" spans="2:3" ht="13.5" hidden="1" thickBot="1">
      <c r="B207" s="110">
        <f t="shared" si="0"/>
        <v>2082</v>
      </c>
      <c r="C207" s="135">
        <f>[10]С2.5!$BO$11</f>
        <v>0</v>
      </c>
    </row>
    <row r="208" spans="2:3" ht="13.5" hidden="1" thickBot="1">
      <c r="B208" s="110">
        <f t="shared" si="0"/>
        <v>2083</v>
      </c>
      <c r="C208" s="135">
        <f>[10]С2.5!$BP$11</f>
        <v>0</v>
      </c>
    </row>
    <row r="209" spans="2:3" ht="13.5" hidden="1" thickBot="1">
      <c r="B209" s="110">
        <f t="shared" si="0"/>
        <v>2084</v>
      </c>
      <c r="C209" s="135">
        <f>[10]С2.5!$BQ$11</f>
        <v>0</v>
      </c>
    </row>
    <row r="210" spans="2:3" ht="13.5" hidden="1" thickBot="1">
      <c r="B210" s="110">
        <f t="shared" si="0"/>
        <v>2085</v>
      </c>
      <c r="C210" s="135">
        <f>[10]С2.5!$BR$11</f>
        <v>0</v>
      </c>
    </row>
    <row r="211" spans="2:3" ht="13.5" hidden="1" thickBot="1">
      <c r="B211" s="110">
        <f t="shared" ref="B211:B224" si="1">B210+1</f>
        <v>2086</v>
      </c>
      <c r="C211" s="135">
        <f>[10]С2.5!$BS$11</f>
        <v>0</v>
      </c>
    </row>
    <row r="212" spans="2:3" ht="13.5" hidden="1" thickBot="1">
      <c r="B212" s="110">
        <f t="shared" si="1"/>
        <v>2087</v>
      </c>
      <c r="C212" s="135">
        <f>[10]С2.5!$BT$11</f>
        <v>0</v>
      </c>
    </row>
    <row r="213" spans="2:3" ht="13.5" hidden="1" thickBot="1">
      <c r="B213" s="110">
        <f t="shared" si="1"/>
        <v>2088</v>
      </c>
      <c r="C213" s="135">
        <f>[10]С2.5!$BU$11</f>
        <v>0</v>
      </c>
    </row>
    <row r="214" spans="2:3" ht="13.5" hidden="1" thickBot="1">
      <c r="B214" s="110">
        <f t="shared" si="1"/>
        <v>2089</v>
      </c>
      <c r="C214" s="135">
        <f>[10]С2.5!$BV$11</f>
        <v>0</v>
      </c>
    </row>
    <row r="215" spans="2:3" ht="13.5" hidden="1" thickBot="1">
      <c r="B215" s="110">
        <f t="shared" si="1"/>
        <v>2090</v>
      </c>
      <c r="C215" s="135">
        <f>[10]С2.5!$BW$11</f>
        <v>0</v>
      </c>
    </row>
    <row r="216" spans="2:3" ht="13.5" hidden="1" thickBot="1">
      <c r="B216" s="110">
        <f t="shared" si="1"/>
        <v>2091</v>
      </c>
      <c r="C216" s="135">
        <f>[10]С2.5!$BX$11</f>
        <v>0</v>
      </c>
    </row>
    <row r="217" spans="2:3" ht="13.5" hidden="1" thickBot="1">
      <c r="B217" s="110">
        <f t="shared" si="1"/>
        <v>2092</v>
      </c>
      <c r="C217" s="135">
        <f>[10]С2.5!$BY$11</f>
        <v>0</v>
      </c>
    </row>
    <row r="218" spans="2:3" ht="13.5" hidden="1" thickBot="1">
      <c r="B218" s="110">
        <f t="shared" si="1"/>
        <v>2093</v>
      </c>
      <c r="C218" s="135">
        <f>[10]С2.5!$BZ$11</f>
        <v>0</v>
      </c>
    </row>
    <row r="219" spans="2:3" ht="13.5" hidden="1" thickBot="1">
      <c r="B219" s="110">
        <f t="shared" si="1"/>
        <v>2094</v>
      </c>
      <c r="C219" s="135">
        <f>[10]С2.5!$CA$11</f>
        <v>0</v>
      </c>
    </row>
    <row r="220" spans="2:3" ht="13.5" hidden="1" thickBot="1">
      <c r="B220" s="110">
        <f t="shared" si="1"/>
        <v>2095</v>
      </c>
      <c r="C220" s="135">
        <f>[10]С2.5!$CB$11</f>
        <v>0</v>
      </c>
    </row>
    <row r="221" spans="2:3" ht="13.5" hidden="1" thickBot="1">
      <c r="B221" s="110">
        <f t="shared" si="1"/>
        <v>2096</v>
      </c>
      <c r="C221" s="135">
        <f>[10]С2.5!$CC$11</f>
        <v>0</v>
      </c>
    </row>
    <row r="222" spans="2:3" ht="13.5" hidden="1" thickBot="1">
      <c r="B222" s="110">
        <f t="shared" si="1"/>
        <v>2097</v>
      </c>
      <c r="C222" s="135">
        <f>[10]С2.5!$CD$11</f>
        <v>0</v>
      </c>
    </row>
    <row r="223" spans="2:3" ht="13.5" hidden="1" thickBot="1">
      <c r="B223" s="110">
        <f t="shared" si="1"/>
        <v>2098</v>
      </c>
      <c r="C223" s="135">
        <f>[10]С2.5!$CE$11</f>
        <v>0</v>
      </c>
    </row>
    <row r="224" spans="2:3" ht="13.5" hidden="1" thickBot="1">
      <c r="B224" s="110">
        <f t="shared" si="1"/>
        <v>2099</v>
      </c>
      <c r="C224" s="135">
        <f>[10]С2.5!$CF$11</f>
        <v>0</v>
      </c>
    </row>
    <row r="225" spans="2:3" ht="13.5" hidden="1" thickBot="1">
      <c r="B225" s="112">
        <f>B162+1</f>
        <v>2038</v>
      </c>
      <c r="C225" s="136" t="e">
        <f>[10]С2.5!#REF!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0" width="9.140625" style="2"/>
    <col min="241" max="241" width="3.5703125" style="2" customWidth="1"/>
    <col min="242" max="242" width="96.85546875" style="2" customWidth="1"/>
    <col min="243" max="243" width="30.85546875" style="2" customWidth="1"/>
    <col min="244" max="244" width="12.5703125" style="2" customWidth="1"/>
    <col min="245" max="245" width="5.140625" style="2" customWidth="1"/>
    <col min="246" max="246" width="9.140625" style="2"/>
    <col min="247" max="247" width="4.85546875" style="2" customWidth="1"/>
    <col min="248" max="248" width="30.5703125" style="2" customWidth="1"/>
    <col min="249" max="249" width="33.85546875" style="2" customWidth="1"/>
    <col min="250" max="250" width="5.140625" style="2" customWidth="1"/>
    <col min="251" max="252" width="17.5703125" style="2" customWidth="1"/>
    <col min="253" max="496" width="9.140625" style="2"/>
    <col min="497" max="497" width="3.5703125" style="2" customWidth="1"/>
    <col min="498" max="498" width="96.85546875" style="2" customWidth="1"/>
    <col min="499" max="499" width="30.85546875" style="2" customWidth="1"/>
    <col min="500" max="500" width="12.5703125" style="2" customWidth="1"/>
    <col min="501" max="501" width="5.140625" style="2" customWidth="1"/>
    <col min="502" max="502" width="9.140625" style="2"/>
    <col min="503" max="503" width="4.85546875" style="2" customWidth="1"/>
    <col min="504" max="504" width="30.5703125" style="2" customWidth="1"/>
    <col min="505" max="505" width="33.85546875" style="2" customWidth="1"/>
    <col min="506" max="506" width="5.140625" style="2" customWidth="1"/>
    <col min="507" max="508" width="17.5703125" style="2" customWidth="1"/>
    <col min="509" max="752" width="9.140625" style="2"/>
    <col min="753" max="753" width="3.5703125" style="2" customWidth="1"/>
    <col min="754" max="754" width="96.85546875" style="2" customWidth="1"/>
    <col min="755" max="755" width="30.85546875" style="2" customWidth="1"/>
    <col min="756" max="756" width="12.5703125" style="2" customWidth="1"/>
    <col min="757" max="757" width="5.140625" style="2" customWidth="1"/>
    <col min="758" max="758" width="9.140625" style="2"/>
    <col min="759" max="759" width="4.85546875" style="2" customWidth="1"/>
    <col min="760" max="760" width="30.5703125" style="2" customWidth="1"/>
    <col min="761" max="761" width="33.85546875" style="2" customWidth="1"/>
    <col min="762" max="762" width="5.140625" style="2" customWidth="1"/>
    <col min="763" max="764" width="17.5703125" style="2" customWidth="1"/>
    <col min="765" max="1008" width="9.140625" style="2"/>
    <col min="1009" max="1009" width="3.5703125" style="2" customWidth="1"/>
    <col min="1010" max="1010" width="96.85546875" style="2" customWidth="1"/>
    <col min="1011" max="1011" width="30.85546875" style="2" customWidth="1"/>
    <col min="1012" max="1012" width="12.5703125" style="2" customWidth="1"/>
    <col min="1013" max="1013" width="5.140625" style="2" customWidth="1"/>
    <col min="1014" max="1014" width="9.140625" style="2"/>
    <col min="1015" max="1015" width="4.85546875" style="2" customWidth="1"/>
    <col min="1016" max="1016" width="30.5703125" style="2" customWidth="1"/>
    <col min="1017" max="1017" width="33.85546875" style="2" customWidth="1"/>
    <col min="1018" max="1018" width="5.140625" style="2" customWidth="1"/>
    <col min="1019" max="1020" width="17.5703125" style="2" customWidth="1"/>
    <col min="1021" max="1264" width="9.140625" style="2"/>
    <col min="1265" max="1265" width="3.5703125" style="2" customWidth="1"/>
    <col min="1266" max="1266" width="96.85546875" style="2" customWidth="1"/>
    <col min="1267" max="1267" width="30.85546875" style="2" customWidth="1"/>
    <col min="1268" max="1268" width="12.5703125" style="2" customWidth="1"/>
    <col min="1269" max="1269" width="5.140625" style="2" customWidth="1"/>
    <col min="1270" max="1270" width="9.140625" style="2"/>
    <col min="1271" max="1271" width="4.85546875" style="2" customWidth="1"/>
    <col min="1272" max="1272" width="30.5703125" style="2" customWidth="1"/>
    <col min="1273" max="1273" width="33.85546875" style="2" customWidth="1"/>
    <col min="1274" max="1274" width="5.140625" style="2" customWidth="1"/>
    <col min="1275" max="1276" width="17.5703125" style="2" customWidth="1"/>
    <col min="1277" max="1520" width="9.140625" style="2"/>
    <col min="1521" max="1521" width="3.5703125" style="2" customWidth="1"/>
    <col min="1522" max="1522" width="96.85546875" style="2" customWidth="1"/>
    <col min="1523" max="1523" width="30.85546875" style="2" customWidth="1"/>
    <col min="1524" max="1524" width="12.5703125" style="2" customWidth="1"/>
    <col min="1525" max="1525" width="5.140625" style="2" customWidth="1"/>
    <col min="1526" max="1526" width="9.140625" style="2"/>
    <col min="1527" max="1527" width="4.85546875" style="2" customWidth="1"/>
    <col min="1528" max="1528" width="30.5703125" style="2" customWidth="1"/>
    <col min="1529" max="1529" width="33.85546875" style="2" customWidth="1"/>
    <col min="1530" max="1530" width="5.140625" style="2" customWidth="1"/>
    <col min="1531" max="1532" width="17.5703125" style="2" customWidth="1"/>
    <col min="1533" max="1776" width="9.140625" style="2"/>
    <col min="1777" max="1777" width="3.5703125" style="2" customWidth="1"/>
    <col min="1778" max="1778" width="96.85546875" style="2" customWidth="1"/>
    <col min="1779" max="1779" width="30.85546875" style="2" customWidth="1"/>
    <col min="1780" max="1780" width="12.5703125" style="2" customWidth="1"/>
    <col min="1781" max="1781" width="5.140625" style="2" customWidth="1"/>
    <col min="1782" max="1782" width="9.140625" style="2"/>
    <col min="1783" max="1783" width="4.85546875" style="2" customWidth="1"/>
    <col min="1784" max="1784" width="30.5703125" style="2" customWidth="1"/>
    <col min="1785" max="1785" width="33.85546875" style="2" customWidth="1"/>
    <col min="1786" max="1786" width="5.140625" style="2" customWidth="1"/>
    <col min="1787" max="1788" width="17.5703125" style="2" customWidth="1"/>
    <col min="1789" max="2032" width="9.140625" style="2"/>
    <col min="2033" max="2033" width="3.5703125" style="2" customWidth="1"/>
    <col min="2034" max="2034" width="96.85546875" style="2" customWidth="1"/>
    <col min="2035" max="2035" width="30.85546875" style="2" customWidth="1"/>
    <col min="2036" max="2036" width="12.5703125" style="2" customWidth="1"/>
    <col min="2037" max="2037" width="5.140625" style="2" customWidth="1"/>
    <col min="2038" max="2038" width="9.140625" style="2"/>
    <col min="2039" max="2039" width="4.85546875" style="2" customWidth="1"/>
    <col min="2040" max="2040" width="30.5703125" style="2" customWidth="1"/>
    <col min="2041" max="2041" width="33.85546875" style="2" customWidth="1"/>
    <col min="2042" max="2042" width="5.140625" style="2" customWidth="1"/>
    <col min="2043" max="2044" width="17.5703125" style="2" customWidth="1"/>
    <col min="2045" max="2288" width="9.140625" style="2"/>
    <col min="2289" max="2289" width="3.5703125" style="2" customWidth="1"/>
    <col min="2290" max="2290" width="96.85546875" style="2" customWidth="1"/>
    <col min="2291" max="2291" width="30.85546875" style="2" customWidth="1"/>
    <col min="2292" max="2292" width="12.5703125" style="2" customWidth="1"/>
    <col min="2293" max="2293" width="5.140625" style="2" customWidth="1"/>
    <col min="2294" max="2294" width="9.140625" style="2"/>
    <col min="2295" max="2295" width="4.85546875" style="2" customWidth="1"/>
    <col min="2296" max="2296" width="30.5703125" style="2" customWidth="1"/>
    <col min="2297" max="2297" width="33.85546875" style="2" customWidth="1"/>
    <col min="2298" max="2298" width="5.140625" style="2" customWidth="1"/>
    <col min="2299" max="2300" width="17.5703125" style="2" customWidth="1"/>
    <col min="2301" max="2544" width="9.140625" style="2"/>
    <col min="2545" max="2545" width="3.5703125" style="2" customWidth="1"/>
    <col min="2546" max="2546" width="96.85546875" style="2" customWidth="1"/>
    <col min="2547" max="2547" width="30.85546875" style="2" customWidth="1"/>
    <col min="2548" max="2548" width="12.5703125" style="2" customWidth="1"/>
    <col min="2549" max="2549" width="5.140625" style="2" customWidth="1"/>
    <col min="2550" max="2550" width="9.140625" style="2"/>
    <col min="2551" max="2551" width="4.85546875" style="2" customWidth="1"/>
    <col min="2552" max="2552" width="30.5703125" style="2" customWidth="1"/>
    <col min="2553" max="2553" width="33.85546875" style="2" customWidth="1"/>
    <col min="2554" max="2554" width="5.140625" style="2" customWidth="1"/>
    <col min="2555" max="2556" width="17.5703125" style="2" customWidth="1"/>
    <col min="2557" max="2800" width="9.140625" style="2"/>
    <col min="2801" max="2801" width="3.5703125" style="2" customWidth="1"/>
    <col min="2802" max="2802" width="96.85546875" style="2" customWidth="1"/>
    <col min="2803" max="2803" width="30.85546875" style="2" customWidth="1"/>
    <col min="2804" max="2804" width="12.5703125" style="2" customWidth="1"/>
    <col min="2805" max="2805" width="5.140625" style="2" customWidth="1"/>
    <col min="2806" max="2806" width="9.140625" style="2"/>
    <col min="2807" max="2807" width="4.85546875" style="2" customWidth="1"/>
    <col min="2808" max="2808" width="30.5703125" style="2" customWidth="1"/>
    <col min="2809" max="2809" width="33.85546875" style="2" customWidth="1"/>
    <col min="2810" max="2810" width="5.140625" style="2" customWidth="1"/>
    <col min="2811" max="2812" width="17.5703125" style="2" customWidth="1"/>
    <col min="2813" max="3056" width="9.140625" style="2"/>
    <col min="3057" max="3057" width="3.5703125" style="2" customWidth="1"/>
    <col min="3058" max="3058" width="96.85546875" style="2" customWidth="1"/>
    <col min="3059" max="3059" width="30.85546875" style="2" customWidth="1"/>
    <col min="3060" max="3060" width="12.5703125" style="2" customWidth="1"/>
    <col min="3061" max="3061" width="5.140625" style="2" customWidth="1"/>
    <col min="3062" max="3062" width="9.140625" style="2"/>
    <col min="3063" max="3063" width="4.85546875" style="2" customWidth="1"/>
    <col min="3064" max="3064" width="30.5703125" style="2" customWidth="1"/>
    <col min="3065" max="3065" width="33.85546875" style="2" customWidth="1"/>
    <col min="3066" max="3066" width="5.140625" style="2" customWidth="1"/>
    <col min="3067" max="3068" width="17.5703125" style="2" customWidth="1"/>
    <col min="3069" max="3312" width="9.140625" style="2"/>
    <col min="3313" max="3313" width="3.5703125" style="2" customWidth="1"/>
    <col min="3314" max="3314" width="96.85546875" style="2" customWidth="1"/>
    <col min="3315" max="3315" width="30.85546875" style="2" customWidth="1"/>
    <col min="3316" max="3316" width="12.5703125" style="2" customWidth="1"/>
    <col min="3317" max="3317" width="5.140625" style="2" customWidth="1"/>
    <col min="3318" max="3318" width="9.140625" style="2"/>
    <col min="3319" max="3319" width="4.85546875" style="2" customWidth="1"/>
    <col min="3320" max="3320" width="30.5703125" style="2" customWidth="1"/>
    <col min="3321" max="3321" width="33.85546875" style="2" customWidth="1"/>
    <col min="3322" max="3322" width="5.140625" style="2" customWidth="1"/>
    <col min="3323" max="3324" width="17.5703125" style="2" customWidth="1"/>
    <col min="3325" max="3568" width="9.140625" style="2"/>
    <col min="3569" max="3569" width="3.5703125" style="2" customWidth="1"/>
    <col min="3570" max="3570" width="96.85546875" style="2" customWidth="1"/>
    <col min="3571" max="3571" width="30.85546875" style="2" customWidth="1"/>
    <col min="3572" max="3572" width="12.5703125" style="2" customWidth="1"/>
    <col min="3573" max="3573" width="5.140625" style="2" customWidth="1"/>
    <col min="3574" max="3574" width="9.140625" style="2"/>
    <col min="3575" max="3575" width="4.85546875" style="2" customWidth="1"/>
    <col min="3576" max="3576" width="30.5703125" style="2" customWidth="1"/>
    <col min="3577" max="3577" width="33.85546875" style="2" customWidth="1"/>
    <col min="3578" max="3578" width="5.140625" style="2" customWidth="1"/>
    <col min="3579" max="3580" width="17.5703125" style="2" customWidth="1"/>
    <col min="3581" max="3824" width="9.140625" style="2"/>
    <col min="3825" max="3825" width="3.5703125" style="2" customWidth="1"/>
    <col min="3826" max="3826" width="96.85546875" style="2" customWidth="1"/>
    <col min="3827" max="3827" width="30.85546875" style="2" customWidth="1"/>
    <col min="3828" max="3828" width="12.5703125" style="2" customWidth="1"/>
    <col min="3829" max="3829" width="5.140625" style="2" customWidth="1"/>
    <col min="3830" max="3830" width="9.140625" style="2"/>
    <col min="3831" max="3831" width="4.85546875" style="2" customWidth="1"/>
    <col min="3832" max="3832" width="30.5703125" style="2" customWidth="1"/>
    <col min="3833" max="3833" width="33.85546875" style="2" customWidth="1"/>
    <col min="3834" max="3834" width="5.140625" style="2" customWidth="1"/>
    <col min="3835" max="3836" width="17.5703125" style="2" customWidth="1"/>
    <col min="3837" max="4080" width="9.140625" style="2"/>
    <col min="4081" max="4081" width="3.5703125" style="2" customWidth="1"/>
    <col min="4082" max="4082" width="96.85546875" style="2" customWidth="1"/>
    <col min="4083" max="4083" width="30.85546875" style="2" customWidth="1"/>
    <col min="4084" max="4084" width="12.5703125" style="2" customWidth="1"/>
    <col min="4085" max="4085" width="5.140625" style="2" customWidth="1"/>
    <col min="4086" max="4086" width="9.140625" style="2"/>
    <col min="4087" max="4087" width="4.85546875" style="2" customWidth="1"/>
    <col min="4088" max="4088" width="30.5703125" style="2" customWidth="1"/>
    <col min="4089" max="4089" width="33.85546875" style="2" customWidth="1"/>
    <col min="4090" max="4090" width="5.140625" style="2" customWidth="1"/>
    <col min="4091" max="4092" width="17.5703125" style="2" customWidth="1"/>
    <col min="4093" max="4336" width="9.140625" style="2"/>
    <col min="4337" max="4337" width="3.5703125" style="2" customWidth="1"/>
    <col min="4338" max="4338" width="96.85546875" style="2" customWidth="1"/>
    <col min="4339" max="4339" width="30.85546875" style="2" customWidth="1"/>
    <col min="4340" max="4340" width="12.5703125" style="2" customWidth="1"/>
    <col min="4341" max="4341" width="5.140625" style="2" customWidth="1"/>
    <col min="4342" max="4342" width="9.140625" style="2"/>
    <col min="4343" max="4343" width="4.85546875" style="2" customWidth="1"/>
    <col min="4344" max="4344" width="30.5703125" style="2" customWidth="1"/>
    <col min="4345" max="4345" width="33.85546875" style="2" customWidth="1"/>
    <col min="4346" max="4346" width="5.140625" style="2" customWidth="1"/>
    <col min="4347" max="4348" width="17.5703125" style="2" customWidth="1"/>
    <col min="4349" max="4592" width="9.140625" style="2"/>
    <col min="4593" max="4593" width="3.5703125" style="2" customWidth="1"/>
    <col min="4594" max="4594" width="96.85546875" style="2" customWidth="1"/>
    <col min="4595" max="4595" width="30.85546875" style="2" customWidth="1"/>
    <col min="4596" max="4596" width="12.5703125" style="2" customWidth="1"/>
    <col min="4597" max="4597" width="5.140625" style="2" customWidth="1"/>
    <col min="4598" max="4598" width="9.140625" style="2"/>
    <col min="4599" max="4599" width="4.85546875" style="2" customWidth="1"/>
    <col min="4600" max="4600" width="30.5703125" style="2" customWidth="1"/>
    <col min="4601" max="4601" width="33.85546875" style="2" customWidth="1"/>
    <col min="4602" max="4602" width="5.140625" style="2" customWidth="1"/>
    <col min="4603" max="4604" width="17.5703125" style="2" customWidth="1"/>
    <col min="4605" max="4848" width="9.140625" style="2"/>
    <col min="4849" max="4849" width="3.5703125" style="2" customWidth="1"/>
    <col min="4850" max="4850" width="96.85546875" style="2" customWidth="1"/>
    <col min="4851" max="4851" width="30.85546875" style="2" customWidth="1"/>
    <col min="4852" max="4852" width="12.5703125" style="2" customWidth="1"/>
    <col min="4853" max="4853" width="5.140625" style="2" customWidth="1"/>
    <col min="4854" max="4854" width="9.140625" style="2"/>
    <col min="4855" max="4855" width="4.85546875" style="2" customWidth="1"/>
    <col min="4856" max="4856" width="30.5703125" style="2" customWidth="1"/>
    <col min="4857" max="4857" width="33.85546875" style="2" customWidth="1"/>
    <col min="4858" max="4858" width="5.140625" style="2" customWidth="1"/>
    <col min="4859" max="4860" width="17.5703125" style="2" customWidth="1"/>
    <col min="4861" max="5104" width="9.140625" style="2"/>
    <col min="5105" max="5105" width="3.5703125" style="2" customWidth="1"/>
    <col min="5106" max="5106" width="96.85546875" style="2" customWidth="1"/>
    <col min="5107" max="5107" width="30.85546875" style="2" customWidth="1"/>
    <col min="5108" max="5108" width="12.5703125" style="2" customWidth="1"/>
    <col min="5109" max="5109" width="5.140625" style="2" customWidth="1"/>
    <col min="5110" max="5110" width="9.140625" style="2"/>
    <col min="5111" max="5111" width="4.85546875" style="2" customWidth="1"/>
    <col min="5112" max="5112" width="30.5703125" style="2" customWidth="1"/>
    <col min="5113" max="5113" width="33.85546875" style="2" customWidth="1"/>
    <col min="5114" max="5114" width="5.140625" style="2" customWidth="1"/>
    <col min="5115" max="5116" width="17.5703125" style="2" customWidth="1"/>
    <col min="5117" max="5360" width="9.140625" style="2"/>
    <col min="5361" max="5361" width="3.5703125" style="2" customWidth="1"/>
    <col min="5362" max="5362" width="96.85546875" style="2" customWidth="1"/>
    <col min="5363" max="5363" width="30.85546875" style="2" customWidth="1"/>
    <col min="5364" max="5364" width="12.5703125" style="2" customWidth="1"/>
    <col min="5365" max="5365" width="5.140625" style="2" customWidth="1"/>
    <col min="5366" max="5366" width="9.140625" style="2"/>
    <col min="5367" max="5367" width="4.85546875" style="2" customWidth="1"/>
    <col min="5368" max="5368" width="30.5703125" style="2" customWidth="1"/>
    <col min="5369" max="5369" width="33.85546875" style="2" customWidth="1"/>
    <col min="5370" max="5370" width="5.140625" style="2" customWidth="1"/>
    <col min="5371" max="5372" width="17.5703125" style="2" customWidth="1"/>
    <col min="5373" max="5616" width="9.140625" style="2"/>
    <col min="5617" max="5617" width="3.5703125" style="2" customWidth="1"/>
    <col min="5618" max="5618" width="96.85546875" style="2" customWidth="1"/>
    <col min="5619" max="5619" width="30.85546875" style="2" customWidth="1"/>
    <col min="5620" max="5620" width="12.5703125" style="2" customWidth="1"/>
    <col min="5621" max="5621" width="5.140625" style="2" customWidth="1"/>
    <col min="5622" max="5622" width="9.140625" style="2"/>
    <col min="5623" max="5623" width="4.85546875" style="2" customWidth="1"/>
    <col min="5624" max="5624" width="30.5703125" style="2" customWidth="1"/>
    <col min="5625" max="5625" width="33.85546875" style="2" customWidth="1"/>
    <col min="5626" max="5626" width="5.140625" style="2" customWidth="1"/>
    <col min="5627" max="5628" width="17.5703125" style="2" customWidth="1"/>
    <col min="5629" max="5872" width="9.140625" style="2"/>
    <col min="5873" max="5873" width="3.5703125" style="2" customWidth="1"/>
    <col min="5874" max="5874" width="96.85546875" style="2" customWidth="1"/>
    <col min="5875" max="5875" width="30.85546875" style="2" customWidth="1"/>
    <col min="5876" max="5876" width="12.5703125" style="2" customWidth="1"/>
    <col min="5877" max="5877" width="5.140625" style="2" customWidth="1"/>
    <col min="5878" max="5878" width="9.140625" style="2"/>
    <col min="5879" max="5879" width="4.85546875" style="2" customWidth="1"/>
    <col min="5880" max="5880" width="30.5703125" style="2" customWidth="1"/>
    <col min="5881" max="5881" width="33.85546875" style="2" customWidth="1"/>
    <col min="5882" max="5882" width="5.140625" style="2" customWidth="1"/>
    <col min="5883" max="5884" width="17.5703125" style="2" customWidth="1"/>
    <col min="5885" max="6128" width="9.140625" style="2"/>
    <col min="6129" max="6129" width="3.5703125" style="2" customWidth="1"/>
    <col min="6130" max="6130" width="96.85546875" style="2" customWidth="1"/>
    <col min="6131" max="6131" width="30.85546875" style="2" customWidth="1"/>
    <col min="6132" max="6132" width="12.5703125" style="2" customWidth="1"/>
    <col min="6133" max="6133" width="5.140625" style="2" customWidth="1"/>
    <col min="6134" max="6134" width="9.140625" style="2"/>
    <col min="6135" max="6135" width="4.85546875" style="2" customWidth="1"/>
    <col min="6136" max="6136" width="30.5703125" style="2" customWidth="1"/>
    <col min="6137" max="6137" width="33.85546875" style="2" customWidth="1"/>
    <col min="6138" max="6138" width="5.140625" style="2" customWidth="1"/>
    <col min="6139" max="6140" width="17.5703125" style="2" customWidth="1"/>
    <col min="6141" max="6384" width="9.140625" style="2"/>
    <col min="6385" max="6385" width="3.5703125" style="2" customWidth="1"/>
    <col min="6386" max="6386" width="96.85546875" style="2" customWidth="1"/>
    <col min="6387" max="6387" width="30.85546875" style="2" customWidth="1"/>
    <col min="6388" max="6388" width="12.5703125" style="2" customWidth="1"/>
    <col min="6389" max="6389" width="5.140625" style="2" customWidth="1"/>
    <col min="6390" max="6390" width="9.140625" style="2"/>
    <col min="6391" max="6391" width="4.85546875" style="2" customWidth="1"/>
    <col min="6392" max="6392" width="30.5703125" style="2" customWidth="1"/>
    <col min="6393" max="6393" width="33.85546875" style="2" customWidth="1"/>
    <col min="6394" max="6394" width="5.140625" style="2" customWidth="1"/>
    <col min="6395" max="6396" width="17.5703125" style="2" customWidth="1"/>
    <col min="6397" max="6640" width="9.140625" style="2"/>
    <col min="6641" max="6641" width="3.5703125" style="2" customWidth="1"/>
    <col min="6642" max="6642" width="96.85546875" style="2" customWidth="1"/>
    <col min="6643" max="6643" width="30.85546875" style="2" customWidth="1"/>
    <col min="6644" max="6644" width="12.5703125" style="2" customWidth="1"/>
    <col min="6645" max="6645" width="5.140625" style="2" customWidth="1"/>
    <col min="6646" max="6646" width="9.140625" style="2"/>
    <col min="6647" max="6647" width="4.85546875" style="2" customWidth="1"/>
    <col min="6648" max="6648" width="30.5703125" style="2" customWidth="1"/>
    <col min="6649" max="6649" width="33.85546875" style="2" customWidth="1"/>
    <col min="6650" max="6650" width="5.140625" style="2" customWidth="1"/>
    <col min="6651" max="6652" width="17.5703125" style="2" customWidth="1"/>
    <col min="6653" max="6896" width="9.140625" style="2"/>
    <col min="6897" max="6897" width="3.5703125" style="2" customWidth="1"/>
    <col min="6898" max="6898" width="96.85546875" style="2" customWidth="1"/>
    <col min="6899" max="6899" width="30.85546875" style="2" customWidth="1"/>
    <col min="6900" max="6900" width="12.5703125" style="2" customWidth="1"/>
    <col min="6901" max="6901" width="5.140625" style="2" customWidth="1"/>
    <col min="6902" max="6902" width="9.140625" style="2"/>
    <col min="6903" max="6903" width="4.85546875" style="2" customWidth="1"/>
    <col min="6904" max="6904" width="30.5703125" style="2" customWidth="1"/>
    <col min="6905" max="6905" width="33.85546875" style="2" customWidth="1"/>
    <col min="6906" max="6906" width="5.140625" style="2" customWidth="1"/>
    <col min="6907" max="6908" width="17.5703125" style="2" customWidth="1"/>
    <col min="6909" max="7152" width="9.140625" style="2"/>
    <col min="7153" max="7153" width="3.5703125" style="2" customWidth="1"/>
    <col min="7154" max="7154" width="96.85546875" style="2" customWidth="1"/>
    <col min="7155" max="7155" width="30.85546875" style="2" customWidth="1"/>
    <col min="7156" max="7156" width="12.5703125" style="2" customWidth="1"/>
    <col min="7157" max="7157" width="5.140625" style="2" customWidth="1"/>
    <col min="7158" max="7158" width="9.140625" style="2"/>
    <col min="7159" max="7159" width="4.85546875" style="2" customWidth="1"/>
    <col min="7160" max="7160" width="30.5703125" style="2" customWidth="1"/>
    <col min="7161" max="7161" width="33.85546875" style="2" customWidth="1"/>
    <col min="7162" max="7162" width="5.140625" style="2" customWidth="1"/>
    <col min="7163" max="7164" width="17.5703125" style="2" customWidth="1"/>
    <col min="7165" max="7408" width="9.140625" style="2"/>
    <col min="7409" max="7409" width="3.5703125" style="2" customWidth="1"/>
    <col min="7410" max="7410" width="96.85546875" style="2" customWidth="1"/>
    <col min="7411" max="7411" width="30.85546875" style="2" customWidth="1"/>
    <col min="7412" max="7412" width="12.5703125" style="2" customWidth="1"/>
    <col min="7413" max="7413" width="5.140625" style="2" customWidth="1"/>
    <col min="7414" max="7414" width="9.140625" style="2"/>
    <col min="7415" max="7415" width="4.85546875" style="2" customWidth="1"/>
    <col min="7416" max="7416" width="30.5703125" style="2" customWidth="1"/>
    <col min="7417" max="7417" width="33.85546875" style="2" customWidth="1"/>
    <col min="7418" max="7418" width="5.140625" style="2" customWidth="1"/>
    <col min="7419" max="7420" width="17.5703125" style="2" customWidth="1"/>
    <col min="7421" max="7664" width="9.140625" style="2"/>
    <col min="7665" max="7665" width="3.5703125" style="2" customWidth="1"/>
    <col min="7666" max="7666" width="96.85546875" style="2" customWidth="1"/>
    <col min="7667" max="7667" width="30.85546875" style="2" customWidth="1"/>
    <col min="7668" max="7668" width="12.5703125" style="2" customWidth="1"/>
    <col min="7669" max="7669" width="5.140625" style="2" customWidth="1"/>
    <col min="7670" max="7670" width="9.140625" style="2"/>
    <col min="7671" max="7671" width="4.85546875" style="2" customWidth="1"/>
    <col min="7672" max="7672" width="30.5703125" style="2" customWidth="1"/>
    <col min="7673" max="7673" width="33.85546875" style="2" customWidth="1"/>
    <col min="7674" max="7674" width="5.140625" style="2" customWidth="1"/>
    <col min="7675" max="7676" width="17.5703125" style="2" customWidth="1"/>
    <col min="7677" max="7920" width="9.140625" style="2"/>
    <col min="7921" max="7921" width="3.5703125" style="2" customWidth="1"/>
    <col min="7922" max="7922" width="96.85546875" style="2" customWidth="1"/>
    <col min="7923" max="7923" width="30.85546875" style="2" customWidth="1"/>
    <col min="7924" max="7924" width="12.5703125" style="2" customWidth="1"/>
    <col min="7925" max="7925" width="5.140625" style="2" customWidth="1"/>
    <col min="7926" max="7926" width="9.140625" style="2"/>
    <col min="7927" max="7927" width="4.85546875" style="2" customWidth="1"/>
    <col min="7928" max="7928" width="30.5703125" style="2" customWidth="1"/>
    <col min="7929" max="7929" width="33.85546875" style="2" customWidth="1"/>
    <col min="7930" max="7930" width="5.140625" style="2" customWidth="1"/>
    <col min="7931" max="7932" width="17.5703125" style="2" customWidth="1"/>
    <col min="7933" max="8176" width="9.140625" style="2"/>
    <col min="8177" max="8177" width="3.5703125" style="2" customWidth="1"/>
    <col min="8178" max="8178" width="96.85546875" style="2" customWidth="1"/>
    <col min="8179" max="8179" width="30.85546875" style="2" customWidth="1"/>
    <col min="8180" max="8180" width="12.5703125" style="2" customWidth="1"/>
    <col min="8181" max="8181" width="5.140625" style="2" customWidth="1"/>
    <col min="8182" max="8182" width="9.140625" style="2"/>
    <col min="8183" max="8183" width="4.85546875" style="2" customWidth="1"/>
    <col min="8184" max="8184" width="30.5703125" style="2" customWidth="1"/>
    <col min="8185" max="8185" width="33.85546875" style="2" customWidth="1"/>
    <col min="8186" max="8186" width="5.140625" style="2" customWidth="1"/>
    <col min="8187" max="8188" width="17.5703125" style="2" customWidth="1"/>
    <col min="8189" max="8432" width="9.140625" style="2"/>
    <col min="8433" max="8433" width="3.5703125" style="2" customWidth="1"/>
    <col min="8434" max="8434" width="96.85546875" style="2" customWidth="1"/>
    <col min="8435" max="8435" width="30.85546875" style="2" customWidth="1"/>
    <col min="8436" max="8436" width="12.5703125" style="2" customWidth="1"/>
    <col min="8437" max="8437" width="5.140625" style="2" customWidth="1"/>
    <col min="8438" max="8438" width="9.140625" style="2"/>
    <col min="8439" max="8439" width="4.85546875" style="2" customWidth="1"/>
    <col min="8440" max="8440" width="30.5703125" style="2" customWidth="1"/>
    <col min="8441" max="8441" width="33.85546875" style="2" customWidth="1"/>
    <col min="8442" max="8442" width="5.140625" style="2" customWidth="1"/>
    <col min="8443" max="8444" width="17.5703125" style="2" customWidth="1"/>
    <col min="8445" max="8688" width="9.140625" style="2"/>
    <col min="8689" max="8689" width="3.5703125" style="2" customWidth="1"/>
    <col min="8690" max="8690" width="96.85546875" style="2" customWidth="1"/>
    <col min="8691" max="8691" width="30.85546875" style="2" customWidth="1"/>
    <col min="8692" max="8692" width="12.5703125" style="2" customWidth="1"/>
    <col min="8693" max="8693" width="5.140625" style="2" customWidth="1"/>
    <col min="8694" max="8694" width="9.140625" style="2"/>
    <col min="8695" max="8695" width="4.85546875" style="2" customWidth="1"/>
    <col min="8696" max="8696" width="30.5703125" style="2" customWidth="1"/>
    <col min="8697" max="8697" width="33.85546875" style="2" customWidth="1"/>
    <col min="8698" max="8698" width="5.140625" style="2" customWidth="1"/>
    <col min="8699" max="8700" width="17.5703125" style="2" customWidth="1"/>
    <col min="8701" max="8944" width="9.140625" style="2"/>
    <col min="8945" max="8945" width="3.5703125" style="2" customWidth="1"/>
    <col min="8946" max="8946" width="96.85546875" style="2" customWidth="1"/>
    <col min="8947" max="8947" width="30.85546875" style="2" customWidth="1"/>
    <col min="8948" max="8948" width="12.5703125" style="2" customWidth="1"/>
    <col min="8949" max="8949" width="5.140625" style="2" customWidth="1"/>
    <col min="8950" max="8950" width="9.140625" style="2"/>
    <col min="8951" max="8951" width="4.85546875" style="2" customWidth="1"/>
    <col min="8952" max="8952" width="30.5703125" style="2" customWidth="1"/>
    <col min="8953" max="8953" width="33.85546875" style="2" customWidth="1"/>
    <col min="8954" max="8954" width="5.140625" style="2" customWidth="1"/>
    <col min="8955" max="8956" width="17.5703125" style="2" customWidth="1"/>
    <col min="8957" max="9200" width="9.140625" style="2"/>
    <col min="9201" max="9201" width="3.5703125" style="2" customWidth="1"/>
    <col min="9202" max="9202" width="96.85546875" style="2" customWidth="1"/>
    <col min="9203" max="9203" width="30.85546875" style="2" customWidth="1"/>
    <col min="9204" max="9204" width="12.5703125" style="2" customWidth="1"/>
    <col min="9205" max="9205" width="5.140625" style="2" customWidth="1"/>
    <col min="9206" max="9206" width="9.140625" style="2"/>
    <col min="9207" max="9207" width="4.85546875" style="2" customWidth="1"/>
    <col min="9208" max="9208" width="30.5703125" style="2" customWidth="1"/>
    <col min="9209" max="9209" width="33.85546875" style="2" customWidth="1"/>
    <col min="9210" max="9210" width="5.140625" style="2" customWidth="1"/>
    <col min="9211" max="9212" width="17.5703125" style="2" customWidth="1"/>
    <col min="9213" max="9456" width="9.140625" style="2"/>
    <col min="9457" max="9457" width="3.5703125" style="2" customWidth="1"/>
    <col min="9458" max="9458" width="96.85546875" style="2" customWidth="1"/>
    <col min="9459" max="9459" width="30.85546875" style="2" customWidth="1"/>
    <col min="9460" max="9460" width="12.5703125" style="2" customWidth="1"/>
    <col min="9461" max="9461" width="5.140625" style="2" customWidth="1"/>
    <col min="9462" max="9462" width="9.140625" style="2"/>
    <col min="9463" max="9463" width="4.85546875" style="2" customWidth="1"/>
    <col min="9464" max="9464" width="30.5703125" style="2" customWidth="1"/>
    <col min="9465" max="9465" width="33.85546875" style="2" customWidth="1"/>
    <col min="9466" max="9466" width="5.140625" style="2" customWidth="1"/>
    <col min="9467" max="9468" width="17.5703125" style="2" customWidth="1"/>
    <col min="9469" max="9712" width="9.140625" style="2"/>
    <col min="9713" max="9713" width="3.5703125" style="2" customWidth="1"/>
    <col min="9714" max="9714" width="96.85546875" style="2" customWidth="1"/>
    <col min="9715" max="9715" width="30.85546875" style="2" customWidth="1"/>
    <col min="9716" max="9716" width="12.5703125" style="2" customWidth="1"/>
    <col min="9717" max="9717" width="5.140625" style="2" customWidth="1"/>
    <col min="9718" max="9718" width="9.140625" style="2"/>
    <col min="9719" max="9719" width="4.85546875" style="2" customWidth="1"/>
    <col min="9720" max="9720" width="30.5703125" style="2" customWidth="1"/>
    <col min="9721" max="9721" width="33.85546875" style="2" customWidth="1"/>
    <col min="9722" max="9722" width="5.140625" style="2" customWidth="1"/>
    <col min="9723" max="9724" width="17.5703125" style="2" customWidth="1"/>
    <col min="9725" max="9968" width="9.140625" style="2"/>
    <col min="9969" max="9969" width="3.5703125" style="2" customWidth="1"/>
    <col min="9970" max="9970" width="96.85546875" style="2" customWidth="1"/>
    <col min="9971" max="9971" width="30.85546875" style="2" customWidth="1"/>
    <col min="9972" max="9972" width="12.5703125" style="2" customWidth="1"/>
    <col min="9973" max="9973" width="5.140625" style="2" customWidth="1"/>
    <col min="9974" max="9974" width="9.140625" style="2"/>
    <col min="9975" max="9975" width="4.85546875" style="2" customWidth="1"/>
    <col min="9976" max="9976" width="30.5703125" style="2" customWidth="1"/>
    <col min="9977" max="9977" width="33.85546875" style="2" customWidth="1"/>
    <col min="9978" max="9978" width="5.140625" style="2" customWidth="1"/>
    <col min="9979" max="9980" width="17.5703125" style="2" customWidth="1"/>
    <col min="9981" max="10224" width="9.140625" style="2"/>
    <col min="10225" max="10225" width="3.5703125" style="2" customWidth="1"/>
    <col min="10226" max="10226" width="96.85546875" style="2" customWidth="1"/>
    <col min="10227" max="10227" width="30.85546875" style="2" customWidth="1"/>
    <col min="10228" max="10228" width="12.5703125" style="2" customWidth="1"/>
    <col min="10229" max="10229" width="5.140625" style="2" customWidth="1"/>
    <col min="10230" max="10230" width="9.140625" style="2"/>
    <col min="10231" max="10231" width="4.85546875" style="2" customWidth="1"/>
    <col min="10232" max="10232" width="30.5703125" style="2" customWidth="1"/>
    <col min="10233" max="10233" width="33.85546875" style="2" customWidth="1"/>
    <col min="10234" max="10234" width="5.140625" style="2" customWidth="1"/>
    <col min="10235" max="10236" width="17.5703125" style="2" customWidth="1"/>
    <col min="10237" max="10480" width="9.140625" style="2"/>
    <col min="10481" max="10481" width="3.5703125" style="2" customWidth="1"/>
    <col min="10482" max="10482" width="96.85546875" style="2" customWidth="1"/>
    <col min="10483" max="10483" width="30.85546875" style="2" customWidth="1"/>
    <col min="10484" max="10484" width="12.5703125" style="2" customWidth="1"/>
    <col min="10485" max="10485" width="5.140625" style="2" customWidth="1"/>
    <col min="10486" max="10486" width="9.140625" style="2"/>
    <col min="10487" max="10487" width="4.85546875" style="2" customWidth="1"/>
    <col min="10488" max="10488" width="30.5703125" style="2" customWidth="1"/>
    <col min="10489" max="10489" width="33.85546875" style="2" customWidth="1"/>
    <col min="10490" max="10490" width="5.140625" style="2" customWidth="1"/>
    <col min="10491" max="10492" width="17.5703125" style="2" customWidth="1"/>
    <col min="10493" max="10736" width="9.140625" style="2"/>
    <col min="10737" max="10737" width="3.5703125" style="2" customWidth="1"/>
    <col min="10738" max="10738" width="96.85546875" style="2" customWidth="1"/>
    <col min="10739" max="10739" width="30.85546875" style="2" customWidth="1"/>
    <col min="10740" max="10740" width="12.5703125" style="2" customWidth="1"/>
    <col min="10741" max="10741" width="5.140625" style="2" customWidth="1"/>
    <col min="10742" max="10742" width="9.140625" style="2"/>
    <col min="10743" max="10743" width="4.85546875" style="2" customWidth="1"/>
    <col min="10744" max="10744" width="30.5703125" style="2" customWidth="1"/>
    <col min="10745" max="10745" width="33.85546875" style="2" customWidth="1"/>
    <col min="10746" max="10746" width="5.140625" style="2" customWidth="1"/>
    <col min="10747" max="10748" width="17.5703125" style="2" customWidth="1"/>
    <col min="10749" max="10992" width="9.140625" style="2"/>
    <col min="10993" max="10993" width="3.5703125" style="2" customWidth="1"/>
    <col min="10994" max="10994" width="96.85546875" style="2" customWidth="1"/>
    <col min="10995" max="10995" width="30.85546875" style="2" customWidth="1"/>
    <col min="10996" max="10996" width="12.5703125" style="2" customWidth="1"/>
    <col min="10997" max="10997" width="5.140625" style="2" customWidth="1"/>
    <col min="10998" max="10998" width="9.140625" style="2"/>
    <col min="10999" max="10999" width="4.85546875" style="2" customWidth="1"/>
    <col min="11000" max="11000" width="30.5703125" style="2" customWidth="1"/>
    <col min="11001" max="11001" width="33.85546875" style="2" customWidth="1"/>
    <col min="11002" max="11002" width="5.140625" style="2" customWidth="1"/>
    <col min="11003" max="11004" width="17.5703125" style="2" customWidth="1"/>
    <col min="11005" max="11248" width="9.140625" style="2"/>
    <col min="11249" max="11249" width="3.5703125" style="2" customWidth="1"/>
    <col min="11250" max="11250" width="96.85546875" style="2" customWidth="1"/>
    <col min="11251" max="11251" width="30.85546875" style="2" customWidth="1"/>
    <col min="11252" max="11252" width="12.5703125" style="2" customWidth="1"/>
    <col min="11253" max="11253" width="5.140625" style="2" customWidth="1"/>
    <col min="11254" max="11254" width="9.140625" style="2"/>
    <col min="11255" max="11255" width="4.85546875" style="2" customWidth="1"/>
    <col min="11256" max="11256" width="30.5703125" style="2" customWidth="1"/>
    <col min="11257" max="11257" width="33.85546875" style="2" customWidth="1"/>
    <col min="11258" max="11258" width="5.140625" style="2" customWidth="1"/>
    <col min="11259" max="11260" width="17.5703125" style="2" customWidth="1"/>
    <col min="11261" max="11504" width="9.140625" style="2"/>
    <col min="11505" max="11505" width="3.5703125" style="2" customWidth="1"/>
    <col min="11506" max="11506" width="96.85546875" style="2" customWidth="1"/>
    <col min="11507" max="11507" width="30.85546875" style="2" customWidth="1"/>
    <col min="11508" max="11508" width="12.5703125" style="2" customWidth="1"/>
    <col min="11509" max="11509" width="5.140625" style="2" customWidth="1"/>
    <col min="11510" max="11510" width="9.140625" style="2"/>
    <col min="11511" max="11511" width="4.85546875" style="2" customWidth="1"/>
    <col min="11512" max="11512" width="30.5703125" style="2" customWidth="1"/>
    <col min="11513" max="11513" width="33.85546875" style="2" customWidth="1"/>
    <col min="11514" max="11514" width="5.140625" style="2" customWidth="1"/>
    <col min="11515" max="11516" width="17.5703125" style="2" customWidth="1"/>
    <col min="11517" max="11760" width="9.140625" style="2"/>
    <col min="11761" max="11761" width="3.5703125" style="2" customWidth="1"/>
    <col min="11762" max="11762" width="96.85546875" style="2" customWidth="1"/>
    <col min="11763" max="11763" width="30.85546875" style="2" customWidth="1"/>
    <col min="11764" max="11764" width="12.5703125" style="2" customWidth="1"/>
    <col min="11765" max="11765" width="5.140625" style="2" customWidth="1"/>
    <col min="11766" max="11766" width="9.140625" style="2"/>
    <col min="11767" max="11767" width="4.85546875" style="2" customWidth="1"/>
    <col min="11768" max="11768" width="30.5703125" style="2" customWidth="1"/>
    <col min="11769" max="11769" width="33.85546875" style="2" customWidth="1"/>
    <col min="11770" max="11770" width="5.140625" style="2" customWidth="1"/>
    <col min="11771" max="11772" width="17.5703125" style="2" customWidth="1"/>
    <col min="11773" max="12016" width="9.140625" style="2"/>
    <col min="12017" max="12017" width="3.5703125" style="2" customWidth="1"/>
    <col min="12018" max="12018" width="96.85546875" style="2" customWidth="1"/>
    <col min="12019" max="12019" width="30.85546875" style="2" customWidth="1"/>
    <col min="12020" max="12020" width="12.5703125" style="2" customWidth="1"/>
    <col min="12021" max="12021" width="5.140625" style="2" customWidth="1"/>
    <col min="12022" max="12022" width="9.140625" style="2"/>
    <col min="12023" max="12023" width="4.85546875" style="2" customWidth="1"/>
    <col min="12024" max="12024" width="30.5703125" style="2" customWidth="1"/>
    <col min="12025" max="12025" width="33.85546875" style="2" customWidth="1"/>
    <col min="12026" max="12026" width="5.140625" style="2" customWidth="1"/>
    <col min="12027" max="12028" width="17.5703125" style="2" customWidth="1"/>
    <col min="12029" max="12272" width="9.140625" style="2"/>
    <col min="12273" max="12273" width="3.5703125" style="2" customWidth="1"/>
    <col min="12274" max="12274" width="96.85546875" style="2" customWidth="1"/>
    <col min="12275" max="12275" width="30.85546875" style="2" customWidth="1"/>
    <col min="12276" max="12276" width="12.5703125" style="2" customWidth="1"/>
    <col min="12277" max="12277" width="5.140625" style="2" customWidth="1"/>
    <col min="12278" max="12278" width="9.140625" style="2"/>
    <col min="12279" max="12279" width="4.85546875" style="2" customWidth="1"/>
    <col min="12280" max="12280" width="30.5703125" style="2" customWidth="1"/>
    <col min="12281" max="12281" width="33.85546875" style="2" customWidth="1"/>
    <col min="12282" max="12282" width="5.140625" style="2" customWidth="1"/>
    <col min="12283" max="12284" width="17.5703125" style="2" customWidth="1"/>
    <col min="12285" max="12528" width="9.140625" style="2"/>
    <col min="12529" max="12529" width="3.5703125" style="2" customWidth="1"/>
    <col min="12530" max="12530" width="96.85546875" style="2" customWidth="1"/>
    <col min="12531" max="12531" width="30.85546875" style="2" customWidth="1"/>
    <col min="12532" max="12532" width="12.5703125" style="2" customWidth="1"/>
    <col min="12533" max="12533" width="5.140625" style="2" customWidth="1"/>
    <col min="12534" max="12534" width="9.140625" style="2"/>
    <col min="12535" max="12535" width="4.85546875" style="2" customWidth="1"/>
    <col min="12536" max="12536" width="30.5703125" style="2" customWidth="1"/>
    <col min="12537" max="12537" width="33.85546875" style="2" customWidth="1"/>
    <col min="12538" max="12538" width="5.140625" style="2" customWidth="1"/>
    <col min="12539" max="12540" width="17.5703125" style="2" customWidth="1"/>
    <col min="12541" max="12784" width="9.140625" style="2"/>
    <col min="12785" max="12785" width="3.5703125" style="2" customWidth="1"/>
    <col min="12786" max="12786" width="96.85546875" style="2" customWidth="1"/>
    <col min="12787" max="12787" width="30.85546875" style="2" customWidth="1"/>
    <col min="12788" max="12788" width="12.5703125" style="2" customWidth="1"/>
    <col min="12789" max="12789" width="5.140625" style="2" customWidth="1"/>
    <col min="12790" max="12790" width="9.140625" style="2"/>
    <col min="12791" max="12791" width="4.85546875" style="2" customWidth="1"/>
    <col min="12792" max="12792" width="30.5703125" style="2" customWidth="1"/>
    <col min="12793" max="12793" width="33.85546875" style="2" customWidth="1"/>
    <col min="12794" max="12794" width="5.140625" style="2" customWidth="1"/>
    <col min="12795" max="12796" width="17.5703125" style="2" customWidth="1"/>
    <col min="12797" max="13040" width="9.140625" style="2"/>
    <col min="13041" max="13041" width="3.5703125" style="2" customWidth="1"/>
    <col min="13042" max="13042" width="96.85546875" style="2" customWidth="1"/>
    <col min="13043" max="13043" width="30.85546875" style="2" customWidth="1"/>
    <col min="13044" max="13044" width="12.5703125" style="2" customWidth="1"/>
    <col min="13045" max="13045" width="5.140625" style="2" customWidth="1"/>
    <col min="13046" max="13046" width="9.140625" style="2"/>
    <col min="13047" max="13047" width="4.85546875" style="2" customWidth="1"/>
    <col min="13048" max="13048" width="30.5703125" style="2" customWidth="1"/>
    <col min="13049" max="13049" width="33.85546875" style="2" customWidth="1"/>
    <col min="13050" max="13050" width="5.140625" style="2" customWidth="1"/>
    <col min="13051" max="13052" width="17.5703125" style="2" customWidth="1"/>
    <col min="13053" max="13296" width="9.140625" style="2"/>
    <col min="13297" max="13297" width="3.5703125" style="2" customWidth="1"/>
    <col min="13298" max="13298" width="96.85546875" style="2" customWidth="1"/>
    <col min="13299" max="13299" width="30.85546875" style="2" customWidth="1"/>
    <col min="13300" max="13300" width="12.5703125" style="2" customWidth="1"/>
    <col min="13301" max="13301" width="5.140625" style="2" customWidth="1"/>
    <col min="13302" max="13302" width="9.140625" style="2"/>
    <col min="13303" max="13303" width="4.85546875" style="2" customWidth="1"/>
    <col min="13304" max="13304" width="30.5703125" style="2" customWidth="1"/>
    <col min="13305" max="13305" width="33.85546875" style="2" customWidth="1"/>
    <col min="13306" max="13306" width="5.140625" style="2" customWidth="1"/>
    <col min="13307" max="13308" width="17.5703125" style="2" customWidth="1"/>
    <col min="13309" max="13552" width="9.140625" style="2"/>
    <col min="13553" max="13553" width="3.5703125" style="2" customWidth="1"/>
    <col min="13554" max="13554" width="96.85546875" style="2" customWidth="1"/>
    <col min="13555" max="13555" width="30.85546875" style="2" customWidth="1"/>
    <col min="13556" max="13556" width="12.5703125" style="2" customWidth="1"/>
    <col min="13557" max="13557" width="5.140625" style="2" customWidth="1"/>
    <col min="13558" max="13558" width="9.140625" style="2"/>
    <col min="13559" max="13559" width="4.85546875" style="2" customWidth="1"/>
    <col min="13560" max="13560" width="30.5703125" style="2" customWidth="1"/>
    <col min="13561" max="13561" width="33.85546875" style="2" customWidth="1"/>
    <col min="13562" max="13562" width="5.140625" style="2" customWidth="1"/>
    <col min="13563" max="13564" width="17.5703125" style="2" customWidth="1"/>
    <col min="13565" max="13808" width="9.140625" style="2"/>
    <col min="13809" max="13809" width="3.5703125" style="2" customWidth="1"/>
    <col min="13810" max="13810" width="96.85546875" style="2" customWidth="1"/>
    <col min="13811" max="13811" width="30.85546875" style="2" customWidth="1"/>
    <col min="13812" max="13812" width="12.5703125" style="2" customWidth="1"/>
    <col min="13813" max="13813" width="5.140625" style="2" customWidth="1"/>
    <col min="13814" max="13814" width="9.140625" style="2"/>
    <col min="13815" max="13815" width="4.85546875" style="2" customWidth="1"/>
    <col min="13816" max="13816" width="30.5703125" style="2" customWidth="1"/>
    <col min="13817" max="13817" width="33.85546875" style="2" customWidth="1"/>
    <col min="13818" max="13818" width="5.140625" style="2" customWidth="1"/>
    <col min="13819" max="13820" width="17.5703125" style="2" customWidth="1"/>
    <col min="13821" max="14064" width="9.140625" style="2"/>
    <col min="14065" max="14065" width="3.5703125" style="2" customWidth="1"/>
    <col min="14066" max="14066" width="96.85546875" style="2" customWidth="1"/>
    <col min="14067" max="14067" width="30.85546875" style="2" customWidth="1"/>
    <col min="14068" max="14068" width="12.5703125" style="2" customWidth="1"/>
    <col min="14069" max="14069" width="5.140625" style="2" customWidth="1"/>
    <col min="14070" max="14070" width="9.140625" style="2"/>
    <col min="14071" max="14071" width="4.85546875" style="2" customWidth="1"/>
    <col min="14072" max="14072" width="30.5703125" style="2" customWidth="1"/>
    <col min="14073" max="14073" width="33.85546875" style="2" customWidth="1"/>
    <col min="14074" max="14074" width="5.140625" style="2" customWidth="1"/>
    <col min="14075" max="14076" width="17.5703125" style="2" customWidth="1"/>
    <col min="14077" max="14320" width="9.140625" style="2"/>
    <col min="14321" max="14321" width="3.5703125" style="2" customWidth="1"/>
    <col min="14322" max="14322" width="96.85546875" style="2" customWidth="1"/>
    <col min="14323" max="14323" width="30.85546875" style="2" customWidth="1"/>
    <col min="14324" max="14324" width="12.5703125" style="2" customWidth="1"/>
    <col min="14325" max="14325" width="5.140625" style="2" customWidth="1"/>
    <col min="14326" max="14326" width="9.140625" style="2"/>
    <col min="14327" max="14327" width="4.85546875" style="2" customWidth="1"/>
    <col min="14328" max="14328" width="30.5703125" style="2" customWidth="1"/>
    <col min="14329" max="14329" width="33.85546875" style="2" customWidth="1"/>
    <col min="14330" max="14330" width="5.140625" style="2" customWidth="1"/>
    <col min="14331" max="14332" width="17.5703125" style="2" customWidth="1"/>
    <col min="14333" max="14576" width="9.140625" style="2"/>
    <col min="14577" max="14577" width="3.5703125" style="2" customWidth="1"/>
    <col min="14578" max="14578" width="96.85546875" style="2" customWidth="1"/>
    <col min="14579" max="14579" width="30.85546875" style="2" customWidth="1"/>
    <col min="14580" max="14580" width="12.5703125" style="2" customWidth="1"/>
    <col min="14581" max="14581" width="5.140625" style="2" customWidth="1"/>
    <col min="14582" max="14582" width="9.140625" style="2"/>
    <col min="14583" max="14583" width="4.85546875" style="2" customWidth="1"/>
    <col min="14584" max="14584" width="30.5703125" style="2" customWidth="1"/>
    <col min="14585" max="14585" width="33.85546875" style="2" customWidth="1"/>
    <col min="14586" max="14586" width="5.140625" style="2" customWidth="1"/>
    <col min="14587" max="14588" width="17.5703125" style="2" customWidth="1"/>
    <col min="14589" max="14832" width="9.140625" style="2"/>
    <col min="14833" max="14833" width="3.5703125" style="2" customWidth="1"/>
    <col min="14834" max="14834" width="96.85546875" style="2" customWidth="1"/>
    <col min="14835" max="14835" width="30.85546875" style="2" customWidth="1"/>
    <col min="14836" max="14836" width="12.5703125" style="2" customWidth="1"/>
    <col min="14837" max="14837" width="5.140625" style="2" customWidth="1"/>
    <col min="14838" max="14838" width="9.140625" style="2"/>
    <col min="14839" max="14839" width="4.85546875" style="2" customWidth="1"/>
    <col min="14840" max="14840" width="30.5703125" style="2" customWidth="1"/>
    <col min="14841" max="14841" width="33.85546875" style="2" customWidth="1"/>
    <col min="14842" max="14842" width="5.140625" style="2" customWidth="1"/>
    <col min="14843" max="14844" width="17.5703125" style="2" customWidth="1"/>
    <col min="14845" max="15088" width="9.140625" style="2"/>
    <col min="15089" max="15089" width="3.5703125" style="2" customWidth="1"/>
    <col min="15090" max="15090" width="96.85546875" style="2" customWidth="1"/>
    <col min="15091" max="15091" width="30.85546875" style="2" customWidth="1"/>
    <col min="15092" max="15092" width="12.5703125" style="2" customWidth="1"/>
    <col min="15093" max="15093" width="5.140625" style="2" customWidth="1"/>
    <col min="15094" max="15094" width="9.140625" style="2"/>
    <col min="15095" max="15095" width="4.85546875" style="2" customWidth="1"/>
    <col min="15096" max="15096" width="30.5703125" style="2" customWidth="1"/>
    <col min="15097" max="15097" width="33.85546875" style="2" customWidth="1"/>
    <col min="15098" max="15098" width="5.140625" style="2" customWidth="1"/>
    <col min="15099" max="15100" width="17.5703125" style="2" customWidth="1"/>
    <col min="15101" max="15344" width="9.140625" style="2"/>
    <col min="15345" max="15345" width="3.5703125" style="2" customWidth="1"/>
    <col min="15346" max="15346" width="96.85546875" style="2" customWidth="1"/>
    <col min="15347" max="15347" width="30.85546875" style="2" customWidth="1"/>
    <col min="15348" max="15348" width="12.5703125" style="2" customWidth="1"/>
    <col min="15349" max="15349" width="5.140625" style="2" customWidth="1"/>
    <col min="15350" max="15350" width="9.140625" style="2"/>
    <col min="15351" max="15351" width="4.85546875" style="2" customWidth="1"/>
    <col min="15352" max="15352" width="30.5703125" style="2" customWidth="1"/>
    <col min="15353" max="15353" width="33.85546875" style="2" customWidth="1"/>
    <col min="15354" max="15354" width="5.140625" style="2" customWidth="1"/>
    <col min="15355" max="15356" width="17.5703125" style="2" customWidth="1"/>
    <col min="15357" max="15600" width="9.140625" style="2"/>
    <col min="15601" max="15601" width="3.5703125" style="2" customWidth="1"/>
    <col min="15602" max="15602" width="96.85546875" style="2" customWidth="1"/>
    <col min="15603" max="15603" width="30.85546875" style="2" customWidth="1"/>
    <col min="15604" max="15604" width="12.5703125" style="2" customWidth="1"/>
    <col min="15605" max="15605" width="5.140625" style="2" customWidth="1"/>
    <col min="15606" max="15606" width="9.140625" style="2"/>
    <col min="15607" max="15607" width="4.85546875" style="2" customWidth="1"/>
    <col min="15608" max="15608" width="30.5703125" style="2" customWidth="1"/>
    <col min="15609" max="15609" width="33.85546875" style="2" customWidth="1"/>
    <col min="15610" max="15610" width="5.140625" style="2" customWidth="1"/>
    <col min="15611" max="15612" width="17.5703125" style="2" customWidth="1"/>
    <col min="15613" max="15856" width="9.140625" style="2"/>
    <col min="15857" max="15857" width="3.5703125" style="2" customWidth="1"/>
    <col min="15858" max="15858" width="96.85546875" style="2" customWidth="1"/>
    <col min="15859" max="15859" width="30.85546875" style="2" customWidth="1"/>
    <col min="15860" max="15860" width="12.5703125" style="2" customWidth="1"/>
    <col min="15861" max="15861" width="5.140625" style="2" customWidth="1"/>
    <col min="15862" max="15862" width="9.140625" style="2"/>
    <col min="15863" max="15863" width="4.85546875" style="2" customWidth="1"/>
    <col min="15864" max="15864" width="30.5703125" style="2" customWidth="1"/>
    <col min="15865" max="15865" width="33.85546875" style="2" customWidth="1"/>
    <col min="15866" max="15866" width="5.140625" style="2" customWidth="1"/>
    <col min="15867" max="15868" width="17.5703125" style="2" customWidth="1"/>
    <col min="15869" max="16112" width="9.140625" style="2"/>
    <col min="16113" max="16113" width="3.5703125" style="2" customWidth="1"/>
    <col min="16114" max="16114" width="96.85546875" style="2" customWidth="1"/>
    <col min="16115" max="16115" width="30.85546875" style="2" customWidth="1"/>
    <col min="16116" max="16116" width="12.5703125" style="2" customWidth="1"/>
    <col min="16117" max="16117" width="5.140625" style="2" customWidth="1"/>
    <col min="16118" max="16118" width="9.140625" style="2"/>
    <col min="16119" max="16119" width="4.85546875" style="2" customWidth="1"/>
    <col min="16120" max="16120" width="30.5703125" style="2" customWidth="1"/>
    <col min="16121" max="16121" width="33.85546875" style="2" customWidth="1"/>
    <col min="16122" max="16122" width="5.140625" style="2" customWidth="1"/>
    <col min="16123" max="16124" width="17.5703125" style="2" customWidth="1"/>
    <col min="16125" max="16384" width="9.140625" style="2"/>
  </cols>
  <sheetData>
    <row r="1" spans="1:3" ht="48" customHeight="1">
      <c r="A1" s="1"/>
      <c r="B1" s="147" t="s">
        <v>0</v>
      </c>
      <c r="C1" s="147"/>
    </row>
    <row r="2" spans="1:3">
      <c r="A2" s="3"/>
      <c r="B2" s="4" t="s">
        <v>1</v>
      </c>
      <c r="C2" s="5">
        <v>45317</v>
      </c>
    </row>
    <row r="3" spans="1:3">
      <c r="A3" s="3"/>
      <c r="B3" s="6"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Верх-Тула, Новосибирский муниципальный район</v>
      </c>
    </row>
    <row r="6" spans="1:3">
      <c r="A6" s="8"/>
      <c r="B6" s="9" t="str">
        <f>IF([11]И1!E15="","",[11]И1!D15)</f>
        <v/>
      </c>
      <c r="C6" s="10" t="str">
        <f>IF([11]И1!E15="","",[11]И1!E15)</f>
        <v/>
      </c>
    </row>
    <row r="7" spans="1:3">
      <c r="A7" s="8"/>
      <c r="B7" s="9" t="str">
        <f>[11]И1!D16</f>
        <v>Код ОКТМО</v>
      </c>
      <c r="C7" s="11" t="str">
        <f>[11]И1!E16</f>
        <v>50640410101</v>
      </c>
    </row>
    <row r="8" spans="1:3">
      <c r="A8" s="8"/>
      <c r="B8" s="12" t="str">
        <f>[11]И1!D17</f>
        <v>Система теплоснабжения</v>
      </c>
      <c r="C8" s="13">
        <f>[11]И1!E17</f>
        <v>0</v>
      </c>
    </row>
    <row r="9" spans="1:3">
      <c r="A9" s="8"/>
      <c r="B9" s="9" t="str">
        <f>[11]И1!D8</f>
        <v>Период регулирования (i)-й</v>
      </c>
      <c r="C9" s="14">
        <f>[11]И1!E8</f>
        <v>2024</v>
      </c>
    </row>
    <row r="10" spans="1:3">
      <c r="A10" s="8"/>
      <c r="B10" s="9" t="str">
        <f>[11]И1!D9</f>
        <v>Период регулирования (i-1)-й</v>
      </c>
      <c r="C10" s="14">
        <f>[11]И1!E9</f>
        <v>2023</v>
      </c>
    </row>
    <row r="11" spans="1:3">
      <c r="A11" s="8"/>
      <c r="B11" s="9" t="str">
        <f>[11]И1!D10</f>
        <v>Период регулирования (i-2)-й</v>
      </c>
      <c r="C11" s="14">
        <f>[11]И1!E10</f>
        <v>2022</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3661.2480207461408</v>
      </c>
    </row>
    <row r="18" spans="1:3" ht="42.75">
      <c r="A18" s="22" t="s">
        <v>8</v>
      </c>
      <c r="B18" s="25" t="s">
        <v>9</v>
      </c>
      <c r="C18" s="26">
        <f>[11]С1!F12</f>
        <v>648.79979517892946</v>
      </c>
    </row>
    <row r="19" spans="1:3" ht="42.75">
      <c r="A19" s="22" t="s">
        <v>10</v>
      </c>
      <c r="B19" s="25" t="s">
        <v>11</v>
      </c>
      <c r="C19" s="26">
        <f>[11]С2!F12</f>
        <v>1988.145782203278</v>
      </c>
    </row>
    <row r="20" spans="1:3" ht="30">
      <c r="A20" s="22" t="s">
        <v>12</v>
      </c>
      <c r="B20" s="25" t="s">
        <v>13</v>
      </c>
      <c r="C20" s="26">
        <f>[11]С3!F12</f>
        <v>472.46007696916996</v>
      </c>
    </row>
    <row r="21" spans="1:3" ht="42.75">
      <c r="A21" s="22" t="s">
        <v>14</v>
      </c>
      <c r="B21" s="25" t="s">
        <v>15</v>
      </c>
      <c r="C21" s="26">
        <f>[11]С4!F12</f>
        <v>480.05318951738798</v>
      </c>
    </row>
    <row r="22" spans="1:3" ht="30">
      <c r="A22" s="22" t="s">
        <v>16</v>
      </c>
      <c r="B22" s="25" t="s">
        <v>17</v>
      </c>
      <c r="C22" s="26">
        <f>[11]С5!F12</f>
        <v>71.789176877375311</v>
      </c>
    </row>
    <row r="23" spans="1:3" ht="43.5" thickBot="1">
      <c r="A23" s="27" t="s">
        <v>18</v>
      </c>
      <c r="B23" s="143"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[11]С1.1!E16</f>
        <v>5100</v>
      </c>
    </row>
    <row r="29" spans="1:3" ht="42.75">
      <c r="A29" s="22" t="s">
        <v>10</v>
      </c>
      <c r="B29" s="33" t="s">
        <v>22</v>
      </c>
      <c r="C29" s="34">
        <f>[11]С1.1!E27</f>
        <v>2915.0856389986834</v>
      </c>
    </row>
    <row r="30" spans="1:3" ht="17.25">
      <c r="A30" s="22" t="s">
        <v>12</v>
      </c>
      <c r="B30" s="33" t="s">
        <v>23</v>
      </c>
      <c r="C30" s="35">
        <f>[11]С1.1!E19</f>
        <v>-0.19900000000000001</v>
      </c>
    </row>
    <row r="31" spans="1:3" ht="17.25">
      <c r="A31" s="22" t="s">
        <v>14</v>
      </c>
      <c r="B31" s="33" t="s">
        <v>24</v>
      </c>
      <c r="C31" s="35">
        <f>[11]С1.1!E20</f>
        <v>5.7000000000000002E-2</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45" t="s">
        <v>38</v>
      </c>
      <c r="C40" s="145"/>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35106.652004551666</v>
      </c>
    </row>
    <row r="46" spans="1:3" ht="30">
      <c r="A46" s="22" t="s">
        <v>49</v>
      </c>
      <c r="B46" s="53" t="s">
        <v>50</v>
      </c>
      <c r="C46" s="34">
        <f>IF([11]С2!F19&gt;0,[11]С2!F19,[11]С2!F20)</f>
        <v>23441.524932855718</v>
      </c>
    </row>
    <row r="47" spans="1:3" ht="25.5">
      <c r="A47" s="22" t="s">
        <v>51</v>
      </c>
      <c r="B47" s="54" t="s">
        <v>52</v>
      </c>
      <c r="C47" s="34">
        <f>[11]С2.1!E19</f>
        <v>-37</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183796.83936385796</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1189.8488364193513</v>
      </c>
    </row>
    <row r="63" spans="1:3" ht="17.25">
      <c r="A63" s="59" t="s">
        <v>83</v>
      </c>
      <c r="B63" s="53" t="s">
        <v>84</v>
      </c>
      <c r="C63" s="34">
        <f>[11]С2!F27</f>
        <v>0.18916419899999998</v>
      </c>
    </row>
    <row r="64" spans="1:3" ht="17.25">
      <c r="A64" s="59" t="s">
        <v>85</v>
      </c>
      <c r="B64" s="58" t="s">
        <v>86</v>
      </c>
      <c r="C64" s="62">
        <f>[11]С2!F28</f>
        <v>4200</v>
      </c>
    </row>
    <row r="65" spans="1:3" ht="42.75">
      <c r="A65" s="59" t="s">
        <v>87</v>
      </c>
      <c r="B65" s="33" t="s">
        <v>88</v>
      </c>
      <c r="C65" s="34">
        <f>[11]С2!F22</f>
        <v>38698.422798410109</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9.5962865259740182E-2</v>
      </c>
    </row>
    <row r="80" spans="1:3" ht="30">
      <c r="A80" s="59" t="s">
        <v>116</v>
      </c>
      <c r="B80" s="53" t="s">
        <v>117</v>
      </c>
      <c r="C80" s="70">
        <f>[11]С2!F30</f>
        <v>8.4029304029304031E-2</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[11]С3!F14</f>
        <v>6054.0090724656739</v>
      </c>
    </row>
    <row r="86" spans="1:3" s="63" customFormat="1" ht="42.75">
      <c r="A86" s="77" t="s">
        <v>126</v>
      </c>
      <c r="B86" s="53" t="s">
        <v>127</v>
      </c>
      <c r="C86" s="78">
        <f>[11]С3!F15</f>
        <v>0.2</v>
      </c>
    </row>
    <row r="87" spans="1:3" s="63" customFormat="1" ht="14.25">
      <c r="A87" s="77" t="s">
        <v>128</v>
      </c>
      <c r="B87" s="79" t="s">
        <v>129</v>
      </c>
      <c r="C87" s="62">
        <f>[11]С3!F18</f>
        <v>15</v>
      </c>
    </row>
    <row r="88" spans="1:3" s="63" customFormat="1" ht="17.25">
      <c r="A88" s="77" t="s">
        <v>130</v>
      </c>
      <c r="B88" s="33" t="s">
        <v>131</v>
      </c>
      <c r="C88" s="34">
        <f>[11]С3!F19</f>
        <v>3778.1614077800232</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3.5695465092580538</v>
      </c>
    </row>
    <row r="92" spans="1:3" s="63" customFormat="1" ht="55.5">
      <c r="A92" s="77" t="s">
        <v>137</v>
      </c>
      <c r="B92" s="53" t="s">
        <v>138</v>
      </c>
      <c r="C92" s="80">
        <f>[11]С3!F23</f>
        <v>3.0000000000000001E-3</v>
      </c>
    </row>
    <row r="93" spans="1:3" s="63" customFormat="1" ht="27.75" thickBot="1">
      <c r="A93" s="81" t="s">
        <v>139</v>
      </c>
      <c r="B93" s="82" t="s">
        <v>140</v>
      </c>
      <c r="C93" s="83">
        <f>[11]С3!F24</f>
        <v>1189.8488364193513</v>
      </c>
    </row>
    <row r="94" spans="1:3" ht="13.5" thickBot="1">
      <c r="A94" s="47"/>
      <c r="B94" s="75"/>
      <c r="C94" s="15"/>
    </row>
    <row r="95" spans="1:3" ht="30" customHeight="1">
      <c r="A95" s="84" t="s">
        <v>141</v>
      </c>
      <c r="B95" s="145" t="s">
        <v>142</v>
      </c>
      <c r="C95" s="145"/>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85.853009999999998</v>
      </c>
    </row>
    <row r="108" spans="1:3" ht="25.5">
      <c r="A108" s="59" t="s">
        <v>167</v>
      </c>
      <c r="B108" s="53" t="s">
        <v>94</v>
      </c>
      <c r="C108" s="85">
        <f>[11]С4.3!E16</f>
        <v>0</v>
      </c>
    </row>
    <row r="109" spans="1:3" ht="25.5">
      <c r="A109" s="59" t="s">
        <v>168</v>
      </c>
      <c r="B109" s="53" t="s">
        <v>169</v>
      </c>
      <c r="C109" s="34">
        <f>[11]С4.3!E17</f>
        <v>23.79</v>
      </c>
    </row>
    <row r="110" spans="1:3" ht="38.25">
      <c r="A110" s="59" t="s">
        <v>170</v>
      </c>
      <c r="B110" s="53" t="s">
        <v>106</v>
      </c>
      <c r="C110" s="85">
        <f>[11]С4.3!E18</f>
        <v>0</v>
      </c>
    </row>
    <row r="111" spans="1:3">
      <c r="A111" s="59" t="s">
        <v>171</v>
      </c>
      <c r="B111" s="53" t="s">
        <v>172</v>
      </c>
      <c r="C111" s="34">
        <f>[11]С4.3!E19</f>
        <v>11.87</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1851.0127650478018</v>
      </c>
    </row>
    <row r="116" spans="1:3" ht="25.5">
      <c r="A116" s="59" t="s">
        <v>181</v>
      </c>
      <c r="B116" s="53" t="s">
        <v>182</v>
      </c>
      <c r="C116" s="34">
        <f>[11]С4!F28</f>
        <v>1421.6687903592947</v>
      </c>
    </row>
    <row r="117" spans="1:3" ht="42.75">
      <c r="A117" s="59" t="s">
        <v>183</v>
      </c>
      <c r="B117" s="53" t="s">
        <v>184</v>
      </c>
      <c r="C117" s="34">
        <f>[11]С4!F29</f>
        <v>429.3439746885071</v>
      </c>
    </row>
    <row r="118" spans="1:3" ht="30">
      <c r="A118" s="59" t="s">
        <v>185</v>
      </c>
      <c r="B118" s="39" t="s">
        <v>186</v>
      </c>
      <c r="C118" s="34">
        <f>[11]С4!F30</f>
        <v>1723.0805187067294</v>
      </c>
    </row>
    <row r="119" spans="1:3" ht="42.75">
      <c r="A119" s="59" t="s">
        <v>187</v>
      </c>
      <c r="B119" s="86" t="s">
        <v>188</v>
      </c>
      <c r="C119" s="34">
        <f>[11]С4!F33</f>
        <v>962.51702876043942</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2.4E-2</v>
      </c>
    </row>
    <row r="147" spans="1:3">
      <c r="A147" s="105"/>
      <c r="B147" s="114">
        <f t="shared" si="0"/>
        <v>2024</v>
      </c>
      <c r="C147" s="115">
        <f>[11]С2.5!$I$11</f>
        <v>8.5999999999999993E-2</v>
      </c>
    </row>
    <row r="148" spans="1:3" hidden="1">
      <c r="A148" s="105"/>
      <c r="B148" s="110">
        <f t="shared" si="0"/>
        <v>2025</v>
      </c>
      <c r="C148" s="111">
        <f>[11]С2.5!$J$11</f>
        <v>0.21215960863291</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[12]И1!D13</f>
        <v>Субъект Российской Федерации</v>
      </c>
      <c r="C4" s="10" t="str">
        <f>[12]И1!E13</f>
        <v>Новосибирская область</v>
      </c>
    </row>
    <row r="5" spans="1:3" ht="15.95" customHeight="1">
      <c r="A5" s="8"/>
      <c r="B5" s="9" t="str">
        <f>[12]И1!D14</f>
        <v>Тип муниципального образования (выберите из списка)</v>
      </c>
      <c r="C5" s="10" t="str">
        <f>[12]И1!E14</f>
        <v xml:space="preserve">поселок Восход, Новосибирский муниципальный район </v>
      </c>
    </row>
    <row r="6" spans="1:3">
      <c r="A6" s="8"/>
      <c r="B6" s="9" t="str">
        <f>IF([12]И1!E15="","",[12]И1!D15)</f>
        <v/>
      </c>
      <c r="C6" s="7" t="str">
        <f>IF([12]И1!E15="","",[12]И1!E15)</f>
        <v/>
      </c>
    </row>
    <row r="7" spans="1:3">
      <c r="A7" s="8"/>
      <c r="B7" s="9" t="str">
        <f>[12]И1!D16</f>
        <v>Код ОКТМО</v>
      </c>
      <c r="C7" s="11" t="str">
        <f>[12]И1!E16</f>
        <v>50640416101</v>
      </c>
    </row>
    <row r="8" spans="1:3">
      <c r="A8" s="8"/>
      <c r="B8" s="12" t="str">
        <f>[12]И1!D17</f>
        <v>Система теплоснабжения</v>
      </c>
      <c r="C8" s="13">
        <f>[12]И1!E17</f>
        <v>0</v>
      </c>
    </row>
    <row r="9" spans="1:3">
      <c r="A9" s="8"/>
      <c r="B9" s="9" t="str">
        <f>[12]И1!D8</f>
        <v>Период регулирования (i)-й</v>
      </c>
      <c r="C9" s="14">
        <f>[12]И1!E8</f>
        <v>2024</v>
      </c>
    </row>
    <row r="10" spans="1:3">
      <c r="A10" s="8"/>
      <c r="B10" s="9" t="str">
        <f>[12]И1!D9</f>
        <v>Период регулирования (i-1)-й</v>
      </c>
      <c r="C10" s="14">
        <f>[12]И1!E9</f>
        <v>2023</v>
      </c>
    </row>
    <row r="11" spans="1:3">
      <c r="A11" s="8"/>
      <c r="B11" s="9" t="str">
        <f>[12]И1!D10</f>
        <v>Период регулирования (i-2)-й</v>
      </c>
      <c r="C11" s="14">
        <f>[12]И1!E10</f>
        <v>2022</v>
      </c>
    </row>
    <row r="12" spans="1:3">
      <c r="A12" s="8"/>
      <c r="B12" s="9" t="str">
        <f>[12]И1!D11</f>
        <v>Базовый год (б)</v>
      </c>
      <c r="C12" s="14">
        <f>[12]И1!E11</f>
        <v>2019</v>
      </c>
    </row>
    <row r="13" spans="1:3">
      <c r="A13" s="8"/>
      <c r="B13" s="9" t="str">
        <f>[12]И1!D18</f>
        <v>Вид топлива, использование которого преобладает в системе теплоснабжения</v>
      </c>
      <c r="C13" s="15" t="str">
        <f>[12]И1!E18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2966.797064066388</v>
      </c>
    </row>
    <row r="18" spans="1:3" ht="42.75">
      <c r="A18" s="22" t="s">
        <v>8</v>
      </c>
      <c r="B18" s="25" t="s">
        <v>9</v>
      </c>
      <c r="C18" s="26">
        <f>[12]С1!F12</f>
        <v>994.35037159416254</v>
      </c>
    </row>
    <row r="19" spans="1:3" ht="42.75">
      <c r="A19" s="22" t="s">
        <v>10</v>
      </c>
      <c r="B19" s="25" t="s">
        <v>11</v>
      </c>
      <c r="C19" s="26">
        <f>[12]С2!F12</f>
        <v>1337.1646821037446</v>
      </c>
    </row>
    <row r="20" spans="1:3" ht="30">
      <c r="A20" s="22" t="s">
        <v>12</v>
      </c>
      <c r="B20" s="25" t="s">
        <v>13</v>
      </c>
      <c r="C20" s="26">
        <f>[12]С3!F12</f>
        <v>317.6025648848447</v>
      </c>
    </row>
    <row r="21" spans="1:3" ht="42.75">
      <c r="A21" s="22" t="s">
        <v>14</v>
      </c>
      <c r="B21" s="25" t="s">
        <v>228</v>
      </c>
      <c r="C21" s="26">
        <f>[12]С4!F12</f>
        <v>259.5069540313545</v>
      </c>
    </row>
    <row r="22" spans="1:3" ht="33" customHeight="1">
      <c r="A22" s="22" t="s">
        <v>16</v>
      </c>
      <c r="B22" s="25" t="s">
        <v>229</v>
      </c>
      <c r="C22" s="26">
        <f>[12]С5!F12</f>
        <v>58.172491452282124</v>
      </c>
    </row>
    <row r="23" spans="1:3" ht="45.75" customHeight="1" thickBot="1">
      <c r="A23" s="27" t="s">
        <v>18</v>
      </c>
      <c r="B23" s="141" t="s">
        <v>230</v>
      </c>
      <c r="C23" s="28">
        <f>[12]С6!F12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[12]С1.1!E16</f>
        <v>7900</v>
      </c>
    </row>
    <row r="29" spans="1:3" ht="42.75">
      <c r="A29" s="22" t="s">
        <v>10</v>
      </c>
      <c r="B29" s="33" t="s">
        <v>232</v>
      </c>
      <c r="C29" s="34">
        <f>[12]С1.1!E32</f>
        <v>5751.37</v>
      </c>
    </row>
    <row r="30" spans="1:3" ht="38.25">
      <c r="A30" s="22" t="s">
        <v>233</v>
      </c>
      <c r="B30" s="33" t="s">
        <v>234</v>
      </c>
      <c r="C30" s="85" t="str">
        <f>[12]С1.1!E25</f>
        <v>ООО "Газпром газораспределение Томск"</v>
      </c>
    </row>
    <row r="31" spans="1:3" ht="38.25">
      <c r="A31" s="22" t="s">
        <v>235</v>
      </c>
      <c r="B31" s="33" t="str">
        <f>[12]С1.1!D26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[12]С1.1!E26</f>
        <v>4699.5</v>
      </c>
    </row>
    <row r="32" spans="1:3" ht="25.5">
      <c r="A32" s="22" t="s">
        <v>236</v>
      </c>
      <c r="B32" s="33" t="str">
        <f>[12]С1.1!D27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[12]С1.1!E27</f>
        <v>795.43</v>
      </c>
    </row>
    <row r="33" spans="1:3" ht="25.5">
      <c r="A33" s="22" t="s">
        <v>237</v>
      </c>
      <c r="B33" s="33" t="str">
        <f>[12]С1.1!D28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[12]С1.1!E28</f>
        <v>136.54</v>
      </c>
    </row>
    <row r="34" spans="1:3" ht="38.25">
      <c r="A34" s="22" t="s">
        <v>238</v>
      </c>
      <c r="B34" s="33" t="str">
        <f>[12]С1.1!D29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[12]С1.1!E29</f>
        <v>119.9</v>
      </c>
    </row>
    <row r="35" spans="1:3" ht="17.25">
      <c r="A35" s="22" t="s">
        <v>12</v>
      </c>
      <c r="B35" s="33" t="s">
        <v>23</v>
      </c>
      <c r="C35" s="35">
        <f>[12]С1.1!E20</f>
        <v>8.5000000000000006E-2</v>
      </c>
    </row>
    <row r="36" spans="1:3" ht="17.25">
      <c r="A36" s="22" t="s">
        <v>14</v>
      </c>
      <c r="B36" s="33" t="s">
        <v>24</v>
      </c>
      <c r="C36" s="35">
        <f>[12]С1.1!E21</f>
        <v>0.112</v>
      </c>
    </row>
    <row r="37" spans="1:3" ht="30">
      <c r="A37" s="22" t="s">
        <v>16</v>
      </c>
      <c r="B37" s="36" t="s">
        <v>239</v>
      </c>
      <c r="C37" s="121">
        <f>[12]С1!F13</f>
        <v>156.1</v>
      </c>
    </row>
    <row r="38" spans="1:3">
      <c r="A38" s="22" t="s">
        <v>18</v>
      </c>
      <c r="B38" s="36" t="s">
        <v>26</v>
      </c>
      <c r="C38" s="38">
        <f>[12]С1!F16</f>
        <v>7000</v>
      </c>
    </row>
    <row r="39" spans="1:3" ht="14.25">
      <c r="A39" s="122" t="s">
        <v>27</v>
      </c>
      <c r="B39" s="39" t="s">
        <v>240</v>
      </c>
      <c r="C39" s="40">
        <f>[12]С1!F17</f>
        <v>1.1285714285714286</v>
      </c>
    </row>
    <row r="40" spans="1:3" ht="15.75">
      <c r="A40" s="123" t="s">
        <v>29</v>
      </c>
      <c r="B40" s="42" t="s">
        <v>30</v>
      </c>
      <c r="C40" s="40">
        <f>[12]С1!F20</f>
        <v>22.307053372799995</v>
      </c>
    </row>
    <row r="41" spans="1:3" ht="15.75">
      <c r="A41" s="123" t="s">
        <v>31</v>
      </c>
      <c r="B41" s="43" t="s">
        <v>32</v>
      </c>
      <c r="C41" s="40">
        <f>[12]С1!F21</f>
        <v>21.531904799999996</v>
      </c>
    </row>
    <row r="42" spans="1:3" ht="14.25">
      <c r="A42" s="123" t="s">
        <v>33</v>
      </c>
      <c r="B42" s="44" t="s">
        <v>34</v>
      </c>
      <c r="C42" s="40">
        <f>[12]С1!F22</f>
        <v>1.036</v>
      </c>
    </row>
    <row r="43" spans="1:3" ht="53.25" thickBot="1">
      <c r="A43" s="27" t="s">
        <v>35</v>
      </c>
      <c r="B43" s="45" t="s">
        <v>36</v>
      </c>
      <c r="C43" s="46" t="str">
        <f>[12]С1!F23</f>
        <v>-</v>
      </c>
    </row>
    <row r="44" spans="1:3" ht="13.5" thickBot="1">
      <c r="A44" s="47"/>
      <c r="B44" s="75"/>
      <c r="C44" s="15"/>
    </row>
    <row r="45" spans="1:3" ht="30" customHeight="1">
      <c r="A45" s="50" t="s">
        <v>37</v>
      </c>
      <c r="B45" s="145" t="s">
        <v>38</v>
      </c>
      <c r="C45" s="145"/>
    </row>
    <row r="46" spans="1:3" ht="25.5">
      <c r="A46" s="22" t="s">
        <v>39</v>
      </c>
      <c r="B46" s="36" t="s">
        <v>40</v>
      </c>
      <c r="C46" s="51" t="str">
        <f>[12]С2.1!E12</f>
        <v>V</v>
      </c>
    </row>
    <row r="47" spans="1:3" ht="25.5">
      <c r="A47" s="22" t="s">
        <v>41</v>
      </c>
      <c r="B47" s="33" t="s">
        <v>42</v>
      </c>
      <c r="C47" s="51" t="str">
        <f>[12]С2.1!E13</f>
        <v>6 и менее баллов</v>
      </c>
    </row>
    <row r="48" spans="1:3" ht="25.5">
      <c r="A48" s="22" t="s">
        <v>43</v>
      </c>
      <c r="B48" s="33" t="s">
        <v>241</v>
      </c>
      <c r="C48" s="51" t="str">
        <f>[12]С2.1!E14</f>
        <v>от 200 до 500</v>
      </c>
    </row>
    <row r="49" spans="1:3" ht="25.5">
      <c r="A49" s="22" t="s">
        <v>45</v>
      </c>
      <c r="B49" s="33" t="s">
        <v>242</v>
      </c>
      <c r="C49" s="52" t="str">
        <f>[12]С2.1!E15</f>
        <v>нет</v>
      </c>
    </row>
    <row r="50" spans="1:3" ht="30">
      <c r="A50" s="22" t="s">
        <v>47</v>
      </c>
      <c r="B50" s="33" t="s">
        <v>48</v>
      </c>
      <c r="C50" s="34">
        <f>[12]С2!F18</f>
        <v>35106.652004551666</v>
      </c>
    </row>
    <row r="51" spans="1:3" ht="30">
      <c r="A51" s="22" t="s">
        <v>49</v>
      </c>
      <c r="B51" s="53" t="s">
        <v>50</v>
      </c>
      <c r="C51" s="34">
        <f>IF([12]С2!F19&gt;0,[12]С2!F19,[12]С2!F20)</f>
        <v>23441.524932855718</v>
      </c>
    </row>
    <row r="52" spans="1:3" ht="25.5">
      <c r="A52" s="22" t="s">
        <v>51</v>
      </c>
      <c r="B52" s="54" t="s">
        <v>52</v>
      </c>
      <c r="C52" s="34">
        <f>[12]С2.1!E20</f>
        <v>-37</v>
      </c>
    </row>
    <row r="53" spans="1:3" ht="25.5">
      <c r="A53" s="22" t="s">
        <v>53</v>
      </c>
      <c r="B53" s="54" t="s">
        <v>54</v>
      </c>
      <c r="C53" s="34" t="str">
        <f>[12]С2.1!E23</f>
        <v>нет</v>
      </c>
    </row>
    <row r="54" spans="1:3" ht="38.25">
      <c r="A54" s="22" t="s">
        <v>55</v>
      </c>
      <c r="B54" s="55" t="s">
        <v>56</v>
      </c>
      <c r="C54" s="34">
        <f>[12]С2.2!E10</f>
        <v>1287</v>
      </c>
    </row>
    <row r="55" spans="1:3" ht="25.5">
      <c r="A55" s="22" t="s">
        <v>57</v>
      </c>
      <c r="B55" s="56" t="s">
        <v>58</v>
      </c>
      <c r="C55" s="34">
        <f>[12]С2.2!E12</f>
        <v>5.97</v>
      </c>
    </row>
    <row r="56" spans="1:3" ht="52.5">
      <c r="A56" s="22" t="s">
        <v>59</v>
      </c>
      <c r="B56" s="57" t="s">
        <v>60</v>
      </c>
      <c r="C56" s="34">
        <f>[12]С2.2!E13</f>
        <v>1</v>
      </c>
    </row>
    <row r="57" spans="1:3" ht="27.75">
      <c r="A57" s="22" t="s">
        <v>61</v>
      </c>
      <c r="B57" s="56" t="s">
        <v>62</v>
      </c>
      <c r="C57" s="34">
        <f>[12]С2.2!E14</f>
        <v>12104</v>
      </c>
    </row>
    <row r="58" spans="1:3" ht="25.5">
      <c r="A58" s="22" t="s">
        <v>63</v>
      </c>
      <c r="B58" s="57" t="s">
        <v>64</v>
      </c>
      <c r="C58" s="35">
        <f>[12]С2.2!E15</f>
        <v>4.8000000000000001E-2</v>
      </c>
    </row>
    <row r="59" spans="1:3">
      <c r="A59" s="22" t="s">
        <v>65</v>
      </c>
      <c r="B59" s="57" t="s">
        <v>66</v>
      </c>
      <c r="C59" s="124">
        <f>[12]С2.2!E16</f>
        <v>1</v>
      </c>
    </row>
    <row r="60" spans="1:3" ht="15.75">
      <c r="A60" s="22" t="s">
        <v>67</v>
      </c>
      <c r="B60" s="58" t="s">
        <v>68</v>
      </c>
      <c r="C60" s="34">
        <f>[12]С2!F21</f>
        <v>1</v>
      </c>
    </row>
    <row r="61" spans="1:3" ht="30">
      <c r="A61" s="59" t="s">
        <v>69</v>
      </c>
      <c r="B61" s="33" t="s">
        <v>243</v>
      </c>
      <c r="C61" s="34">
        <f>[12]С2!F13</f>
        <v>105136.23090983224</v>
      </c>
    </row>
    <row r="62" spans="1:3" ht="30">
      <c r="A62" s="59" t="s">
        <v>71</v>
      </c>
      <c r="B62" s="60" t="s">
        <v>244</v>
      </c>
      <c r="C62" s="34">
        <f>[12]С2!F14</f>
        <v>64899</v>
      </c>
    </row>
    <row r="63" spans="1:3" ht="15.75">
      <c r="A63" s="59" t="s">
        <v>73</v>
      </c>
      <c r="B63" s="60" t="s">
        <v>74</v>
      </c>
      <c r="C63" s="40">
        <f>[12]С2!F15</f>
        <v>1.071</v>
      </c>
    </row>
    <row r="64" spans="1:3" ht="15.75">
      <c r="A64" s="59" t="s">
        <v>75</v>
      </c>
      <c r="B64" s="60" t="s">
        <v>76</v>
      </c>
      <c r="C64" s="125">
        <f>[12]С2!F16</f>
        <v>1</v>
      </c>
    </row>
    <row r="65" spans="1:3" ht="17.25">
      <c r="A65" s="59" t="s">
        <v>77</v>
      </c>
      <c r="B65" s="60" t="s">
        <v>78</v>
      </c>
      <c r="C65" s="126">
        <f>[12]С2!F17</f>
        <v>1.01</v>
      </c>
    </row>
    <row r="66" spans="1:3" s="63" customFormat="1" ht="14.25">
      <c r="A66" s="59" t="s">
        <v>79</v>
      </c>
      <c r="B66" s="61" t="s">
        <v>80</v>
      </c>
      <c r="C66" s="62">
        <f>[12]С2!F35</f>
        <v>10</v>
      </c>
    </row>
    <row r="67" spans="1:3" ht="30">
      <c r="A67" s="59" t="s">
        <v>81</v>
      </c>
      <c r="B67" s="64" t="s">
        <v>82</v>
      </c>
      <c r="C67" s="34">
        <f>[12]С2!F28</f>
        <v>141.64867100230373</v>
      </c>
    </row>
    <row r="68" spans="1:3" ht="17.25">
      <c r="A68" s="59" t="s">
        <v>83</v>
      </c>
      <c r="B68" s="53" t="s">
        <v>245</v>
      </c>
      <c r="C68" s="40">
        <f>[12]С2!F29</f>
        <v>0.18916419899999998</v>
      </c>
    </row>
    <row r="69" spans="1:3" ht="17.25">
      <c r="A69" s="59" t="s">
        <v>85</v>
      </c>
      <c r="B69" s="58" t="s">
        <v>246</v>
      </c>
      <c r="C69" s="62">
        <f>[12]С2!F30</f>
        <v>500</v>
      </c>
    </row>
    <row r="70" spans="1:3" ht="42.75">
      <c r="A70" s="59" t="s">
        <v>87</v>
      </c>
      <c r="B70" s="33" t="s">
        <v>247</v>
      </c>
      <c r="C70" s="34">
        <f>[12]С2!F22</f>
        <v>39638.324046481182</v>
      </c>
    </row>
    <row r="71" spans="1:3" ht="30">
      <c r="A71" s="59" t="s">
        <v>89</v>
      </c>
      <c r="B71" s="60" t="s">
        <v>248</v>
      </c>
      <c r="C71" s="34">
        <f>[12]С2!F23</f>
        <v>21</v>
      </c>
    </row>
    <row r="72" spans="1:3" ht="30">
      <c r="A72" s="59" t="s">
        <v>91</v>
      </c>
      <c r="B72" s="53" t="s">
        <v>92</v>
      </c>
      <c r="C72" s="34">
        <f>[12]С2.1!E28</f>
        <v>14036.09995</v>
      </c>
    </row>
    <row r="73" spans="1:3" ht="38.25">
      <c r="A73" s="59" t="s">
        <v>93</v>
      </c>
      <c r="B73" s="65" t="s">
        <v>94</v>
      </c>
      <c r="C73" s="52">
        <f>[12]С2.3!E21</f>
        <v>0</v>
      </c>
    </row>
    <row r="74" spans="1:3" ht="25.5">
      <c r="A74" s="59" t="s">
        <v>95</v>
      </c>
      <c r="B74" s="66" t="s">
        <v>96</v>
      </c>
      <c r="C74" s="67">
        <f>[12]С2.3!E11</f>
        <v>5.45</v>
      </c>
    </row>
    <row r="75" spans="1:3" ht="25.5">
      <c r="A75" s="59" t="s">
        <v>97</v>
      </c>
      <c r="B75" s="66" t="s">
        <v>98</v>
      </c>
      <c r="C75" s="62">
        <f>[12]С2.3!E13</f>
        <v>300</v>
      </c>
    </row>
    <row r="76" spans="1:3" ht="25.5">
      <c r="A76" s="59" t="s">
        <v>99</v>
      </c>
      <c r="B76" s="65" t="s">
        <v>100</v>
      </c>
      <c r="C76" s="68">
        <f>IF([12]С2.3!E22&gt;0,[12]С2.3!E22,[12]С2.3!E14)</f>
        <v>61211</v>
      </c>
    </row>
    <row r="77" spans="1:3" ht="38.25">
      <c r="A77" s="59" t="s">
        <v>101</v>
      </c>
      <c r="B77" s="65" t="s">
        <v>102</v>
      </c>
      <c r="C77" s="68">
        <f>IF([12]С2.3!E23&gt;0,[12]С2.3!E23,[12]С2.3!E15)</f>
        <v>45675</v>
      </c>
    </row>
    <row r="78" spans="1:3" ht="30">
      <c r="A78" s="59" t="s">
        <v>103</v>
      </c>
      <c r="B78" s="53" t="s">
        <v>104</v>
      </c>
      <c r="C78" s="34">
        <f>[12]С2.1!E29</f>
        <v>9518.3274000000001</v>
      </c>
    </row>
    <row r="79" spans="1:3" ht="38.25">
      <c r="A79" s="59" t="s">
        <v>105</v>
      </c>
      <c r="B79" s="65" t="s">
        <v>106</v>
      </c>
      <c r="C79" s="52">
        <f>[12]С2.3!E25</f>
        <v>0</v>
      </c>
    </row>
    <row r="80" spans="1:3" ht="25.5">
      <c r="A80" s="59" t="s">
        <v>107</v>
      </c>
      <c r="B80" s="66" t="s">
        <v>108</v>
      </c>
      <c r="C80" s="67">
        <f>[12]С2.3!E12</f>
        <v>0.2</v>
      </c>
    </row>
    <row r="81" spans="1:3" ht="25.5">
      <c r="A81" s="59" t="s">
        <v>109</v>
      </c>
      <c r="B81" s="66" t="s">
        <v>98</v>
      </c>
      <c r="C81" s="62">
        <f>[12]С2.3!E13</f>
        <v>300</v>
      </c>
    </row>
    <row r="82" spans="1:3" ht="25.5">
      <c r="A82" s="59" t="s">
        <v>110</v>
      </c>
      <c r="B82" s="69" t="s">
        <v>111</v>
      </c>
      <c r="C82" s="68">
        <f>IF([12]С2.3!E26&gt;0,[12]С2.3!E26,[12]С2.3!E16)</f>
        <v>65637</v>
      </c>
    </row>
    <row r="83" spans="1:3" ht="38.25">
      <c r="A83" s="59" t="s">
        <v>112</v>
      </c>
      <c r="B83" s="69" t="s">
        <v>113</v>
      </c>
      <c r="C83" s="68">
        <f>IF([12]С2.3!E27&gt;0,[12]С2.3!E27,[12]С2.3!E17)</f>
        <v>31684</v>
      </c>
    </row>
    <row r="84" spans="1:3" ht="30">
      <c r="A84" s="59" t="s">
        <v>249</v>
      </c>
      <c r="B84" s="60" t="s">
        <v>250</v>
      </c>
      <c r="C84" s="68">
        <f>IF([12]С2.1!E19&gt;0,[12]С2.1!E19,[12]С2!F26)</f>
        <v>2892</v>
      </c>
    </row>
    <row r="85" spans="1:3" ht="17.25">
      <c r="A85" s="59" t="s">
        <v>114</v>
      </c>
      <c r="B85" s="33" t="s">
        <v>115</v>
      </c>
      <c r="C85" s="35">
        <f>[12]С2!F31</f>
        <v>9.5962865259740182E-2</v>
      </c>
    </row>
    <row r="86" spans="1:3" ht="30">
      <c r="A86" s="59" t="s">
        <v>116</v>
      </c>
      <c r="B86" s="53" t="s">
        <v>117</v>
      </c>
      <c r="C86" s="70">
        <f>[12]С2!F32</f>
        <v>8.4029304029304031E-2</v>
      </c>
    </row>
    <row r="87" spans="1:3" ht="17.25">
      <c r="A87" s="59" t="s">
        <v>118</v>
      </c>
      <c r="B87" s="71" t="s">
        <v>119</v>
      </c>
      <c r="C87" s="35">
        <f>[12]С2!F33</f>
        <v>0.13880000000000001</v>
      </c>
    </row>
    <row r="88" spans="1:3" s="63" customFormat="1" ht="18" thickBot="1">
      <c r="A88" s="72" t="s">
        <v>120</v>
      </c>
      <c r="B88" s="73" t="s">
        <v>121</v>
      </c>
      <c r="C88" s="74">
        <f>[12]С2!F34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[12]С3!F14</f>
        <v>4199.9055432306041</v>
      </c>
    </row>
    <row r="92" spans="1:3" s="63" customFormat="1" ht="42.75">
      <c r="A92" s="77" t="s">
        <v>126</v>
      </c>
      <c r="B92" s="53" t="s">
        <v>127</v>
      </c>
      <c r="C92" s="78">
        <f>[12]С3!F15</f>
        <v>0.2</v>
      </c>
    </row>
    <row r="93" spans="1:3" s="63" customFormat="1" ht="14.25">
      <c r="A93" s="77" t="s">
        <v>128</v>
      </c>
      <c r="B93" s="79" t="s">
        <v>129</v>
      </c>
      <c r="C93" s="62">
        <f>[12]С3!F18</f>
        <v>15</v>
      </c>
    </row>
    <row r="94" spans="1:3" s="63" customFormat="1" ht="17.25">
      <c r="A94" s="77" t="s">
        <v>130</v>
      </c>
      <c r="B94" s="33" t="s">
        <v>131</v>
      </c>
      <c r="C94" s="34">
        <f>[12]С3!F19</f>
        <v>2638.2577020926874</v>
      </c>
    </row>
    <row r="95" spans="1:3" s="63" customFormat="1" ht="55.5">
      <c r="A95" s="77" t="s">
        <v>132</v>
      </c>
      <c r="B95" s="53" t="s">
        <v>133</v>
      </c>
      <c r="C95" s="80">
        <f>[12]С3!F20</f>
        <v>2.1999999999999999E-2</v>
      </c>
    </row>
    <row r="96" spans="1:3" s="63" customFormat="1" ht="14.25">
      <c r="A96" s="77" t="s">
        <v>134</v>
      </c>
      <c r="B96" s="58" t="s">
        <v>80</v>
      </c>
      <c r="C96" s="62">
        <f>[12]С3!F21</f>
        <v>10</v>
      </c>
    </row>
    <row r="97" spans="1:3" s="63" customFormat="1" ht="17.25">
      <c r="A97" s="77" t="s">
        <v>135</v>
      </c>
      <c r="B97" s="33" t="s">
        <v>136</v>
      </c>
      <c r="C97" s="34">
        <f>[12]С3!F22</f>
        <v>0.42494601300691121</v>
      </c>
    </row>
    <row r="98" spans="1:3" s="63" customFormat="1" ht="55.5">
      <c r="A98" s="77" t="s">
        <v>137</v>
      </c>
      <c r="B98" s="53" t="s">
        <v>138</v>
      </c>
      <c r="C98" s="80">
        <f>[12]С3!F23</f>
        <v>3.0000000000000001E-3</v>
      </c>
    </row>
    <row r="99" spans="1:3" s="63" customFormat="1" ht="30.75" thickBot="1">
      <c r="A99" s="81" t="s">
        <v>139</v>
      </c>
      <c r="B99" s="82" t="s">
        <v>82</v>
      </c>
      <c r="C99" s="83">
        <f>[12]С3!F24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[12]С4!F16</f>
        <v>832.33500000000004</v>
      </c>
    </row>
    <row r="103" spans="1:3" ht="30">
      <c r="A103" s="59" t="s">
        <v>145</v>
      </c>
      <c r="B103" s="58" t="s">
        <v>252</v>
      </c>
      <c r="C103" s="34">
        <f>[12]С4!F17</f>
        <v>43385</v>
      </c>
    </row>
    <row r="104" spans="1:3" ht="17.25">
      <c r="A104" s="59" t="s">
        <v>147</v>
      </c>
      <c r="B104" s="58" t="s">
        <v>148</v>
      </c>
      <c r="C104" s="40">
        <f>[12]С4!F18</f>
        <v>1.4999999999999999E-2</v>
      </c>
    </row>
    <row r="105" spans="1:3" ht="30">
      <c r="A105" s="59" t="s">
        <v>149</v>
      </c>
      <c r="B105" s="58" t="s">
        <v>150</v>
      </c>
      <c r="C105" s="34">
        <f>[12]С4!F19</f>
        <v>12104</v>
      </c>
    </row>
    <row r="106" spans="1:3" ht="31.5">
      <c r="A106" s="59" t="s">
        <v>151</v>
      </c>
      <c r="B106" s="58" t="s">
        <v>152</v>
      </c>
      <c r="C106" s="40">
        <f>[12]С4!F20</f>
        <v>1.4999999999999999E-2</v>
      </c>
    </row>
    <row r="107" spans="1:3" ht="30">
      <c r="A107" s="59" t="s">
        <v>153</v>
      </c>
      <c r="B107" s="33" t="s">
        <v>253</v>
      </c>
      <c r="C107" s="34">
        <f>[12]С4!F21</f>
        <v>1221.9019409821399</v>
      </c>
    </row>
    <row r="108" spans="1:3" ht="45.6" customHeight="1">
      <c r="A108" s="59" t="s">
        <v>155</v>
      </c>
      <c r="B108" s="53" t="s">
        <v>156</v>
      </c>
      <c r="C108" s="85" t="str">
        <f>IF([12]С4.2!F8="да",[12]С4.2!D21,[12]С4.2!D15)</f>
        <v>АО "Новосибирскэнергосбыт"</v>
      </c>
    </row>
    <row r="109" spans="1:3" ht="68.25" customHeight="1">
      <c r="A109" s="59" t="s">
        <v>157</v>
      </c>
      <c r="B109" s="53" t="s">
        <v>158</v>
      </c>
      <c r="C109" s="34">
        <f>[12]С4!F22</f>
        <v>3.6112641666666665</v>
      </c>
    </row>
    <row r="110" spans="1:3" ht="30">
      <c r="A110" s="59" t="s">
        <v>159</v>
      </c>
      <c r="B110" s="58" t="s">
        <v>254</v>
      </c>
      <c r="C110" s="62">
        <f>[12]С4!F23</f>
        <v>110</v>
      </c>
    </row>
    <row r="111" spans="1:3" ht="14.25">
      <c r="A111" s="59" t="s">
        <v>161</v>
      </c>
      <c r="B111" s="53" t="s">
        <v>162</v>
      </c>
      <c r="C111" s="34">
        <f>[12]С4!F24</f>
        <v>8497.1999999999989</v>
      </c>
    </row>
    <row r="112" spans="1:3" ht="14.25">
      <c r="A112" s="59" t="s">
        <v>163</v>
      </c>
      <c r="B112" s="58" t="s">
        <v>164</v>
      </c>
      <c r="C112" s="40">
        <f>[12]С4!F25</f>
        <v>0.36199999999999999</v>
      </c>
    </row>
    <row r="113" spans="1:3" ht="17.25">
      <c r="A113" s="59" t="s">
        <v>165</v>
      </c>
      <c r="B113" s="33" t="s">
        <v>166</v>
      </c>
      <c r="C113" s="34">
        <f>[12]С4!F26</f>
        <v>43.11507000000001</v>
      </c>
    </row>
    <row r="114" spans="1:3" ht="25.5">
      <c r="A114" s="59" t="s">
        <v>167</v>
      </c>
      <c r="B114" s="53" t="s">
        <v>94</v>
      </c>
      <c r="C114" s="85">
        <f>[12]С4.3!E16</f>
        <v>0</v>
      </c>
    </row>
    <row r="115" spans="1:3" ht="25.5">
      <c r="A115" s="59" t="s">
        <v>168</v>
      </c>
      <c r="B115" s="53" t="s">
        <v>169</v>
      </c>
      <c r="C115" s="34">
        <f>[12]С4.3!E17</f>
        <v>21.1</v>
      </c>
    </row>
    <row r="116" spans="1:3" ht="38.25">
      <c r="A116" s="59" t="s">
        <v>170</v>
      </c>
      <c r="B116" s="53" t="s">
        <v>106</v>
      </c>
      <c r="C116" s="85">
        <f>[12]С4.3!E18</f>
        <v>0</v>
      </c>
    </row>
    <row r="117" spans="1:3">
      <c r="A117" s="59" t="s">
        <v>171</v>
      </c>
      <c r="B117" s="53" t="s">
        <v>172</v>
      </c>
      <c r="C117" s="34">
        <f>[12]С4.3!E19</f>
        <v>32.19</v>
      </c>
    </row>
    <row r="118" spans="1:3">
      <c r="A118" s="59" t="s">
        <v>173</v>
      </c>
      <c r="B118" s="58" t="s">
        <v>174</v>
      </c>
      <c r="C118" s="62">
        <f>[12]С4.3!E11</f>
        <v>1871</v>
      </c>
    </row>
    <row r="119" spans="1:3">
      <c r="A119" s="59" t="s">
        <v>175</v>
      </c>
      <c r="B119" s="58" t="s">
        <v>176</v>
      </c>
      <c r="C119" s="52">
        <f>[12]С4.3!E12</f>
        <v>61</v>
      </c>
    </row>
    <row r="120" spans="1:3">
      <c r="A120" s="59" t="s">
        <v>177</v>
      </c>
      <c r="B120" s="58" t="s">
        <v>178</v>
      </c>
      <c r="C120" s="52">
        <f>[12]С4.3!E13</f>
        <v>73</v>
      </c>
    </row>
    <row r="121" spans="1:3" ht="30">
      <c r="A121" s="59" t="s">
        <v>179</v>
      </c>
      <c r="B121" s="33" t="s">
        <v>255</v>
      </c>
      <c r="C121" s="34">
        <f>[12]С4!F27</f>
        <v>1296.7467102743137</v>
      </c>
    </row>
    <row r="122" spans="1:3" ht="25.5">
      <c r="A122" s="59" t="s">
        <v>181</v>
      </c>
      <c r="B122" s="53" t="s">
        <v>256</v>
      </c>
      <c r="C122" s="34">
        <f>[12]С4!F28</f>
        <v>995.96521526444985</v>
      </c>
    </row>
    <row r="123" spans="1:3" ht="42.75">
      <c r="A123" s="59" t="s">
        <v>183</v>
      </c>
      <c r="B123" s="53" t="s">
        <v>184</v>
      </c>
      <c r="C123" s="34">
        <f>[12]С4!F29</f>
        <v>300.78149500986387</v>
      </c>
    </row>
    <row r="124" spans="1:3" ht="30.75" thickBot="1">
      <c r="A124" s="72" t="s">
        <v>185</v>
      </c>
      <c r="B124" s="90" t="s">
        <v>186</v>
      </c>
      <c r="C124" s="83">
        <f>[12]С4!F30</f>
        <v>504.58639683391385</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[12]С5!F17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IF([12]С6.1!E11="нет",[12]С6!F13,"")</f>
        <v/>
      </c>
    </row>
    <row r="131" spans="1:3" ht="42.75">
      <c r="A131" s="59" t="s">
        <v>204</v>
      </c>
      <c r="B131" s="86" t="s">
        <v>205</v>
      </c>
      <c r="C131" s="92" t="str">
        <f>IF([12]С6.1!E12="нет",[12]С6.1!E17,"")</f>
        <v/>
      </c>
    </row>
    <row r="132" spans="1:3" ht="68.25">
      <c r="A132" s="59" t="s">
        <v>206</v>
      </c>
      <c r="B132" s="91" t="s">
        <v>207</v>
      </c>
      <c r="C132" s="127" t="str">
        <f>IF([12]С6.1!E18="нет",[12]С6!F19,"")</f>
        <v/>
      </c>
    </row>
    <row r="133" spans="1:3" ht="55.5">
      <c r="A133" s="59" t="s">
        <v>208</v>
      </c>
      <c r="B133" s="86" t="s">
        <v>209</v>
      </c>
      <c r="C133" s="35" t="str">
        <f>IF([12]С6.1!E18="нет",[12]С6.1!E19,"")</f>
        <v/>
      </c>
    </row>
    <row r="134" spans="1:3" ht="61.5" customHeight="1">
      <c r="A134" s="59" t="s">
        <v>210</v>
      </c>
      <c r="B134" s="86" t="s">
        <v>257</v>
      </c>
      <c r="C134" s="35" t="str">
        <f>IF([12]С6.1!E18="нет",[12]С6.1!E22,"")</f>
        <v/>
      </c>
    </row>
    <row r="135" spans="1:3" ht="69" thickBot="1">
      <c r="A135" s="72" t="s">
        <v>212</v>
      </c>
      <c r="B135" s="98" t="s">
        <v>213</v>
      </c>
      <c r="C135" s="74" t="str">
        <f>IF([12]С6.1!E18="нет",[12]С6.1!E23,"")</f>
        <v/>
      </c>
    </row>
    <row r="136" spans="1:3" s="89" customFormat="1" ht="13.5" thickBot="1">
      <c r="A136" s="47"/>
      <c r="B136" s="75"/>
      <c r="C136" s="15"/>
    </row>
    <row r="137" spans="1:3" ht="15.75">
      <c r="A137" s="84" t="s">
        <v>214</v>
      </c>
      <c r="B137" s="99" t="s">
        <v>215</v>
      </c>
      <c r="C137" s="100">
        <f>[12]С2!F39</f>
        <v>21.531904799999996</v>
      </c>
    </row>
    <row r="138" spans="1:3" ht="14.25">
      <c r="A138" s="59" t="s">
        <v>216</v>
      </c>
      <c r="B138" s="58" t="s">
        <v>217</v>
      </c>
      <c r="C138" s="34">
        <f>[12]С2!F40</f>
        <v>7</v>
      </c>
    </row>
    <row r="139" spans="1:3" ht="17.25">
      <c r="A139" s="59" t="s">
        <v>218</v>
      </c>
      <c r="B139" s="58" t="s">
        <v>219</v>
      </c>
      <c r="C139" s="34">
        <f>[12]С2!F42</f>
        <v>0.97</v>
      </c>
    </row>
    <row r="140" spans="1:3" ht="15" thickBot="1">
      <c r="A140" s="72" t="s">
        <v>220</v>
      </c>
      <c r="B140" s="73" t="s">
        <v>221</v>
      </c>
      <c r="C140" s="46">
        <f>[12]С2!F44</f>
        <v>0.36199999999999999</v>
      </c>
    </row>
    <row r="141" spans="1:3" s="89" customFormat="1" ht="13.5" thickBot="1">
      <c r="A141" s="47"/>
      <c r="B141" s="75"/>
      <c r="C141" s="15"/>
    </row>
    <row r="142" spans="1:3" ht="17.25">
      <c r="A142" s="84" t="s">
        <v>222</v>
      </c>
      <c r="B142" s="103" t="s">
        <v>258</v>
      </c>
      <c r="C142" s="128">
        <f>[12]С2!F37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[12]С2.5!$E$11</f>
        <v>-2.9000000000000026E-2</v>
      </c>
    </row>
    <row r="146" spans="1:3">
      <c r="B146" s="131">
        <f>B145+1</f>
        <v>2021</v>
      </c>
      <c r="C146" s="133">
        <f>[12]С2.5!$F$11</f>
        <v>0.245</v>
      </c>
    </row>
    <row r="147" spans="1:3">
      <c r="B147" s="131">
        <f t="shared" ref="B147:B210" si="0">B146+1</f>
        <v>2022</v>
      </c>
      <c r="C147" s="134">
        <f>[12]С2.5!$G$11</f>
        <v>0.114</v>
      </c>
    </row>
    <row r="148" spans="1:3">
      <c r="B148" s="110">
        <f t="shared" si="0"/>
        <v>2023</v>
      </c>
      <c r="C148" s="135">
        <f>[12]С2.5!$H$11</f>
        <v>2.4E-2</v>
      </c>
    </row>
    <row r="149" spans="1:3" ht="13.5" thickBot="1">
      <c r="B149" s="110">
        <f t="shared" si="0"/>
        <v>2024</v>
      </c>
      <c r="C149" s="135">
        <f>[12]С2.5!$I$11</f>
        <v>8.5999999999999993E-2</v>
      </c>
    </row>
    <row r="150" spans="1:3" ht="13.5" hidden="1" thickBot="1">
      <c r="B150" s="110">
        <f t="shared" si="0"/>
        <v>2025</v>
      </c>
      <c r="C150" s="135">
        <f>[12]С2.5!$J$11</f>
        <v>0</v>
      </c>
    </row>
    <row r="151" spans="1:3" ht="13.5" hidden="1" thickBot="1">
      <c r="B151" s="110">
        <f t="shared" si="0"/>
        <v>2026</v>
      </c>
      <c r="C151" s="135">
        <f>[12]С2.5!$K$11</f>
        <v>0</v>
      </c>
    </row>
    <row r="152" spans="1:3" ht="13.5" hidden="1" thickBot="1">
      <c r="B152" s="110">
        <f t="shared" si="0"/>
        <v>2027</v>
      </c>
      <c r="C152" s="135">
        <f>[12]С2.5!$L$11</f>
        <v>0</v>
      </c>
    </row>
    <row r="153" spans="1:3" ht="13.5" hidden="1" thickBot="1">
      <c r="B153" s="110">
        <f t="shared" si="0"/>
        <v>2028</v>
      </c>
      <c r="C153" s="135">
        <f>[12]С2.5!$M$11</f>
        <v>0</v>
      </c>
    </row>
    <row r="154" spans="1:3" ht="13.5" hidden="1" thickBot="1">
      <c r="B154" s="110">
        <f t="shared" si="0"/>
        <v>2029</v>
      </c>
      <c r="C154" s="135">
        <f>[12]С2.5!$N$11</f>
        <v>0</v>
      </c>
    </row>
    <row r="155" spans="1:3" ht="13.5" hidden="1" thickBot="1">
      <c r="B155" s="110">
        <f t="shared" si="0"/>
        <v>2030</v>
      </c>
      <c r="C155" s="135">
        <f>[12]С2.5!$O$11</f>
        <v>0</v>
      </c>
    </row>
    <row r="156" spans="1:3" ht="13.5" hidden="1" thickBot="1">
      <c r="B156" s="110">
        <f t="shared" si="0"/>
        <v>2031</v>
      </c>
      <c r="C156" s="135">
        <f>[12]С2.5!$P$11</f>
        <v>0</v>
      </c>
    </row>
    <row r="157" spans="1:3" ht="13.5" hidden="1" thickBot="1">
      <c r="B157" s="110">
        <f t="shared" si="0"/>
        <v>2032</v>
      </c>
      <c r="C157" s="135">
        <f>[12]С2.5!$Q$11</f>
        <v>0</v>
      </c>
    </row>
    <row r="158" spans="1:3" ht="13.5" hidden="1" thickBot="1">
      <c r="B158" s="110">
        <f t="shared" si="0"/>
        <v>2033</v>
      </c>
      <c r="C158" s="135">
        <f>[12]С2.5!$R$11</f>
        <v>0</v>
      </c>
    </row>
    <row r="159" spans="1:3" ht="13.5" hidden="1" thickBot="1">
      <c r="B159" s="110">
        <f t="shared" si="0"/>
        <v>2034</v>
      </c>
      <c r="C159" s="135">
        <f>[12]С2.5!$S$11</f>
        <v>0</v>
      </c>
    </row>
    <row r="160" spans="1:3" ht="13.5" hidden="1" thickBot="1">
      <c r="B160" s="110">
        <f t="shared" si="0"/>
        <v>2035</v>
      </c>
      <c r="C160" s="135">
        <f>[12]С2.5!$T$11</f>
        <v>0</v>
      </c>
    </row>
    <row r="161" spans="2:3" ht="13.5" hidden="1" thickBot="1">
      <c r="B161" s="110">
        <f t="shared" si="0"/>
        <v>2036</v>
      </c>
      <c r="C161" s="135">
        <f>[12]С2.5!$U$11</f>
        <v>0</v>
      </c>
    </row>
    <row r="162" spans="2:3" ht="13.5" hidden="1" thickBot="1">
      <c r="B162" s="110">
        <f t="shared" si="0"/>
        <v>2037</v>
      </c>
      <c r="C162" s="135">
        <f>[12]С2.5!$V$11</f>
        <v>0</v>
      </c>
    </row>
    <row r="163" spans="2:3" ht="13.5" hidden="1" thickBot="1">
      <c r="B163" s="110">
        <f t="shared" si="0"/>
        <v>2038</v>
      </c>
      <c r="C163" s="135">
        <f>[12]С2.5!$W$11</f>
        <v>0</v>
      </c>
    </row>
    <row r="164" spans="2:3" ht="13.5" hidden="1" thickBot="1">
      <c r="B164" s="110">
        <f t="shared" si="0"/>
        <v>2039</v>
      </c>
      <c r="C164" s="135">
        <f>[12]С2.5!$X$11</f>
        <v>0</v>
      </c>
    </row>
    <row r="165" spans="2:3" ht="13.5" hidden="1" thickBot="1">
      <c r="B165" s="110">
        <f t="shared" si="0"/>
        <v>2040</v>
      </c>
      <c r="C165" s="135">
        <f>[12]С2.5!$Y$11</f>
        <v>0</v>
      </c>
    </row>
    <row r="166" spans="2:3" ht="13.5" hidden="1" thickBot="1">
      <c r="B166" s="110">
        <f t="shared" si="0"/>
        <v>2041</v>
      </c>
      <c r="C166" s="135">
        <f>[12]С2.5!$Z$11</f>
        <v>0</v>
      </c>
    </row>
    <row r="167" spans="2:3" ht="13.5" hidden="1" thickBot="1">
      <c r="B167" s="110">
        <f t="shared" si="0"/>
        <v>2042</v>
      </c>
      <c r="C167" s="135">
        <f>[12]С2.5!$AA$11</f>
        <v>0</v>
      </c>
    </row>
    <row r="168" spans="2:3" ht="13.5" hidden="1" thickBot="1">
      <c r="B168" s="110">
        <f t="shared" si="0"/>
        <v>2043</v>
      </c>
      <c r="C168" s="135">
        <f>[12]С2.5!$AB$11</f>
        <v>0</v>
      </c>
    </row>
    <row r="169" spans="2:3" ht="13.5" hidden="1" thickBot="1">
      <c r="B169" s="110">
        <f t="shared" si="0"/>
        <v>2044</v>
      </c>
      <c r="C169" s="135">
        <f>[12]С2.5!$AC$11</f>
        <v>0</v>
      </c>
    </row>
    <row r="170" spans="2:3" ht="13.5" hidden="1" thickBot="1">
      <c r="B170" s="110">
        <f t="shared" si="0"/>
        <v>2045</v>
      </c>
      <c r="C170" s="135">
        <f>[12]С2.5!$AD$11</f>
        <v>0</v>
      </c>
    </row>
    <row r="171" spans="2:3" ht="13.5" hidden="1" thickBot="1">
      <c r="B171" s="110">
        <f t="shared" si="0"/>
        <v>2046</v>
      </c>
      <c r="C171" s="135">
        <f>[12]С2.5!$AE$11</f>
        <v>0</v>
      </c>
    </row>
    <row r="172" spans="2:3" ht="13.5" hidden="1" thickBot="1">
      <c r="B172" s="110">
        <f t="shared" si="0"/>
        <v>2047</v>
      </c>
      <c r="C172" s="135">
        <f>[12]С2.5!$AF$11</f>
        <v>0</v>
      </c>
    </row>
    <row r="173" spans="2:3" ht="13.5" hidden="1" thickBot="1">
      <c r="B173" s="110">
        <f t="shared" si="0"/>
        <v>2048</v>
      </c>
      <c r="C173" s="135">
        <f>[12]С2.5!$AG$11</f>
        <v>0</v>
      </c>
    </row>
    <row r="174" spans="2:3" ht="13.5" hidden="1" thickBot="1">
      <c r="B174" s="110">
        <f t="shared" si="0"/>
        <v>2049</v>
      </c>
      <c r="C174" s="135">
        <f>[12]С2.5!$AH$11</f>
        <v>0</v>
      </c>
    </row>
    <row r="175" spans="2:3" ht="13.5" hidden="1" thickBot="1">
      <c r="B175" s="110">
        <f t="shared" si="0"/>
        <v>2050</v>
      </c>
      <c r="C175" s="135">
        <f>[12]С2.5!$AI$11</f>
        <v>0</v>
      </c>
    </row>
    <row r="176" spans="2:3" ht="13.5" hidden="1" thickBot="1">
      <c r="B176" s="110">
        <f t="shared" si="0"/>
        <v>2051</v>
      </c>
      <c r="C176" s="135">
        <f>[12]С2.5!$AJ$11</f>
        <v>0</v>
      </c>
    </row>
    <row r="177" spans="2:3" ht="13.5" hidden="1" thickBot="1">
      <c r="B177" s="110">
        <f t="shared" si="0"/>
        <v>2052</v>
      </c>
      <c r="C177" s="135">
        <f>[12]С2.5!$AK$11</f>
        <v>0</v>
      </c>
    </row>
    <row r="178" spans="2:3" ht="13.5" hidden="1" thickBot="1">
      <c r="B178" s="110">
        <f t="shared" si="0"/>
        <v>2053</v>
      </c>
      <c r="C178" s="135">
        <f>[12]С2.5!$AL$11</f>
        <v>0</v>
      </c>
    </row>
    <row r="179" spans="2:3" ht="13.5" hidden="1" thickBot="1">
      <c r="B179" s="110">
        <f t="shared" si="0"/>
        <v>2054</v>
      </c>
      <c r="C179" s="135">
        <f>[12]С2.5!$AM$11</f>
        <v>0</v>
      </c>
    </row>
    <row r="180" spans="2:3" ht="13.5" hidden="1" thickBot="1">
      <c r="B180" s="110">
        <f t="shared" si="0"/>
        <v>2055</v>
      </c>
      <c r="C180" s="135">
        <f>[12]С2.5!$AN$11</f>
        <v>0</v>
      </c>
    </row>
    <row r="181" spans="2:3" ht="13.5" hidden="1" thickBot="1">
      <c r="B181" s="110">
        <f t="shared" si="0"/>
        <v>2056</v>
      </c>
      <c r="C181" s="135">
        <f>[12]С2.5!$AO$11</f>
        <v>0</v>
      </c>
    </row>
    <row r="182" spans="2:3" ht="13.5" hidden="1" thickBot="1">
      <c r="B182" s="110">
        <f t="shared" si="0"/>
        <v>2057</v>
      </c>
      <c r="C182" s="135">
        <f>[12]С2.5!$AP$11</f>
        <v>0</v>
      </c>
    </row>
    <row r="183" spans="2:3" ht="13.5" hidden="1" thickBot="1">
      <c r="B183" s="110">
        <f t="shared" si="0"/>
        <v>2058</v>
      </c>
      <c r="C183" s="135">
        <f>[12]С2.5!$AQ$11</f>
        <v>0</v>
      </c>
    </row>
    <row r="184" spans="2:3" ht="13.5" hidden="1" thickBot="1">
      <c r="B184" s="110">
        <f t="shared" si="0"/>
        <v>2059</v>
      </c>
      <c r="C184" s="135">
        <f>[12]С2.5!$AR$11</f>
        <v>0</v>
      </c>
    </row>
    <row r="185" spans="2:3" ht="13.5" hidden="1" thickBot="1">
      <c r="B185" s="110">
        <f t="shared" si="0"/>
        <v>2060</v>
      </c>
      <c r="C185" s="135">
        <f>[12]С2.5!$AS$11</f>
        <v>0</v>
      </c>
    </row>
    <row r="186" spans="2:3" ht="13.5" hidden="1" thickBot="1">
      <c r="B186" s="110">
        <f t="shared" si="0"/>
        <v>2061</v>
      </c>
      <c r="C186" s="135">
        <f>[12]С2.5!$AT$11</f>
        <v>0</v>
      </c>
    </row>
    <row r="187" spans="2:3" ht="13.5" hidden="1" thickBot="1">
      <c r="B187" s="110">
        <f t="shared" si="0"/>
        <v>2062</v>
      </c>
      <c r="C187" s="135">
        <f>[12]С2.5!$AU$11</f>
        <v>0</v>
      </c>
    </row>
    <row r="188" spans="2:3" ht="13.5" hidden="1" thickBot="1">
      <c r="B188" s="110">
        <f t="shared" si="0"/>
        <v>2063</v>
      </c>
      <c r="C188" s="135">
        <f>[12]С2.5!$AV$11</f>
        <v>0</v>
      </c>
    </row>
    <row r="189" spans="2:3" ht="13.5" hidden="1" thickBot="1">
      <c r="B189" s="110">
        <f t="shared" si="0"/>
        <v>2064</v>
      </c>
      <c r="C189" s="135">
        <f>[12]С2.5!$AW$11</f>
        <v>0</v>
      </c>
    </row>
    <row r="190" spans="2:3" ht="13.5" hidden="1" thickBot="1">
      <c r="B190" s="110">
        <f t="shared" si="0"/>
        <v>2065</v>
      </c>
      <c r="C190" s="135">
        <f>[12]С2.5!$AX$11</f>
        <v>0</v>
      </c>
    </row>
    <row r="191" spans="2:3" ht="13.5" hidden="1" thickBot="1">
      <c r="B191" s="110">
        <f t="shared" si="0"/>
        <v>2066</v>
      </c>
      <c r="C191" s="135">
        <f>[12]С2.5!$AY$11</f>
        <v>0</v>
      </c>
    </row>
    <row r="192" spans="2:3" ht="13.5" hidden="1" thickBot="1">
      <c r="B192" s="110">
        <f t="shared" si="0"/>
        <v>2067</v>
      </c>
      <c r="C192" s="135">
        <f>[12]С2.5!$AZ$11</f>
        <v>0</v>
      </c>
    </row>
    <row r="193" spans="2:3" ht="13.5" hidden="1" thickBot="1">
      <c r="B193" s="110">
        <f t="shared" si="0"/>
        <v>2068</v>
      </c>
      <c r="C193" s="135">
        <f>[12]С2.5!$BA$11</f>
        <v>0</v>
      </c>
    </row>
    <row r="194" spans="2:3" ht="13.5" hidden="1" thickBot="1">
      <c r="B194" s="110">
        <f t="shared" si="0"/>
        <v>2069</v>
      </c>
      <c r="C194" s="135">
        <f>[12]С2.5!$BB$11</f>
        <v>0</v>
      </c>
    </row>
    <row r="195" spans="2:3" ht="13.5" hidden="1" thickBot="1">
      <c r="B195" s="110">
        <f t="shared" si="0"/>
        <v>2070</v>
      </c>
      <c r="C195" s="135">
        <f>[12]С2.5!$BC$11</f>
        <v>0</v>
      </c>
    </row>
    <row r="196" spans="2:3" ht="13.5" hidden="1" thickBot="1">
      <c r="B196" s="110">
        <f t="shared" si="0"/>
        <v>2071</v>
      </c>
      <c r="C196" s="135">
        <f>[12]С2.5!$BD$11</f>
        <v>0</v>
      </c>
    </row>
    <row r="197" spans="2:3" ht="13.5" hidden="1" thickBot="1">
      <c r="B197" s="110">
        <f t="shared" si="0"/>
        <v>2072</v>
      </c>
      <c r="C197" s="135">
        <f>[12]С2.5!$BE$11</f>
        <v>0</v>
      </c>
    </row>
    <row r="198" spans="2:3" ht="13.5" hidden="1" thickBot="1">
      <c r="B198" s="110">
        <f t="shared" si="0"/>
        <v>2073</v>
      </c>
      <c r="C198" s="135">
        <f>[12]С2.5!$BF$11</f>
        <v>0</v>
      </c>
    </row>
    <row r="199" spans="2:3" ht="13.5" hidden="1" thickBot="1">
      <c r="B199" s="110">
        <f t="shared" si="0"/>
        <v>2074</v>
      </c>
      <c r="C199" s="135">
        <f>[12]С2.5!$BG$11</f>
        <v>0</v>
      </c>
    </row>
    <row r="200" spans="2:3" ht="13.5" hidden="1" thickBot="1">
      <c r="B200" s="110">
        <f t="shared" si="0"/>
        <v>2075</v>
      </c>
      <c r="C200" s="135">
        <f>[12]С2.5!$BH$11</f>
        <v>0</v>
      </c>
    </row>
    <row r="201" spans="2:3" ht="13.5" hidden="1" thickBot="1">
      <c r="B201" s="110">
        <f t="shared" si="0"/>
        <v>2076</v>
      </c>
      <c r="C201" s="135">
        <f>[12]С2.5!$BI$11</f>
        <v>0</v>
      </c>
    </row>
    <row r="202" spans="2:3" ht="13.5" hidden="1" thickBot="1">
      <c r="B202" s="110">
        <f t="shared" si="0"/>
        <v>2077</v>
      </c>
      <c r="C202" s="135">
        <f>[12]С2.5!$BJ$11</f>
        <v>0</v>
      </c>
    </row>
    <row r="203" spans="2:3" ht="13.5" hidden="1" thickBot="1">
      <c r="B203" s="110">
        <f t="shared" si="0"/>
        <v>2078</v>
      </c>
      <c r="C203" s="135">
        <f>[12]С2.5!$BK$11</f>
        <v>0</v>
      </c>
    </row>
    <row r="204" spans="2:3" ht="13.5" hidden="1" thickBot="1">
      <c r="B204" s="110">
        <f t="shared" si="0"/>
        <v>2079</v>
      </c>
      <c r="C204" s="135">
        <f>[12]С2.5!$BL$11</f>
        <v>0</v>
      </c>
    </row>
    <row r="205" spans="2:3" ht="13.5" hidden="1" thickBot="1">
      <c r="B205" s="110">
        <f t="shared" si="0"/>
        <v>2080</v>
      </c>
      <c r="C205" s="135">
        <f>[12]С2.5!$BM$11</f>
        <v>0</v>
      </c>
    </row>
    <row r="206" spans="2:3" ht="13.5" hidden="1" thickBot="1">
      <c r="B206" s="110">
        <f t="shared" si="0"/>
        <v>2081</v>
      </c>
      <c r="C206" s="135">
        <f>[12]С2.5!$BN$11</f>
        <v>0</v>
      </c>
    </row>
    <row r="207" spans="2:3" ht="13.5" hidden="1" thickBot="1">
      <c r="B207" s="110">
        <f t="shared" si="0"/>
        <v>2082</v>
      </c>
      <c r="C207" s="135">
        <f>[12]С2.5!$BO$11</f>
        <v>0</v>
      </c>
    </row>
    <row r="208" spans="2:3" ht="13.5" hidden="1" thickBot="1">
      <c r="B208" s="110">
        <f t="shared" si="0"/>
        <v>2083</v>
      </c>
      <c r="C208" s="135">
        <f>[12]С2.5!$BP$11</f>
        <v>0</v>
      </c>
    </row>
    <row r="209" spans="2:3" ht="13.5" hidden="1" thickBot="1">
      <c r="B209" s="110">
        <f t="shared" si="0"/>
        <v>2084</v>
      </c>
      <c r="C209" s="135">
        <f>[12]С2.5!$BQ$11</f>
        <v>0</v>
      </c>
    </row>
    <row r="210" spans="2:3" ht="13.5" hidden="1" thickBot="1">
      <c r="B210" s="110">
        <f t="shared" si="0"/>
        <v>2085</v>
      </c>
      <c r="C210" s="135">
        <f>[12]С2.5!$BR$11</f>
        <v>0</v>
      </c>
    </row>
    <row r="211" spans="2:3" ht="13.5" hidden="1" thickBot="1">
      <c r="B211" s="110">
        <f t="shared" ref="B211:B224" si="1">B210+1</f>
        <v>2086</v>
      </c>
      <c r="C211" s="135">
        <f>[12]С2.5!$BS$11</f>
        <v>0</v>
      </c>
    </row>
    <row r="212" spans="2:3" ht="13.5" hidden="1" thickBot="1">
      <c r="B212" s="110">
        <f t="shared" si="1"/>
        <v>2087</v>
      </c>
      <c r="C212" s="135">
        <f>[12]С2.5!$BT$11</f>
        <v>0</v>
      </c>
    </row>
    <row r="213" spans="2:3" ht="13.5" hidden="1" thickBot="1">
      <c r="B213" s="110">
        <f t="shared" si="1"/>
        <v>2088</v>
      </c>
      <c r="C213" s="135">
        <f>[12]С2.5!$BU$11</f>
        <v>0</v>
      </c>
    </row>
    <row r="214" spans="2:3" ht="13.5" hidden="1" thickBot="1">
      <c r="B214" s="110">
        <f t="shared" si="1"/>
        <v>2089</v>
      </c>
      <c r="C214" s="135">
        <f>[12]С2.5!$BV$11</f>
        <v>0</v>
      </c>
    </row>
    <row r="215" spans="2:3" ht="13.5" hidden="1" thickBot="1">
      <c r="B215" s="110">
        <f t="shared" si="1"/>
        <v>2090</v>
      </c>
      <c r="C215" s="135">
        <f>[12]С2.5!$BW$11</f>
        <v>0</v>
      </c>
    </row>
    <row r="216" spans="2:3" ht="13.5" hidden="1" thickBot="1">
      <c r="B216" s="110">
        <f t="shared" si="1"/>
        <v>2091</v>
      </c>
      <c r="C216" s="135">
        <f>[12]С2.5!$BX$11</f>
        <v>0</v>
      </c>
    </row>
    <row r="217" spans="2:3" ht="13.5" hidden="1" thickBot="1">
      <c r="B217" s="110">
        <f t="shared" si="1"/>
        <v>2092</v>
      </c>
      <c r="C217" s="135">
        <f>[12]С2.5!$BY$11</f>
        <v>0</v>
      </c>
    </row>
    <row r="218" spans="2:3" ht="13.5" hidden="1" thickBot="1">
      <c r="B218" s="110">
        <f t="shared" si="1"/>
        <v>2093</v>
      </c>
      <c r="C218" s="135">
        <f>[12]С2.5!$BZ$11</f>
        <v>0</v>
      </c>
    </row>
    <row r="219" spans="2:3" ht="13.5" hidden="1" thickBot="1">
      <c r="B219" s="110">
        <f t="shared" si="1"/>
        <v>2094</v>
      </c>
      <c r="C219" s="135">
        <f>[12]С2.5!$CA$11</f>
        <v>0</v>
      </c>
    </row>
    <row r="220" spans="2:3" ht="13.5" hidden="1" thickBot="1">
      <c r="B220" s="110">
        <f t="shared" si="1"/>
        <v>2095</v>
      </c>
      <c r="C220" s="135">
        <f>[12]С2.5!$CB$11</f>
        <v>0</v>
      </c>
    </row>
    <row r="221" spans="2:3" ht="13.5" hidden="1" thickBot="1">
      <c r="B221" s="110">
        <f t="shared" si="1"/>
        <v>2096</v>
      </c>
      <c r="C221" s="135">
        <f>[12]С2.5!$CC$11</f>
        <v>0</v>
      </c>
    </row>
    <row r="222" spans="2:3" ht="13.5" hidden="1" thickBot="1">
      <c r="B222" s="110">
        <f t="shared" si="1"/>
        <v>2097</v>
      </c>
      <c r="C222" s="135">
        <f>[12]С2.5!$CD$11</f>
        <v>0</v>
      </c>
    </row>
    <row r="223" spans="2:3" ht="13.5" hidden="1" thickBot="1">
      <c r="B223" s="110">
        <f t="shared" si="1"/>
        <v>2098</v>
      </c>
      <c r="C223" s="135">
        <f>[12]С2.5!$CE$11</f>
        <v>0</v>
      </c>
    </row>
    <row r="224" spans="2:3" ht="13.5" hidden="1" thickBot="1">
      <c r="B224" s="110">
        <f t="shared" si="1"/>
        <v>2099</v>
      </c>
      <c r="C224" s="135">
        <f>[12]С2.5!$CF$11</f>
        <v>0</v>
      </c>
    </row>
    <row r="225" spans="2:3" ht="13.5" hidden="1" thickBot="1">
      <c r="B225" s="112">
        <f>B162+1</f>
        <v>2038</v>
      </c>
      <c r="C225" s="136" t="e">
        <f>[12]С2.5!#REF!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3"/>
      <c r="B1" s="147" t="s">
        <v>227</v>
      </c>
      <c r="C1" s="147"/>
    </row>
    <row r="2" spans="1:3">
      <c r="A2" s="3"/>
      <c r="B2" s="4" t="s">
        <v>1</v>
      </c>
      <c r="C2" s="5">
        <v>45316</v>
      </c>
    </row>
    <row r="3" spans="1:3">
      <c r="A3" s="3"/>
      <c r="B3" s="117" t="s">
        <v>2</v>
      </c>
      <c r="C3" s="7"/>
    </row>
    <row r="4" spans="1:3" ht="25.5">
      <c r="A4" s="8"/>
      <c r="B4" s="9" t="str">
        <f>[13]И1!D13</f>
        <v>Субъект Российской Федерации</v>
      </c>
      <c r="C4" s="10" t="str">
        <f>[13]И1!E13</f>
        <v>Новосибирская область</v>
      </c>
    </row>
    <row r="5" spans="1:3" ht="15.95" customHeight="1">
      <c r="A5" s="8"/>
      <c r="B5" s="9" t="str">
        <f>[13]И1!D14</f>
        <v>Тип муниципального образования (выберите из списка)</v>
      </c>
      <c r="C5" s="10" t="str">
        <f>[13]И1!E14</f>
        <v xml:space="preserve">село Криводановка, Новосибирский муниципальный район </v>
      </c>
    </row>
    <row r="6" spans="1:3">
      <c r="A6" s="8"/>
      <c r="B6" s="9" t="str">
        <f>IF([13]И1!E15="","",[13]И1!D15)</f>
        <v/>
      </c>
      <c r="C6" s="7" t="str">
        <f>IF([13]И1!E15="","",[13]И1!E15)</f>
        <v/>
      </c>
    </row>
    <row r="7" spans="1:3">
      <c r="A7" s="8"/>
      <c r="B7" s="9" t="str">
        <f>[13]И1!D16</f>
        <v>Код ОКТМО</v>
      </c>
      <c r="C7" s="11" t="str">
        <f>[13]И1!E16</f>
        <v>50640419101</v>
      </c>
    </row>
    <row r="8" spans="1:3">
      <c r="A8" s="8"/>
      <c r="B8" s="12" t="str">
        <f>[13]И1!D17</f>
        <v>Система теплоснабжения</v>
      </c>
      <c r="C8" s="13">
        <f>[13]И1!E17</f>
        <v>0</v>
      </c>
    </row>
    <row r="9" spans="1:3">
      <c r="A9" s="8"/>
      <c r="B9" s="9" t="str">
        <f>[13]И1!D8</f>
        <v>Период регулирования (i)-й</v>
      </c>
      <c r="C9" s="14">
        <f>[13]И1!E8</f>
        <v>2024</v>
      </c>
    </row>
    <row r="10" spans="1:3">
      <c r="A10" s="8"/>
      <c r="B10" s="9" t="str">
        <f>[13]И1!D9</f>
        <v>Период регулирования (i-1)-й</v>
      </c>
      <c r="C10" s="14">
        <f>[13]И1!E9</f>
        <v>2023</v>
      </c>
    </row>
    <row r="11" spans="1:3">
      <c r="A11" s="8"/>
      <c r="B11" s="9" t="str">
        <f>[13]И1!D10</f>
        <v>Период регулирования (i-2)-й</v>
      </c>
      <c r="C11" s="14">
        <f>[13]И1!E10</f>
        <v>2022</v>
      </c>
    </row>
    <row r="12" spans="1:3">
      <c r="A12" s="8"/>
      <c r="B12" s="9" t="str">
        <f>[13]И1!D11</f>
        <v>Базовый год (б)</v>
      </c>
      <c r="C12" s="14">
        <f>[13]И1!E11</f>
        <v>2019</v>
      </c>
    </row>
    <row r="13" spans="1:3">
      <c r="A13" s="8"/>
      <c r="B13" s="9" t="str">
        <f>[13]И1!D18</f>
        <v>Вид топлива, использование которого преобладает в системе теплоснабжения</v>
      </c>
      <c r="C13" s="15" t="str">
        <f>[13]И1!E18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2965.6358514552589</v>
      </c>
    </row>
    <row r="18" spans="1:3" ht="42.75">
      <c r="A18" s="22" t="s">
        <v>8</v>
      </c>
      <c r="B18" s="25" t="s">
        <v>9</v>
      </c>
      <c r="C18" s="26">
        <f>[13]С1!F12</f>
        <v>994.35037159416254</v>
      </c>
    </row>
    <row r="19" spans="1:3" ht="42.75">
      <c r="A19" s="22" t="s">
        <v>10</v>
      </c>
      <c r="B19" s="25" t="s">
        <v>11</v>
      </c>
      <c r="C19" s="26">
        <f>[13]С2!F12</f>
        <v>1337.1646821037446</v>
      </c>
    </row>
    <row r="20" spans="1:3" ht="30">
      <c r="A20" s="22" t="s">
        <v>12</v>
      </c>
      <c r="B20" s="25" t="s">
        <v>13</v>
      </c>
      <c r="C20" s="26">
        <f>[13]С3!F12</f>
        <v>317.6025648848447</v>
      </c>
    </row>
    <row r="21" spans="1:3" ht="42.75">
      <c r="A21" s="22" t="s">
        <v>14</v>
      </c>
      <c r="B21" s="25" t="s">
        <v>228</v>
      </c>
      <c r="C21" s="26">
        <f>[13]С4!F12</f>
        <v>258.36851029495307</v>
      </c>
    </row>
    <row r="22" spans="1:3" ht="33" customHeight="1">
      <c r="A22" s="22" t="s">
        <v>16</v>
      </c>
      <c r="B22" s="25" t="s">
        <v>229</v>
      </c>
      <c r="C22" s="26">
        <f>[13]С5!F12</f>
        <v>58.149722577554094</v>
      </c>
    </row>
    <row r="23" spans="1:3" ht="45.75" customHeight="1" thickBot="1">
      <c r="A23" s="27" t="s">
        <v>18</v>
      </c>
      <c r="B23" s="140" t="s">
        <v>230</v>
      </c>
      <c r="C23" s="28">
        <f>[13]С6!F12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[13]С1.1!E16</f>
        <v>7900</v>
      </c>
    </row>
    <row r="29" spans="1:3" ht="42.75">
      <c r="A29" s="22" t="s">
        <v>10</v>
      </c>
      <c r="B29" s="33" t="s">
        <v>232</v>
      </c>
      <c r="C29" s="34">
        <f>[13]С1.1!E32</f>
        <v>5751.37</v>
      </c>
    </row>
    <row r="30" spans="1:3" ht="38.25">
      <c r="A30" s="22" t="s">
        <v>233</v>
      </c>
      <c r="B30" s="33" t="s">
        <v>234</v>
      </c>
      <c r="C30" s="85" t="str">
        <f>[13]С1.1!E25</f>
        <v>ООО "Газпром газораспределение Томск"</v>
      </c>
    </row>
    <row r="31" spans="1:3" ht="38.25">
      <c r="A31" s="22" t="s">
        <v>235</v>
      </c>
      <c r="B31" s="33" t="str">
        <f>[13]С1.1!D26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[13]С1.1!E26</f>
        <v>4699.5</v>
      </c>
    </row>
    <row r="32" spans="1:3" ht="25.5">
      <c r="A32" s="22" t="s">
        <v>236</v>
      </c>
      <c r="B32" s="33" t="str">
        <f>[13]С1.1!D27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[13]С1.1!E27</f>
        <v>795.43</v>
      </c>
    </row>
    <row r="33" spans="1:3" ht="25.5">
      <c r="A33" s="22" t="s">
        <v>237</v>
      </c>
      <c r="B33" s="33" t="str">
        <f>[13]С1.1!D28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[13]С1.1!E28</f>
        <v>136.54</v>
      </c>
    </row>
    <row r="34" spans="1:3" ht="38.25">
      <c r="A34" s="22" t="s">
        <v>238</v>
      </c>
      <c r="B34" s="33" t="str">
        <f>[13]С1.1!D29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[13]С1.1!E29</f>
        <v>119.9</v>
      </c>
    </row>
    <row r="35" spans="1:3" ht="17.25">
      <c r="A35" s="22" t="s">
        <v>12</v>
      </c>
      <c r="B35" s="33" t="s">
        <v>23</v>
      </c>
      <c r="C35" s="35">
        <f>[13]С1.1!E20</f>
        <v>8.5000000000000006E-2</v>
      </c>
    </row>
    <row r="36" spans="1:3" ht="17.25">
      <c r="A36" s="22" t="s">
        <v>14</v>
      </c>
      <c r="B36" s="33" t="s">
        <v>24</v>
      </c>
      <c r="C36" s="35">
        <f>[13]С1.1!E21</f>
        <v>0.112</v>
      </c>
    </row>
    <row r="37" spans="1:3" ht="30">
      <c r="A37" s="22" t="s">
        <v>16</v>
      </c>
      <c r="B37" s="36" t="s">
        <v>239</v>
      </c>
      <c r="C37" s="121">
        <f>[13]С1!F13</f>
        <v>156.1</v>
      </c>
    </row>
    <row r="38" spans="1:3">
      <c r="A38" s="22" t="s">
        <v>18</v>
      </c>
      <c r="B38" s="36" t="s">
        <v>26</v>
      </c>
      <c r="C38" s="38">
        <f>[13]С1!F16</f>
        <v>7000</v>
      </c>
    </row>
    <row r="39" spans="1:3" ht="14.25">
      <c r="A39" s="122" t="s">
        <v>27</v>
      </c>
      <c r="B39" s="39" t="s">
        <v>240</v>
      </c>
      <c r="C39" s="40">
        <f>[13]С1!F17</f>
        <v>1.1285714285714286</v>
      </c>
    </row>
    <row r="40" spans="1:3" ht="15.75">
      <c r="A40" s="123" t="s">
        <v>29</v>
      </c>
      <c r="B40" s="42" t="s">
        <v>30</v>
      </c>
      <c r="C40" s="40">
        <f>[13]С1!F20</f>
        <v>22.307053372799995</v>
      </c>
    </row>
    <row r="41" spans="1:3" ht="15.75">
      <c r="A41" s="123" t="s">
        <v>31</v>
      </c>
      <c r="B41" s="43" t="s">
        <v>32</v>
      </c>
      <c r="C41" s="40">
        <f>[13]С1!F21</f>
        <v>21.531904799999996</v>
      </c>
    </row>
    <row r="42" spans="1:3" ht="14.25">
      <c r="A42" s="123" t="s">
        <v>33</v>
      </c>
      <c r="B42" s="44" t="s">
        <v>34</v>
      </c>
      <c r="C42" s="40">
        <f>[13]С1!F22</f>
        <v>1.036</v>
      </c>
    </row>
    <row r="43" spans="1:3" ht="53.25" thickBot="1">
      <c r="A43" s="27" t="s">
        <v>35</v>
      </c>
      <c r="B43" s="45" t="s">
        <v>36</v>
      </c>
      <c r="C43" s="46" t="str">
        <f>[13]С1!F23</f>
        <v>-</v>
      </c>
    </row>
    <row r="44" spans="1:3" ht="13.5" thickBot="1">
      <c r="A44" s="47"/>
      <c r="B44" s="75"/>
      <c r="C44" s="15"/>
    </row>
    <row r="45" spans="1:3" ht="30" customHeight="1">
      <c r="A45" s="50" t="s">
        <v>37</v>
      </c>
      <c r="B45" s="145" t="s">
        <v>38</v>
      </c>
      <c r="C45" s="145"/>
    </row>
    <row r="46" spans="1:3" ht="25.5">
      <c r="A46" s="22" t="s">
        <v>39</v>
      </c>
      <c r="B46" s="36" t="s">
        <v>40</v>
      </c>
      <c r="C46" s="51" t="str">
        <f>[13]С2.1!E12</f>
        <v>V</v>
      </c>
    </row>
    <row r="47" spans="1:3" ht="25.5">
      <c r="A47" s="22" t="s">
        <v>41</v>
      </c>
      <c r="B47" s="33" t="s">
        <v>42</v>
      </c>
      <c r="C47" s="51" t="str">
        <f>[13]С2.1!E13</f>
        <v>6 и менее баллов</v>
      </c>
    </row>
    <row r="48" spans="1:3" ht="25.5">
      <c r="A48" s="22" t="s">
        <v>43</v>
      </c>
      <c r="B48" s="33" t="s">
        <v>241</v>
      </c>
      <c r="C48" s="51" t="str">
        <f>[13]С2.1!E14</f>
        <v>от 200 до 500</v>
      </c>
    </row>
    <row r="49" spans="1:3" ht="25.5">
      <c r="A49" s="22" t="s">
        <v>45</v>
      </c>
      <c r="B49" s="33" t="s">
        <v>242</v>
      </c>
      <c r="C49" s="52" t="str">
        <f>[13]С2.1!E15</f>
        <v>нет</v>
      </c>
    </row>
    <row r="50" spans="1:3" ht="30">
      <c r="A50" s="22" t="s">
        <v>47</v>
      </c>
      <c r="B50" s="33" t="s">
        <v>48</v>
      </c>
      <c r="C50" s="34">
        <f>[13]С2!F18</f>
        <v>35106.652004551666</v>
      </c>
    </row>
    <row r="51" spans="1:3" ht="30">
      <c r="A51" s="22" t="s">
        <v>49</v>
      </c>
      <c r="B51" s="53" t="s">
        <v>50</v>
      </c>
      <c r="C51" s="34">
        <f>IF([13]С2!F19&gt;0,[13]С2!F19,[13]С2!F20)</f>
        <v>23441.524932855718</v>
      </c>
    </row>
    <row r="52" spans="1:3" ht="25.5">
      <c r="A52" s="22" t="s">
        <v>51</v>
      </c>
      <c r="B52" s="54" t="s">
        <v>52</v>
      </c>
      <c r="C52" s="34">
        <f>[13]С2.1!E20</f>
        <v>-37</v>
      </c>
    </row>
    <row r="53" spans="1:3" ht="25.5">
      <c r="A53" s="22" t="s">
        <v>53</v>
      </c>
      <c r="B53" s="54" t="s">
        <v>54</v>
      </c>
      <c r="C53" s="34" t="str">
        <f>[13]С2.1!E23</f>
        <v>нет</v>
      </c>
    </row>
    <row r="54" spans="1:3" ht="38.25">
      <c r="A54" s="22" t="s">
        <v>55</v>
      </c>
      <c r="B54" s="55" t="s">
        <v>56</v>
      </c>
      <c r="C54" s="34">
        <f>[13]С2.2!E10</f>
        <v>1287</v>
      </c>
    </row>
    <row r="55" spans="1:3" ht="25.5">
      <c r="A55" s="22" t="s">
        <v>57</v>
      </c>
      <c r="B55" s="56" t="s">
        <v>58</v>
      </c>
      <c r="C55" s="34">
        <f>[13]С2.2!E12</f>
        <v>5.97</v>
      </c>
    </row>
    <row r="56" spans="1:3" ht="52.5">
      <c r="A56" s="22" t="s">
        <v>59</v>
      </c>
      <c r="B56" s="57" t="s">
        <v>60</v>
      </c>
      <c r="C56" s="34">
        <f>[13]С2.2!E13</f>
        <v>1</v>
      </c>
    </row>
    <row r="57" spans="1:3" ht="27.75">
      <c r="A57" s="22" t="s">
        <v>61</v>
      </c>
      <c r="B57" s="56" t="s">
        <v>62</v>
      </c>
      <c r="C57" s="34">
        <f>[13]С2.2!E14</f>
        <v>12104</v>
      </c>
    </row>
    <row r="58" spans="1:3" ht="25.5">
      <c r="A58" s="22" t="s">
        <v>63</v>
      </c>
      <c r="B58" s="57" t="s">
        <v>64</v>
      </c>
      <c r="C58" s="35">
        <f>[13]С2.2!E15</f>
        <v>4.8000000000000001E-2</v>
      </c>
    </row>
    <row r="59" spans="1:3">
      <c r="A59" s="22" t="s">
        <v>65</v>
      </c>
      <c r="B59" s="57" t="s">
        <v>66</v>
      </c>
      <c r="C59" s="124">
        <f>[13]С2.2!E16</f>
        <v>1</v>
      </c>
    </row>
    <row r="60" spans="1:3" ht="15.75">
      <c r="A60" s="22" t="s">
        <v>67</v>
      </c>
      <c r="B60" s="58" t="s">
        <v>68</v>
      </c>
      <c r="C60" s="34">
        <f>[13]С2!F21</f>
        <v>1</v>
      </c>
    </row>
    <row r="61" spans="1:3" ht="30">
      <c r="A61" s="59" t="s">
        <v>69</v>
      </c>
      <c r="B61" s="33" t="s">
        <v>243</v>
      </c>
      <c r="C61" s="34">
        <f>[13]С2!F13</f>
        <v>105136.23090983224</v>
      </c>
    </row>
    <row r="62" spans="1:3" ht="30">
      <c r="A62" s="59" t="s">
        <v>71</v>
      </c>
      <c r="B62" s="60" t="s">
        <v>244</v>
      </c>
      <c r="C62" s="34">
        <f>[13]С2!F14</f>
        <v>64899</v>
      </c>
    </row>
    <row r="63" spans="1:3" ht="15.75">
      <c r="A63" s="59" t="s">
        <v>73</v>
      </c>
      <c r="B63" s="60" t="s">
        <v>74</v>
      </c>
      <c r="C63" s="40">
        <f>[13]С2!F15</f>
        <v>1.071</v>
      </c>
    </row>
    <row r="64" spans="1:3" ht="15.75">
      <c r="A64" s="59" t="s">
        <v>75</v>
      </c>
      <c r="B64" s="60" t="s">
        <v>76</v>
      </c>
      <c r="C64" s="125">
        <f>[13]С2!F16</f>
        <v>1</v>
      </c>
    </row>
    <row r="65" spans="1:3" ht="17.25">
      <c r="A65" s="59" t="s">
        <v>77</v>
      </c>
      <c r="B65" s="60" t="s">
        <v>78</v>
      </c>
      <c r="C65" s="126">
        <f>[13]С2!F17</f>
        <v>1.01</v>
      </c>
    </row>
    <row r="66" spans="1:3" s="63" customFormat="1" ht="14.25">
      <c r="A66" s="59" t="s">
        <v>79</v>
      </c>
      <c r="B66" s="61" t="s">
        <v>80</v>
      </c>
      <c r="C66" s="62">
        <f>[13]С2!F35</f>
        <v>10</v>
      </c>
    </row>
    <row r="67" spans="1:3" ht="30">
      <c r="A67" s="59" t="s">
        <v>81</v>
      </c>
      <c r="B67" s="64" t="s">
        <v>82</v>
      </c>
      <c r="C67" s="34">
        <f>[13]С2!F28</f>
        <v>141.64867100230373</v>
      </c>
    </row>
    <row r="68" spans="1:3" ht="17.25">
      <c r="A68" s="59" t="s">
        <v>83</v>
      </c>
      <c r="B68" s="53" t="s">
        <v>245</v>
      </c>
      <c r="C68" s="40">
        <f>[13]С2!F29</f>
        <v>0.18916419899999998</v>
      </c>
    </row>
    <row r="69" spans="1:3" ht="17.25">
      <c r="A69" s="59" t="s">
        <v>85</v>
      </c>
      <c r="B69" s="58" t="s">
        <v>246</v>
      </c>
      <c r="C69" s="62">
        <f>[13]С2!F30</f>
        <v>500</v>
      </c>
    </row>
    <row r="70" spans="1:3" ht="42.75">
      <c r="A70" s="59" t="s">
        <v>87</v>
      </c>
      <c r="B70" s="33" t="s">
        <v>247</v>
      </c>
      <c r="C70" s="34">
        <f>[13]С2!F22</f>
        <v>39638.324046481182</v>
      </c>
    </row>
    <row r="71" spans="1:3" ht="30">
      <c r="A71" s="59" t="s">
        <v>89</v>
      </c>
      <c r="B71" s="60" t="s">
        <v>248</v>
      </c>
      <c r="C71" s="34">
        <f>[13]С2!F23</f>
        <v>21</v>
      </c>
    </row>
    <row r="72" spans="1:3" ht="30">
      <c r="A72" s="59" t="s">
        <v>91</v>
      </c>
      <c r="B72" s="53" t="s">
        <v>92</v>
      </c>
      <c r="C72" s="34">
        <f>[13]С2.1!E28</f>
        <v>14036.09995</v>
      </c>
    </row>
    <row r="73" spans="1:3" ht="38.25">
      <c r="A73" s="59" t="s">
        <v>93</v>
      </c>
      <c r="B73" s="65" t="s">
        <v>94</v>
      </c>
      <c r="C73" s="52">
        <f>[13]С2.3!E21</f>
        <v>0</v>
      </c>
    </row>
    <row r="74" spans="1:3" ht="25.5">
      <c r="A74" s="59" t="s">
        <v>95</v>
      </c>
      <c r="B74" s="66" t="s">
        <v>96</v>
      </c>
      <c r="C74" s="67">
        <f>[13]С2.3!E11</f>
        <v>5.45</v>
      </c>
    </row>
    <row r="75" spans="1:3" ht="25.5">
      <c r="A75" s="59" t="s">
        <v>97</v>
      </c>
      <c r="B75" s="66" t="s">
        <v>98</v>
      </c>
      <c r="C75" s="62">
        <f>[13]С2.3!E13</f>
        <v>300</v>
      </c>
    </row>
    <row r="76" spans="1:3" ht="25.5">
      <c r="A76" s="59" t="s">
        <v>99</v>
      </c>
      <c r="B76" s="65" t="s">
        <v>100</v>
      </c>
      <c r="C76" s="68">
        <f>IF([13]С2.3!E22&gt;0,[13]С2.3!E22,[13]С2.3!E14)</f>
        <v>61211</v>
      </c>
    </row>
    <row r="77" spans="1:3" ht="38.25">
      <c r="A77" s="59" t="s">
        <v>101</v>
      </c>
      <c r="B77" s="65" t="s">
        <v>102</v>
      </c>
      <c r="C77" s="68">
        <f>IF([13]С2.3!E23&gt;0,[13]С2.3!E23,[13]С2.3!E15)</f>
        <v>45675</v>
      </c>
    </row>
    <row r="78" spans="1:3" ht="30">
      <c r="A78" s="59" t="s">
        <v>103</v>
      </c>
      <c r="B78" s="53" t="s">
        <v>104</v>
      </c>
      <c r="C78" s="34">
        <f>[13]С2.1!E29</f>
        <v>9518.3274000000001</v>
      </c>
    </row>
    <row r="79" spans="1:3" ht="38.25">
      <c r="A79" s="59" t="s">
        <v>105</v>
      </c>
      <c r="B79" s="65" t="s">
        <v>106</v>
      </c>
      <c r="C79" s="52">
        <f>[13]С2.3!E25</f>
        <v>0</v>
      </c>
    </row>
    <row r="80" spans="1:3" ht="25.5">
      <c r="A80" s="59" t="s">
        <v>107</v>
      </c>
      <c r="B80" s="66" t="s">
        <v>108</v>
      </c>
      <c r="C80" s="67">
        <f>[13]С2.3!E12</f>
        <v>0.2</v>
      </c>
    </row>
    <row r="81" spans="1:3" ht="25.5">
      <c r="A81" s="59" t="s">
        <v>109</v>
      </c>
      <c r="B81" s="66" t="s">
        <v>98</v>
      </c>
      <c r="C81" s="62">
        <f>[13]С2.3!E13</f>
        <v>300</v>
      </c>
    </row>
    <row r="82" spans="1:3" ht="25.5">
      <c r="A82" s="59" t="s">
        <v>110</v>
      </c>
      <c r="B82" s="69" t="s">
        <v>111</v>
      </c>
      <c r="C82" s="68">
        <f>IF([13]С2.3!E26&gt;0,[13]С2.3!E26,[13]С2.3!E16)</f>
        <v>65637</v>
      </c>
    </row>
    <row r="83" spans="1:3" ht="38.25">
      <c r="A83" s="59" t="s">
        <v>112</v>
      </c>
      <c r="B83" s="69" t="s">
        <v>113</v>
      </c>
      <c r="C83" s="68">
        <f>IF([13]С2.3!E27&gt;0,[13]С2.3!E27,[13]С2.3!E17)</f>
        <v>31684</v>
      </c>
    </row>
    <row r="84" spans="1:3" ht="30">
      <c r="A84" s="59" t="s">
        <v>249</v>
      </c>
      <c r="B84" s="60" t="s">
        <v>250</v>
      </c>
      <c r="C84" s="68">
        <f>IF([13]С2.1!E19&gt;0,[13]С2.1!E19,[13]С2!F26)</f>
        <v>2892</v>
      </c>
    </row>
    <row r="85" spans="1:3" ht="17.25">
      <c r="A85" s="59" t="s">
        <v>114</v>
      </c>
      <c r="B85" s="33" t="s">
        <v>115</v>
      </c>
      <c r="C85" s="35">
        <f>[13]С2!F31</f>
        <v>9.5962865259740182E-2</v>
      </c>
    </row>
    <row r="86" spans="1:3" ht="30">
      <c r="A86" s="59" t="s">
        <v>116</v>
      </c>
      <c r="B86" s="53" t="s">
        <v>117</v>
      </c>
      <c r="C86" s="70">
        <f>[13]С2!F32</f>
        <v>8.4029304029304031E-2</v>
      </c>
    </row>
    <row r="87" spans="1:3" ht="17.25">
      <c r="A87" s="59" t="s">
        <v>118</v>
      </c>
      <c r="B87" s="71" t="s">
        <v>119</v>
      </c>
      <c r="C87" s="35">
        <f>[13]С2!F33</f>
        <v>0.13880000000000001</v>
      </c>
    </row>
    <row r="88" spans="1:3" s="63" customFormat="1" ht="18" thickBot="1">
      <c r="A88" s="72" t="s">
        <v>120</v>
      </c>
      <c r="B88" s="73" t="s">
        <v>121</v>
      </c>
      <c r="C88" s="74">
        <f>[13]С2!F34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[13]С3!F14</f>
        <v>4199.9055432306041</v>
      </c>
    </row>
    <row r="92" spans="1:3" s="63" customFormat="1" ht="42.75">
      <c r="A92" s="77" t="s">
        <v>126</v>
      </c>
      <c r="B92" s="53" t="s">
        <v>127</v>
      </c>
      <c r="C92" s="78">
        <f>[13]С3!F15</f>
        <v>0.2</v>
      </c>
    </row>
    <row r="93" spans="1:3" s="63" customFormat="1" ht="14.25">
      <c r="A93" s="77" t="s">
        <v>128</v>
      </c>
      <c r="B93" s="79" t="s">
        <v>129</v>
      </c>
      <c r="C93" s="62">
        <f>[13]С3!F18</f>
        <v>15</v>
      </c>
    </row>
    <row r="94" spans="1:3" s="63" customFormat="1" ht="17.25">
      <c r="A94" s="77" t="s">
        <v>130</v>
      </c>
      <c r="B94" s="33" t="s">
        <v>131</v>
      </c>
      <c r="C94" s="34">
        <f>[13]С3!F19</f>
        <v>2638.2577020926874</v>
      </c>
    </row>
    <row r="95" spans="1:3" s="63" customFormat="1" ht="55.5">
      <c r="A95" s="77" t="s">
        <v>132</v>
      </c>
      <c r="B95" s="53" t="s">
        <v>133</v>
      </c>
      <c r="C95" s="80">
        <f>[13]С3!F20</f>
        <v>2.1999999999999999E-2</v>
      </c>
    </row>
    <row r="96" spans="1:3" s="63" customFormat="1" ht="14.25">
      <c r="A96" s="77" t="s">
        <v>134</v>
      </c>
      <c r="B96" s="58" t="s">
        <v>80</v>
      </c>
      <c r="C96" s="62">
        <f>[13]С3!F21</f>
        <v>10</v>
      </c>
    </row>
    <row r="97" spans="1:3" s="63" customFormat="1" ht="17.25">
      <c r="A97" s="77" t="s">
        <v>135</v>
      </c>
      <c r="B97" s="33" t="s">
        <v>136</v>
      </c>
      <c r="C97" s="34">
        <f>[13]С3!F22</f>
        <v>0.42494601300691121</v>
      </c>
    </row>
    <row r="98" spans="1:3" s="63" customFormat="1" ht="55.5">
      <c r="A98" s="77" t="s">
        <v>137</v>
      </c>
      <c r="B98" s="53" t="s">
        <v>138</v>
      </c>
      <c r="C98" s="80">
        <f>[13]С3!F23</f>
        <v>3.0000000000000001E-3</v>
      </c>
    </row>
    <row r="99" spans="1:3" s="63" customFormat="1" ht="30.75" thickBot="1">
      <c r="A99" s="81" t="s">
        <v>139</v>
      </c>
      <c r="B99" s="82" t="s">
        <v>82</v>
      </c>
      <c r="C99" s="83">
        <f>[13]С3!F24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[13]С4!F16</f>
        <v>832.33500000000004</v>
      </c>
    </row>
    <row r="103" spans="1:3" ht="30">
      <c r="A103" s="59" t="s">
        <v>145</v>
      </c>
      <c r="B103" s="58" t="s">
        <v>252</v>
      </c>
      <c r="C103" s="34">
        <f>[13]С4!F17</f>
        <v>43385</v>
      </c>
    </row>
    <row r="104" spans="1:3" ht="17.25">
      <c r="A104" s="59" t="s">
        <v>147</v>
      </c>
      <c r="B104" s="58" t="s">
        <v>148</v>
      </c>
      <c r="C104" s="40">
        <f>[13]С4!F18</f>
        <v>1.4999999999999999E-2</v>
      </c>
    </row>
    <row r="105" spans="1:3" ht="30">
      <c r="A105" s="59" t="s">
        <v>149</v>
      </c>
      <c r="B105" s="58" t="s">
        <v>150</v>
      </c>
      <c r="C105" s="34">
        <f>[13]С4!F19</f>
        <v>12104</v>
      </c>
    </row>
    <row r="106" spans="1:3" ht="31.5">
      <c r="A106" s="59" t="s">
        <v>151</v>
      </c>
      <c r="B106" s="58" t="s">
        <v>152</v>
      </c>
      <c r="C106" s="40">
        <f>[13]С4!F20</f>
        <v>1.4999999999999999E-2</v>
      </c>
    </row>
    <row r="107" spans="1:3" ht="30">
      <c r="A107" s="59" t="s">
        <v>153</v>
      </c>
      <c r="B107" s="33" t="s">
        <v>253</v>
      </c>
      <c r="C107" s="34">
        <f>[13]С4!F21</f>
        <v>1221.9019409821399</v>
      </c>
    </row>
    <row r="108" spans="1:3" ht="45.6" customHeight="1">
      <c r="A108" s="59" t="s">
        <v>155</v>
      </c>
      <c r="B108" s="53" t="s">
        <v>156</v>
      </c>
      <c r="C108" s="85" t="str">
        <f>IF([13]С4.2!F8="да",[13]С4.2!D21,[13]С4.2!D15)</f>
        <v>АО "Новосибирскэнергосбыт"</v>
      </c>
    </row>
    <row r="109" spans="1:3" ht="68.25" customHeight="1">
      <c r="A109" s="59" t="s">
        <v>157</v>
      </c>
      <c r="B109" s="53" t="s">
        <v>158</v>
      </c>
      <c r="C109" s="34">
        <f>[13]С4!F22</f>
        <v>3.6112641666666665</v>
      </c>
    </row>
    <row r="110" spans="1:3" ht="30">
      <c r="A110" s="59" t="s">
        <v>159</v>
      </c>
      <c r="B110" s="58" t="s">
        <v>254</v>
      </c>
      <c r="C110" s="62">
        <f>[13]С4!F23</f>
        <v>110</v>
      </c>
    </row>
    <row r="111" spans="1:3" ht="14.25">
      <c r="A111" s="59" t="s">
        <v>161</v>
      </c>
      <c r="B111" s="53" t="s">
        <v>162</v>
      </c>
      <c r="C111" s="34">
        <f>[13]С4!F24</f>
        <v>8497.1999999999989</v>
      </c>
    </row>
    <row r="112" spans="1:3" ht="14.25">
      <c r="A112" s="59" t="s">
        <v>163</v>
      </c>
      <c r="B112" s="58" t="s">
        <v>164</v>
      </c>
      <c r="C112" s="40">
        <f>[13]С4!F25</f>
        <v>0.36199999999999999</v>
      </c>
    </row>
    <row r="113" spans="1:3" ht="17.25">
      <c r="A113" s="59" t="s">
        <v>165</v>
      </c>
      <c r="B113" s="33" t="s">
        <v>166</v>
      </c>
      <c r="C113" s="34">
        <f>[13]С4!F26</f>
        <v>27.526683333333335</v>
      </c>
    </row>
    <row r="114" spans="1:3" ht="25.5">
      <c r="A114" s="59" t="s">
        <v>167</v>
      </c>
      <c r="B114" s="53" t="s">
        <v>94</v>
      </c>
      <c r="C114" s="85">
        <f>[13]С4.3!E16</f>
        <v>0</v>
      </c>
    </row>
    <row r="115" spans="1:3" ht="25.5">
      <c r="A115" s="59" t="s">
        <v>168</v>
      </c>
      <c r="B115" s="53" t="s">
        <v>169</v>
      </c>
      <c r="C115" s="34">
        <f>[13]С4.3!E17</f>
        <v>13.3</v>
      </c>
    </row>
    <row r="116" spans="1:3" ht="38.25">
      <c r="A116" s="59" t="s">
        <v>170</v>
      </c>
      <c r="B116" s="53" t="s">
        <v>106</v>
      </c>
      <c r="C116" s="85">
        <f>[13]С4.3!E18</f>
        <v>0</v>
      </c>
    </row>
    <row r="117" spans="1:3">
      <c r="A117" s="59" t="s">
        <v>171</v>
      </c>
      <c r="B117" s="53" t="s">
        <v>172</v>
      </c>
      <c r="C117" s="34">
        <f>[13]С4.3!E19</f>
        <v>25.083333333333336</v>
      </c>
    </row>
    <row r="118" spans="1:3">
      <c r="A118" s="59" t="s">
        <v>173</v>
      </c>
      <c r="B118" s="58" t="s">
        <v>174</v>
      </c>
      <c r="C118" s="62">
        <f>[13]С4.3!E11</f>
        <v>1871</v>
      </c>
    </row>
    <row r="119" spans="1:3">
      <c r="A119" s="59" t="s">
        <v>175</v>
      </c>
      <c r="B119" s="58" t="s">
        <v>176</v>
      </c>
      <c r="C119" s="52">
        <f>[13]С4.3!E12</f>
        <v>61</v>
      </c>
    </row>
    <row r="120" spans="1:3">
      <c r="A120" s="59" t="s">
        <v>177</v>
      </c>
      <c r="B120" s="58" t="s">
        <v>178</v>
      </c>
      <c r="C120" s="52">
        <f>[13]С4.3!E13</f>
        <v>73</v>
      </c>
    </row>
    <row r="121" spans="1:3" ht="30">
      <c r="A121" s="59" t="s">
        <v>179</v>
      </c>
      <c r="B121" s="33" t="s">
        <v>255</v>
      </c>
      <c r="C121" s="34">
        <f>[13]С4!F27</f>
        <v>1296.7467102743137</v>
      </c>
    </row>
    <row r="122" spans="1:3" ht="25.5">
      <c r="A122" s="59" t="s">
        <v>181</v>
      </c>
      <c r="B122" s="53" t="s">
        <v>256</v>
      </c>
      <c r="C122" s="34">
        <f>[13]С4!F28</f>
        <v>995.96521526444985</v>
      </c>
    </row>
    <row r="123" spans="1:3" ht="42.75">
      <c r="A123" s="59" t="s">
        <v>183</v>
      </c>
      <c r="B123" s="53" t="s">
        <v>184</v>
      </c>
      <c r="C123" s="34">
        <f>[13]С4!F29</f>
        <v>300.78149500986387</v>
      </c>
    </row>
    <row r="124" spans="1:3" ht="30.75" thickBot="1">
      <c r="A124" s="72" t="s">
        <v>185</v>
      </c>
      <c r="B124" s="90" t="s">
        <v>186</v>
      </c>
      <c r="C124" s="83">
        <f>[13]С4!F30</f>
        <v>503.41911768380191</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[13]С5!F17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IF([13]С6.1!E11="нет",[13]С6!F13,"")</f>
        <v/>
      </c>
    </row>
    <row r="131" spans="1:3" ht="42.75">
      <c r="A131" s="59" t="s">
        <v>204</v>
      </c>
      <c r="B131" s="86" t="s">
        <v>205</v>
      </c>
      <c r="C131" s="92" t="str">
        <f>IF([13]С6.1!E12="нет",[13]С6.1!E17,"")</f>
        <v/>
      </c>
    </row>
    <row r="132" spans="1:3" ht="68.25">
      <c r="A132" s="59" t="s">
        <v>206</v>
      </c>
      <c r="B132" s="91" t="s">
        <v>207</v>
      </c>
      <c r="C132" s="127" t="str">
        <f>IF([13]С6.1!E18="нет",[13]С6!F19,"")</f>
        <v/>
      </c>
    </row>
    <row r="133" spans="1:3" ht="55.5">
      <c r="A133" s="59" t="s">
        <v>208</v>
      </c>
      <c r="B133" s="86" t="s">
        <v>209</v>
      </c>
      <c r="C133" s="35" t="str">
        <f>IF([13]С6.1!E18="нет",[13]С6.1!E19,"")</f>
        <v/>
      </c>
    </row>
    <row r="134" spans="1:3" ht="61.5" customHeight="1">
      <c r="A134" s="59" t="s">
        <v>210</v>
      </c>
      <c r="B134" s="86" t="s">
        <v>257</v>
      </c>
      <c r="C134" s="35" t="str">
        <f>IF([13]С6.1!E18="нет",[13]С6.1!E22,"")</f>
        <v/>
      </c>
    </row>
    <row r="135" spans="1:3" ht="69" thickBot="1">
      <c r="A135" s="72" t="s">
        <v>212</v>
      </c>
      <c r="B135" s="98" t="s">
        <v>213</v>
      </c>
      <c r="C135" s="74" t="str">
        <f>IF([13]С6.1!E18="нет",[13]С6.1!E23,"")</f>
        <v/>
      </c>
    </row>
    <row r="136" spans="1:3" s="89" customFormat="1" ht="13.5" thickBot="1">
      <c r="A136" s="47"/>
      <c r="B136" s="75"/>
      <c r="C136" s="15"/>
    </row>
    <row r="137" spans="1:3" ht="15.75">
      <c r="A137" s="84" t="s">
        <v>214</v>
      </c>
      <c r="B137" s="99" t="s">
        <v>215</v>
      </c>
      <c r="C137" s="100">
        <f>[13]С2!F39</f>
        <v>21.531904799999996</v>
      </c>
    </row>
    <row r="138" spans="1:3" ht="14.25">
      <c r="A138" s="59" t="s">
        <v>216</v>
      </c>
      <c r="B138" s="58" t="s">
        <v>217</v>
      </c>
      <c r="C138" s="34">
        <f>[13]С2!F40</f>
        <v>7</v>
      </c>
    </row>
    <row r="139" spans="1:3" ht="17.25">
      <c r="A139" s="59" t="s">
        <v>218</v>
      </c>
      <c r="B139" s="58" t="s">
        <v>219</v>
      </c>
      <c r="C139" s="34">
        <f>[13]С2!F42</f>
        <v>0.97</v>
      </c>
    </row>
    <row r="140" spans="1:3" ht="15" thickBot="1">
      <c r="A140" s="72" t="s">
        <v>220</v>
      </c>
      <c r="B140" s="73" t="s">
        <v>221</v>
      </c>
      <c r="C140" s="46">
        <f>[13]С2!F44</f>
        <v>0.36199999999999999</v>
      </c>
    </row>
    <row r="141" spans="1:3" s="89" customFormat="1" ht="13.5" thickBot="1">
      <c r="A141" s="47"/>
      <c r="B141" s="75"/>
      <c r="C141" s="15"/>
    </row>
    <row r="142" spans="1:3" ht="17.25">
      <c r="A142" s="84" t="s">
        <v>222</v>
      </c>
      <c r="B142" s="103" t="s">
        <v>258</v>
      </c>
      <c r="C142" s="128">
        <f>[13]С2!F37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[13]С2.5!$E$11</f>
        <v>-2.9000000000000026E-2</v>
      </c>
    </row>
    <row r="146" spans="1:3">
      <c r="B146" s="131">
        <f>B145+1</f>
        <v>2021</v>
      </c>
      <c r="C146" s="133">
        <f>[13]С2.5!$F$11</f>
        <v>0.245</v>
      </c>
    </row>
    <row r="147" spans="1:3">
      <c r="B147" s="131">
        <f t="shared" ref="B147:B210" si="0">B146+1</f>
        <v>2022</v>
      </c>
      <c r="C147" s="134">
        <f>[13]С2.5!$G$11</f>
        <v>0.114</v>
      </c>
    </row>
    <row r="148" spans="1:3">
      <c r="B148" s="110">
        <f t="shared" si="0"/>
        <v>2023</v>
      </c>
      <c r="C148" s="135">
        <f>[13]С2.5!$H$11</f>
        <v>2.4E-2</v>
      </c>
    </row>
    <row r="149" spans="1:3" ht="13.5" thickBot="1">
      <c r="B149" s="110">
        <f t="shared" si="0"/>
        <v>2024</v>
      </c>
      <c r="C149" s="135">
        <f>[13]С2.5!$I$11</f>
        <v>8.5999999999999993E-2</v>
      </c>
    </row>
    <row r="150" spans="1:3" ht="13.5" hidden="1" thickBot="1">
      <c r="B150" s="110">
        <f t="shared" si="0"/>
        <v>2025</v>
      </c>
      <c r="C150" s="135">
        <f>[13]С2.5!$J$11</f>
        <v>0</v>
      </c>
    </row>
    <row r="151" spans="1:3" ht="13.5" hidden="1" thickBot="1">
      <c r="B151" s="110">
        <f t="shared" si="0"/>
        <v>2026</v>
      </c>
      <c r="C151" s="135">
        <f>[13]С2.5!$K$11</f>
        <v>0</v>
      </c>
    </row>
    <row r="152" spans="1:3" ht="13.5" hidden="1" thickBot="1">
      <c r="B152" s="110">
        <f t="shared" si="0"/>
        <v>2027</v>
      </c>
      <c r="C152" s="135">
        <f>[13]С2.5!$L$11</f>
        <v>0</v>
      </c>
    </row>
    <row r="153" spans="1:3" ht="13.5" hidden="1" thickBot="1">
      <c r="B153" s="110">
        <f t="shared" si="0"/>
        <v>2028</v>
      </c>
      <c r="C153" s="135">
        <f>[13]С2.5!$M$11</f>
        <v>0</v>
      </c>
    </row>
    <row r="154" spans="1:3" ht="13.5" hidden="1" thickBot="1">
      <c r="B154" s="110">
        <f t="shared" si="0"/>
        <v>2029</v>
      </c>
      <c r="C154" s="135">
        <f>[13]С2.5!$N$11</f>
        <v>0</v>
      </c>
    </row>
    <row r="155" spans="1:3" ht="13.5" hidden="1" thickBot="1">
      <c r="B155" s="110">
        <f t="shared" si="0"/>
        <v>2030</v>
      </c>
      <c r="C155" s="135">
        <f>[13]С2.5!$O$11</f>
        <v>0</v>
      </c>
    </row>
    <row r="156" spans="1:3" ht="13.5" hidden="1" thickBot="1">
      <c r="B156" s="110">
        <f t="shared" si="0"/>
        <v>2031</v>
      </c>
      <c r="C156" s="135">
        <f>[13]С2.5!$P$11</f>
        <v>0</v>
      </c>
    </row>
    <row r="157" spans="1:3" ht="13.5" hidden="1" thickBot="1">
      <c r="B157" s="110">
        <f t="shared" si="0"/>
        <v>2032</v>
      </c>
      <c r="C157" s="135">
        <f>[13]С2.5!$Q$11</f>
        <v>0</v>
      </c>
    </row>
    <row r="158" spans="1:3" ht="13.5" hidden="1" thickBot="1">
      <c r="B158" s="110">
        <f t="shared" si="0"/>
        <v>2033</v>
      </c>
      <c r="C158" s="135">
        <f>[13]С2.5!$R$11</f>
        <v>0</v>
      </c>
    </row>
    <row r="159" spans="1:3" ht="13.5" hidden="1" thickBot="1">
      <c r="B159" s="110">
        <f t="shared" si="0"/>
        <v>2034</v>
      </c>
      <c r="C159" s="135">
        <f>[13]С2.5!$S$11</f>
        <v>0</v>
      </c>
    </row>
    <row r="160" spans="1:3" ht="13.5" hidden="1" thickBot="1">
      <c r="B160" s="110">
        <f t="shared" si="0"/>
        <v>2035</v>
      </c>
      <c r="C160" s="135">
        <f>[13]С2.5!$T$11</f>
        <v>0</v>
      </c>
    </row>
    <row r="161" spans="2:3" ht="13.5" hidden="1" thickBot="1">
      <c r="B161" s="110">
        <f t="shared" si="0"/>
        <v>2036</v>
      </c>
      <c r="C161" s="135">
        <f>[13]С2.5!$U$11</f>
        <v>0</v>
      </c>
    </row>
    <row r="162" spans="2:3" ht="13.5" hidden="1" thickBot="1">
      <c r="B162" s="110">
        <f t="shared" si="0"/>
        <v>2037</v>
      </c>
      <c r="C162" s="135">
        <f>[13]С2.5!$V$11</f>
        <v>0</v>
      </c>
    </row>
    <row r="163" spans="2:3" ht="13.5" hidden="1" thickBot="1">
      <c r="B163" s="110">
        <f t="shared" si="0"/>
        <v>2038</v>
      </c>
      <c r="C163" s="135">
        <f>[13]С2.5!$W$11</f>
        <v>0</v>
      </c>
    </row>
    <row r="164" spans="2:3" ht="13.5" hidden="1" thickBot="1">
      <c r="B164" s="110">
        <f t="shared" si="0"/>
        <v>2039</v>
      </c>
      <c r="C164" s="135">
        <f>[13]С2.5!$X$11</f>
        <v>0</v>
      </c>
    </row>
    <row r="165" spans="2:3" ht="13.5" hidden="1" thickBot="1">
      <c r="B165" s="110">
        <f t="shared" si="0"/>
        <v>2040</v>
      </c>
      <c r="C165" s="135">
        <f>[13]С2.5!$Y$11</f>
        <v>0</v>
      </c>
    </row>
    <row r="166" spans="2:3" ht="13.5" hidden="1" thickBot="1">
      <c r="B166" s="110">
        <f t="shared" si="0"/>
        <v>2041</v>
      </c>
      <c r="C166" s="135">
        <f>[13]С2.5!$Z$11</f>
        <v>0</v>
      </c>
    </row>
    <row r="167" spans="2:3" ht="13.5" hidden="1" thickBot="1">
      <c r="B167" s="110">
        <f t="shared" si="0"/>
        <v>2042</v>
      </c>
      <c r="C167" s="135">
        <f>[13]С2.5!$AA$11</f>
        <v>0</v>
      </c>
    </row>
    <row r="168" spans="2:3" ht="13.5" hidden="1" thickBot="1">
      <c r="B168" s="110">
        <f t="shared" si="0"/>
        <v>2043</v>
      </c>
      <c r="C168" s="135">
        <f>[13]С2.5!$AB$11</f>
        <v>0</v>
      </c>
    </row>
    <row r="169" spans="2:3" ht="13.5" hidden="1" thickBot="1">
      <c r="B169" s="110">
        <f t="shared" si="0"/>
        <v>2044</v>
      </c>
      <c r="C169" s="135">
        <f>[13]С2.5!$AC$11</f>
        <v>0</v>
      </c>
    </row>
    <row r="170" spans="2:3" ht="13.5" hidden="1" thickBot="1">
      <c r="B170" s="110">
        <f t="shared" si="0"/>
        <v>2045</v>
      </c>
      <c r="C170" s="135">
        <f>[13]С2.5!$AD$11</f>
        <v>0</v>
      </c>
    </row>
    <row r="171" spans="2:3" ht="13.5" hidden="1" thickBot="1">
      <c r="B171" s="110">
        <f t="shared" si="0"/>
        <v>2046</v>
      </c>
      <c r="C171" s="135">
        <f>[13]С2.5!$AE$11</f>
        <v>0</v>
      </c>
    </row>
    <row r="172" spans="2:3" ht="13.5" hidden="1" thickBot="1">
      <c r="B172" s="110">
        <f t="shared" si="0"/>
        <v>2047</v>
      </c>
      <c r="C172" s="135">
        <f>[13]С2.5!$AF$11</f>
        <v>0</v>
      </c>
    </row>
    <row r="173" spans="2:3" ht="13.5" hidden="1" thickBot="1">
      <c r="B173" s="110">
        <f t="shared" si="0"/>
        <v>2048</v>
      </c>
      <c r="C173" s="135">
        <f>[13]С2.5!$AG$11</f>
        <v>0</v>
      </c>
    </row>
    <row r="174" spans="2:3" ht="13.5" hidden="1" thickBot="1">
      <c r="B174" s="110">
        <f t="shared" si="0"/>
        <v>2049</v>
      </c>
      <c r="C174" s="135">
        <f>[13]С2.5!$AH$11</f>
        <v>0</v>
      </c>
    </row>
    <row r="175" spans="2:3" ht="13.5" hidden="1" thickBot="1">
      <c r="B175" s="110">
        <f t="shared" si="0"/>
        <v>2050</v>
      </c>
      <c r="C175" s="135">
        <f>[13]С2.5!$AI$11</f>
        <v>0</v>
      </c>
    </row>
    <row r="176" spans="2:3" ht="13.5" hidden="1" thickBot="1">
      <c r="B176" s="110">
        <f t="shared" si="0"/>
        <v>2051</v>
      </c>
      <c r="C176" s="135">
        <f>[13]С2.5!$AJ$11</f>
        <v>0</v>
      </c>
    </row>
    <row r="177" spans="2:3" ht="13.5" hidden="1" thickBot="1">
      <c r="B177" s="110">
        <f t="shared" si="0"/>
        <v>2052</v>
      </c>
      <c r="C177" s="135">
        <f>[13]С2.5!$AK$11</f>
        <v>0</v>
      </c>
    </row>
    <row r="178" spans="2:3" ht="13.5" hidden="1" thickBot="1">
      <c r="B178" s="110">
        <f t="shared" si="0"/>
        <v>2053</v>
      </c>
      <c r="C178" s="135">
        <f>[13]С2.5!$AL$11</f>
        <v>0</v>
      </c>
    </row>
    <row r="179" spans="2:3" ht="13.5" hidden="1" thickBot="1">
      <c r="B179" s="110">
        <f t="shared" si="0"/>
        <v>2054</v>
      </c>
      <c r="C179" s="135">
        <f>[13]С2.5!$AM$11</f>
        <v>0</v>
      </c>
    </row>
    <row r="180" spans="2:3" ht="13.5" hidden="1" thickBot="1">
      <c r="B180" s="110">
        <f t="shared" si="0"/>
        <v>2055</v>
      </c>
      <c r="C180" s="135">
        <f>[13]С2.5!$AN$11</f>
        <v>0</v>
      </c>
    </row>
    <row r="181" spans="2:3" ht="13.5" hidden="1" thickBot="1">
      <c r="B181" s="110">
        <f t="shared" si="0"/>
        <v>2056</v>
      </c>
      <c r="C181" s="135">
        <f>[13]С2.5!$AO$11</f>
        <v>0</v>
      </c>
    </row>
    <row r="182" spans="2:3" ht="13.5" hidden="1" thickBot="1">
      <c r="B182" s="110">
        <f t="shared" si="0"/>
        <v>2057</v>
      </c>
      <c r="C182" s="135">
        <f>[13]С2.5!$AP$11</f>
        <v>0</v>
      </c>
    </row>
    <row r="183" spans="2:3" ht="13.5" hidden="1" thickBot="1">
      <c r="B183" s="110">
        <f t="shared" si="0"/>
        <v>2058</v>
      </c>
      <c r="C183" s="135">
        <f>[13]С2.5!$AQ$11</f>
        <v>0</v>
      </c>
    </row>
    <row r="184" spans="2:3" ht="13.5" hidden="1" thickBot="1">
      <c r="B184" s="110">
        <f t="shared" si="0"/>
        <v>2059</v>
      </c>
      <c r="C184" s="135">
        <f>[13]С2.5!$AR$11</f>
        <v>0</v>
      </c>
    </row>
    <row r="185" spans="2:3" ht="13.5" hidden="1" thickBot="1">
      <c r="B185" s="110">
        <f t="shared" si="0"/>
        <v>2060</v>
      </c>
      <c r="C185" s="135">
        <f>[13]С2.5!$AS$11</f>
        <v>0</v>
      </c>
    </row>
    <row r="186" spans="2:3" ht="13.5" hidden="1" thickBot="1">
      <c r="B186" s="110">
        <f t="shared" si="0"/>
        <v>2061</v>
      </c>
      <c r="C186" s="135">
        <f>[13]С2.5!$AT$11</f>
        <v>0</v>
      </c>
    </row>
    <row r="187" spans="2:3" ht="13.5" hidden="1" thickBot="1">
      <c r="B187" s="110">
        <f t="shared" si="0"/>
        <v>2062</v>
      </c>
      <c r="C187" s="135">
        <f>[13]С2.5!$AU$11</f>
        <v>0</v>
      </c>
    </row>
    <row r="188" spans="2:3" ht="13.5" hidden="1" thickBot="1">
      <c r="B188" s="110">
        <f t="shared" si="0"/>
        <v>2063</v>
      </c>
      <c r="C188" s="135">
        <f>[13]С2.5!$AV$11</f>
        <v>0</v>
      </c>
    </row>
    <row r="189" spans="2:3" ht="13.5" hidden="1" thickBot="1">
      <c r="B189" s="110">
        <f t="shared" si="0"/>
        <v>2064</v>
      </c>
      <c r="C189" s="135">
        <f>[13]С2.5!$AW$11</f>
        <v>0</v>
      </c>
    </row>
    <row r="190" spans="2:3" ht="13.5" hidden="1" thickBot="1">
      <c r="B190" s="110">
        <f t="shared" si="0"/>
        <v>2065</v>
      </c>
      <c r="C190" s="135">
        <f>[13]С2.5!$AX$11</f>
        <v>0</v>
      </c>
    </row>
    <row r="191" spans="2:3" ht="13.5" hidden="1" thickBot="1">
      <c r="B191" s="110">
        <f t="shared" si="0"/>
        <v>2066</v>
      </c>
      <c r="C191" s="135">
        <f>[13]С2.5!$AY$11</f>
        <v>0</v>
      </c>
    </row>
    <row r="192" spans="2:3" ht="13.5" hidden="1" thickBot="1">
      <c r="B192" s="110">
        <f t="shared" si="0"/>
        <v>2067</v>
      </c>
      <c r="C192" s="135">
        <f>[13]С2.5!$AZ$11</f>
        <v>0</v>
      </c>
    </row>
    <row r="193" spans="2:3" ht="13.5" hidden="1" thickBot="1">
      <c r="B193" s="110">
        <f t="shared" si="0"/>
        <v>2068</v>
      </c>
      <c r="C193" s="135">
        <f>[13]С2.5!$BA$11</f>
        <v>0</v>
      </c>
    </row>
    <row r="194" spans="2:3" ht="13.5" hidden="1" thickBot="1">
      <c r="B194" s="110">
        <f t="shared" si="0"/>
        <v>2069</v>
      </c>
      <c r="C194" s="135">
        <f>[13]С2.5!$BB$11</f>
        <v>0</v>
      </c>
    </row>
    <row r="195" spans="2:3" ht="13.5" hidden="1" thickBot="1">
      <c r="B195" s="110">
        <f t="shared" si="0"/>
        <v>2070</v>
      </c>
      <c r="C195" s="135">
        <f>[13]С2.5!$BC$11</f>
        <v>0</v>
      </c>
    </row>
    <row r="196" spans="2:3" ht="13.5" hidden="1" thickBot="1">
      <c r="B196" s="110">
        <f t="shared" si="0"/>
        <v>2071</v>
      </c>
      <c r="C196" s="135">
        <f>[13]С2.5!$BD$11</f>
        <v>0</v>
      </c>
    </row>
    <row r="197" spans="2:3" ht="13.5" hidden="1" thickBot="1">
      <c r="B197" s="110">
        <f t="shared" si="0"/>
        <v>2072</v>
      </c>
      <c r="C197" s="135">
        <f>[13]С2.5!$BE$11</f>
        <v>0</v>
      </c>
    </row>
    <row r="198" spans="2:3" ht="13.5" hidden="1" thickBot="1">
      <c r="B198" s="110">
        <f t="shared" si="0"/>
        <v>2073</v>
      </c>
      <c r="C198" s="135">
        <f>[13]С2.5!$BF$11</f>
        <v>0</v>
      </c>
    </row>
    <row r="199" spans="2:3" ht="13.5" hidden="1" thickBot="1">
      <c r="B199" s="110">
        <f t="shared" si="0"/>
        <v>2074</v>
      </c>
      <c r="C199" s="135">
        <f>[13]С2.5!$BG$11</f>
        <v>0</v>
      </c>
    </row>
    <row r="200" spans="2:3" ht="13.5" hidden="1" thickBot="1">
      <c r="B200" s="110">
        <f t="shared" si="0"/>
        <v>2075</v>
      </c>
      <c r="C200" s="135">
        <f>[13]С2.5!$BH$11</f>
        <v>0</v>
      </c>
    </row>
    <row r="201" spans="2:3" ht="13.5" hidden="1" thickBot="1">
      <c r="B201" s="110">
        <f t="shared" si="0"/>
        <v>2076</v>
      </c>
      <c r="C201" s="135">
        <f>[13]С2.5!$BI$11</f>
        <v>0</v>
      </c>
    </row>
    <row r="202" spans="2:3" ht="13.5" hidden="1" thickBot="1">
      <c r="B202" s="110">
        <f t="shared" si="0"/>
        <v>2077</v>
      </c>
      <c r="C202" s="135">
        <f>[13]С2.5!$BJ$11</f>
        <v>0</v>
      </c>
    </row>
    <row r="203" spans="2:3" ht="13.5" hidden="1" thickBot="1">
      <c r="B203" s="110">
        <f t="shared" si="0"/>
        <v>2078</v>
      </c>
      <c r="C203" s="135">
        <f>[13]С2.5!$BK$11</f>
        <v>0</v>
      </c>
    </row>
    <row r="204" spans="2:3" ht="13.5" hidden="1" thickBot="1">
      <c r="B204" s="110">
        <f t="shared" si="0"/>
        <v>2079</v>
      </c>
      <c r="C204" s="135">
        <f>[13]С2.5!$BL$11</f>
        <v>0</v>
      </c>
    </row>
    <row r="205" spans="2:3" ht="13.5" hidden="1" thickBot="1">
      <c r="B205" s="110">
        <f t="shared" si="0"/>
        <v>2080</v>
      </c>
      <c r="C205" s="135">
        <f>[13]С2.5!$BM$11</f>
        <v>0</v>
      </c>
    </row>
    <row r="206" spans="2:3" ht="13.5" hidden="1" thickBot="1">
      <c r="B206" s="110">
        <f t="shared" si="0"/>
        <v>2081</v>
      </c>
      <c r="C206" s="135">
        <f>[13]С2.5!$BN$11</f>
        <v>0</v>
      </c>
    </row>
    <row r="207" spans="2:3" ht="13.5" hidden="1" thickBot="1">
      <c r="B207" s="110">
        <f t="shared" si="0"/>
        <v>2082</v>
      </c>
      <c r="C207" s="135">
        <f>[13]С2.5!$BO$11</f>
        <v>0</v>
      </c>
    </row>
    <row r="208" spans="2:3" ht="13.5" hidden="1" thickBot="1">
      <c r="B208" s="110">
        <f t="shared" si="0"/>
        <v>2083</v>
      </c>
      <c r="C208" s="135">
        <f>[13]С2.5!$BP$11</f>
        <v>0</v>
      </c>
    </row>
    <row r="209" spans="2:3" ht="13.5" hidden="1" thickBot="1">
      <c r="B209" s="110">
        <f t="shared" si="0"/>
        <v>2084</v>
      </c>
      <c r="C209" s="135">
        <f>[13]С2.5!$BQ$11</f>
        <v>0</v>
      </c>
    </row>
    <row r="210" spans="2:3" ht="13.5" hidden="1" thickBot="1">
      <c r="B210" s="110">
        <f t="shared" si="0"/>
        <v>2085</v>
      </c>
      <c r="C210" s="135">
        <f>[13]С2.5!$BR$11</f>
        <v>0</v>
      </c>
    </row>
    <row r="211" spans="2:3" ht="13.5" hidden="1" thickBot="1">
      <c r="B211" s="110">
        <f t="shared" ref="B211:B224" si="1">B210+1</f>
        <v>2086</v>
      </c>
      <c r="C211" s="135">
        <f>[13]С2.5!$BS$11</f>
        <v>0</v>
      </c>
    </row>
    <row r="212" spans="2:3" ht="13.5" hidden="1" thickBot="1">
      <c r="B212" s="110">
        <f t="shared" si="1"/>
        <v>2087</v>
      </c>
      <c r="C212" s="135">
        <f>[13]С2.5!$BT$11</f>
        <v>0</v>
      </c>
    </row>
    <row r="213" spans="2:3" ht="13.5" hidden="1" thickBot="1">
      <c r="B213" s="110">
        <f t="shared" si="1"/>
        <v>2088</v>
      </c>
      <c r="C213" s="135">
        <f>[13]С2.5!$BU$11</f>
        <v>0</v>
      </c>
    </row>
    <row r="214" spans="2:3" ht="13.5" hidden="1" thickBot="1">
      <c r="B214" s="110">
        <f t="shared" si="1"/>
        <v>2089</v>
      </c>
      <c r="C214" s="135">
        <f>[13]С2.5!$BV$11</f>
        <v>0</v>
      </c>
    </row>
    <row r="215" spans="2:3" ht="13.5" hidden="1" thickBot="1">
      <c r="B215" s="110">
        <f t="shared" si="1"/>
        <v>2090</v>
      </c>
      <c r="C215" s="135">
        <f>[13]С2.5!$BW$11</f>
        <v>0</v>
      </c>
    </row>
    <row r="216" spans="2:3" ht="13.5" hidden="1" thickBot="1">
      <c r="B216" s="110">
        <f t="shared" si="1"/>
        <v>2091</v>
      </c>
      <c r="C216" s="135">
        <f>[13]С2.5!$BX$11</f>
        <v>0</v>
      </c>
    </row>
    <row r="217" spans="2:3" ht="13.5" hidden="1" thickBot="1">
      <c r="B217" s="110">
        <f t="shared" si="1"/>
        <v>2092</v>
      </c>
      <c r="C217" s="135">
        <f>[13]С2.5!$BY$11</f>
        <v>0</v>
      </c>
    </row>
    <row r="218" spans="2:3" ht="13.5" hidden="1" thickBot="1">
      <c r="B218" s="110">
        <f t="shared" si="1"/>
        <v>2093</v>
      </c>
      <c r="C218" s="135">
        <f>[13]С2.5!$BZ$11</f>
        <v>0</v>
      </c>
    </row>
    <row r="219" spans="2:3" ht="13.5" hidden="1" thickBot="1">
      <c r="B219" s="110">
        <f t="shared" si="1"/>
        <v>2094</v>
      </c>
      <c r="C219" s="135">
        <f>[13]С2.5!$CA$11</f>
        <v>0</v>
      </c>
    </row>
    <row r="220" spans="2:3" ht="13.5" hidden="1" thickBot="1">
      <c r="B220" s="110">
        <f t="shared" si="1"/>
        <v>2095</v>
      </c>
      <c r="C220" s="135">
        <f>[13]С2.5!$CB$11</f>
        <v>0</v>
      </c>
    </row>
    <row r="221" spans="2:3" ht="13.5" hidden="1" thickBot="1">
      <c r="B221" s="110">
        <f t="shared" si="1"/>
        <v>2096</v>
      </c>
      <c r="C221" s="135">
        <f>[13]С2.5!$CC$11</f>
        <v>0</v>
      </c>
    </row>
    <row r="222" spans="2:3" ht="13.5" hidden="1" thickBot="1">
      <c r="B222" s="110">
        <f t="shared" si="1"/>
        <v>2097</v>
      </c>
      <c r="C222" s="135">
        <f>[13]С2.5!$CD$11</f>
        <v>0</v>
      </c>
    </row>
    <row r="223" spans="2:3" ht="13.5" hidden="1" thickBot="1">
      <c r="B223" s="110">
        <f t="shared" si="1"/>
        <v>2098</v>
      </c>
      <c r="C223" s="135">
        <f>[13]С2.5!$CE$11</f>
        <v>0</v>
      </c>
    </row>
    <row r="224" spans="2:3" ht="13.5" hidden="1" thickBot="1">
      <c r="B224" s="110">
        <f t="shared" si="1"/>
        <v>2099</v>
      </c>
      <c r="C224" s="135">
        <f>[13]С2.5!$CF$11</f>
        <v>0</v>
      </c>
    </row>
    <row r="225" spans="2:3" ht="13.5" hidden="1" thickBot="1">
      <c r="B225" s="112">
        <f>B162+1</f>
        <v>2038</v>
      </c>
      <c r="C225" s="136" t="e">
        <f>[13]С2.5!#REF!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0" width="9.140625" style="2"/>
    <col min="151" max="232" width="0" style="2" hidden="1" customWidth="1"/>
    <col min="233" max="241" width="9.140625" style="2"/>
    <col min="242" max="242" width="3.7109375" style="2" customWidth="1"/>
    <col min="243" max="243" width="96.85546875" style="2" customWidth="1"/>
    <col min="244" max="244" width="30.85546875" style="2" customWidth="1"/>
    <col min="245" max="245" width="12.5703125" style="2" customWidth="1"/>
    <col min="246" max="246" width="5.140625" style="2" customWidth="1"/>
    <col min="247" max="247" width="9.140625" style="2"/>
    <col min="248" max="248" width="4.85546875" style="2" customWidth="1"/>
    <col min="249" max="249" width="30.5703125" style="2" customWidth="1"/>
    <col min="250" max="250" width="33.85546875" style="2" customWidth="1"/>
    <col min="251" max="251" width="5.140625" style="2" customWidth="1"/>
    <col min="252" max="253" width="17.5703125" style="2" customWidth="1"/>
    <col min="254" max="497" width="9.140625" style="2"/>
    <col min="498" max="498" width="3.7109375" style="2" customWidth="1"/>
    <col min="499" max="499" width="96.85546875" style="2" customWidth="1"/>
    <col min="500" max="500" width="30.85546875" style="2" customWidth="1"/>
    <col min="501" max="501" width="12.5703125" style="2" customWidth="1"/>
    <col min="502" max="502" width="5.140625" style="2" customWidth="1"/>
    <col min="503" max="503" width="9.140625" style="2"/>
    <col min="504" max="504" width="4.85546875" style="2" customWidth="1"/>
    <col min="505" max="505" width="30.5703125" style="2" customWidth="1"/>
    <col min="506" max="506" width="33.85546875" style="2" customWidth="1"/>
    <col min="507" max="507" width="5.140625" style="2" customWidth="1"/>
    <col min="508" max="509" width="17.5703125" style="2" customWidth="1"/>
    <col min="510" max="753" width="9.140625" style="2"/>
    <col min="754" max="754" width="3.7109375" style="2" customWidth="1"/>
    <col min="755" max="755" width="96.85546875" style="2" customWidth="1"/>
    <col min="756" max="756" width="30.85546875" style="2" customWidth="1"/>
    <col min="757" max="757" width="12.5703125" style="2" customWidth="1"/>
    <col min="758" max="758" width="5.140625" style="2" customWidth="1"/>
    <col min="759" max="759" width="9.140625" style="2"/>
    <col min="760" max="760" width="4.85546875" style="2" customWidth="1"/>
    <col min="761" max="761" width="30.5703125" style="2" customWidth="1"/>
    <col min="762" max="762" width="33.85546875" style="2" customWidth="1"/>
    <col min="763" max="763" width="5.140625" style="2" customWidth="1"/>
    <col min="764" max="765" width="17.5703125" style="2" customWidth="1"/>
    <col min="766" max="1009" width="9.140625" style="2"/>
    <col min="1010" max="1010" width="3.7109375" style="2" customWidth="1"/>
    <col min="1011" max="1011" width="96.85546875" style="2" customWidth="1"/>
    <col min="1012" max="1012" width="30.85546875" style="2" customWidth="1"/>
    <col min="1013" max="1013" width="12.5703125" style="2" customWidth="1"/>
    <col min="1014" max="1014" width="5.140625" style="2" customWidth="1"/>
    <col min="1015" max="1015" width="9.140625" style="2"/>
    <col min="1016" max="1016" width="4.85546875" style="2" customWidth="1"/>
    <col min="1017" max="1017" width="30.5703125" style="2" customWidth="1"/>
    <col min="1018" max="1018" width="33.85546875" style="2" customWidth="1"/>
    <col min="1019" max="1019" width="5.140625" style="2" customWidth="1"/>
    <col min="1020" max="1021" width="17.5703125" style="2" customWidth="1"/>
    <col min="1022" max="1265" width="9.140625" style="2"/>
    <col min="1266" max="1266" width="3.7109375" style="2" customWidth="1"/>
    <col min="1267" max="1267" width="96.85546875" style="2" customWidth="1"/>
    <col min="1268" max="1268" width="30.85546875" style="2" customWidth="1"/>
    <col min="1269" max="1269" width="12.5703125" style="2" customWidth="1"/>
    <col min="1270" max="1270" width="5.140625" style="2" customWidth="1"/>
    <col min="1271" max="1271" width="9.140625" style="2"/>
    <col min="1272" max="1272" width="4.85546875" style="2" customWidth="1"/>
    <col min="1273" max="1273" width="30.5703125" style="2" customWidth="1"/>
    <col min="1274" max="1274" width="33.85546875" style="2" customWidth="1"/>
    <col min="1275" max="1275" width="5.140625" style="2" customWidth="1"/>
    <col min="1276" max="1277" width="17.5703125" style="2" customWidth="1"/>
    <col min="1278" max="1521" width="9.140625" style="2"/>
    <col min="1522" max="1522" width="3.7109375" style="2" customWidth="1"/>
    <col min="1523" max="1523" width="96.85546875" style="2" customWidth="1"/>
    <col min="1524" max="1524" width="30.85546875" style="2" customWidth="1"/>
    <col min="1525" max="1525" width="12.5703125" style="2" customWidth="1"/>
    <col min="1526" max="1526" width="5.140625" style="2" customWidth="1"/>
    <col min="1527" max="1527" width="9.140625" style="2"/>
    <col min="1528" max="1528" width="4.85546875" style="2" customWidth="1"/>
    <col min="1529" max="1529" width="30.5703125" style="2" customWidth="1"/>
    <col min="1530" max="1530" width="33.85546875" style="2" customWidth="1"/>
    <col min="1531" max="1531" width="5.140625" style="2" customWidth="1"/>
    <col min="1532" max="1533" width="17.5703125" style="2" customWidth="1"/>
    <col min="1534" max="1777" width="9.140625" style="2"/>
    <col min="1778" max="1778" width="3.7109375" style="2" customWidth="1"/>
    <col min="1779" max="1779" width="96.85546875" style="2" customWidth="1"/>
    <col min="1780" max="1780" width="30.85546875" style="2" customWidth="1"/>
    <col min="1781" max="1781" width="12.5703125" style="2" customWidth="1"/>
    <col min="1782" max="1782" width="5.140625" style="2" customWidth="1"/>
    <col min="1783" max="1783" width="9.140625" style="2"/>
    <col min="1784" max="1784" width="4.85546875" style="2" customWidth="1"/>
    <col min="1785" max="1785" width="30.5703125" style="2" customWidth="1"/>
    <col min="1786" max="1786" width="33.85546875" style="2" customWidth="1"/>
    <col min="1787" max="1787" width="5.140625" style="2" customWidth="1"/>
    <col min="1788" max="1789" width="17.5703125" style="2" customWidth="1"/>
    <col min="1790" max="2033" width="9.140625" style="2"/>
    <col min="2034" max="2034" width="3.7109375" style="2" customWidth="1"/>
    <col min="2035" max="2035" width="96.85546875" style="2" customWidth="1"/>
    <col min="2036" max="2036" width="30.85546875" style="2" customWidth="1"/>
    <col min="2037" max="2037" width="12.5703125" style="2" customWidth="1"/>
    <col min="2038" max="2038" width="5.140625" style="2" customWidth="1"/>
    <col min="2039" max="2039" width="9.140625" style="2"/>
    <col min="2040" max="2040" width="4.85546875" style="2" customWidth="1"/>
    <col min="2041" max="2041" width="30.5703125" style="2" customWidth="1"/>
    <col min="2042" max="2042" width="33.85546875" style="2" customWidth="1"/>
    <col min="2043" max="2043" width="5.140625" style="2" customWidth="1"/>
    <col min="2044" max="2045" width="17.5703125" style="2" customWidth="1"/>
    <col min="2046" max="2289" width="9.140625" style="2"/>
    <col min="2290" max="2290" width="3.7109375" style="2" customWidth="1"/>
    <col min="2291" max="2291" width="96.85546875" style="2" customWidth="1"/>
    <col min="2292" max="2292" width="30.85546875" style="2" customWidth="1"/>
    <col min="2293" max="2293" width="12.5703125" style="2" customWidth="1"/>
    <col min="2294" max="2294" width="5.140625" style="2" customWidth="1"/>
    <col min="2295" max="2295" width="9.140625" style="2"/>
    <col min="2296" max="2296" width="4.85546875" style="2" customWidth="1"/>
    <col min="2297" max="2297" width="30.5703125" style="2" customWidth="1"/>
    <col min="2298" max="2298" width="33.85546875" style="2" customWidth="1"/>
    <col min="2299" max="2299" width="5.140625" style="2" customWidth="1"/>
    <col min="2300" max="2301" width="17.5703125" style="2" customWidth="1"/>
    <col min="2302" max="2545" width="9.140625" style="2"/>
    <col min="2546" max="2546" width="3.7109375" style="2" customWidth="1"/>
    <col min="2547" max="2547" width="96.85546875" style="2" customWidth="1"/>
    <col min="2548" max="2548" width="30.85546875" style="2" customWidth="1"/>
    <col min="2549" max="2549" width="12.5703125" style="2" customWidth="1"/>
    <col min="2550" max="2550" width="5.140625" style="2" customWidth="1"/>
    <col min="2551" max="2551" width="9.140625" style="2"/>
    <col min="2552" max="2552" width="4.85546875" style="2" customWidth="1"/>
    <col min="2553" max="2553" width="30.5703125" style="2" customWidth="1"/>
    <col min="2554" max="2554" width="33.85546875" style="2" customWidth="1"/>
    <col min="2555" max="2555" width="5.140625" style="2" customWidth="1"/>
    <col min="2556" max="2557" width="17.5703125" style="2" customWidth="1"/>
    <col min="2558" max="2801" width="9.140625" style="2"/>
    <col min="2802" max="2802" width="3.7109375" style="2" customWidth="1"/>
    <col min="2803" max="2803" width="96.85546875" style="2" customWidth="1"/>
    <col min="2804" max="2804" width="30.85546875" style="2" customWidth="1"/>
    <col min="2805" max="2805" width="12.5703125" style="2" customWidth="1"/>
    <col min="2806" max="2806" width="5.140625" style="2" customWidth="1"/>
    <col min="2807" max="2807" width="9.140625" style="2"/>
    <col min="2808" max="2808" width="4.85546875" style="2" customWidth="1"/>
    <col min="2809" max="2809" width="30.5703125" style="2" customWidth="1"/>
    <col min="2810" max="2810" width="33.85546875" style="2" customWidth="1"/>
    <col min="2811" max="2811" width="5.140625" style="2" customWidth="1"/>
    <col min="2812" max="2813" width="17.5703125" style="2" customWidth="1"/>
    <col min="2814" max="3057" width="9.140625" style="2"/>
    <col min="3058" max="3058" width="3.7109375" style="2" customWidth="1"/>
    <col min="3059" max="3059" width="96.85546875" style="2" customWidth="1"/>
    <col min="3060" max="3060" width="30.85546875" style="2" customWidth="1"/>
    <col min="3061" max="3061" width="12.5703125" style="2" customWidth="1"/>
    <col min="3062" max="3062" width="5.140625" style="2" customWidth="1"/>
    <col min="3063" max="3063" width="9.140625" style="2"/>
    <col min="3064" max="3064" width="4.85546875" style="2" customWidth="1"/>
    <col min="3065" max="3065" width="30.5703125" style="2" customWidth="1"/>
    <col min="3066" max="3066" width="33.85546875" style="2" customWidth="1"/>
    <col min="3067" max="3067" width="5.140625" style="2" customWidth="1"/>
    <col min="3068" max="3069" width="17.5703125" style="2" customWidth="1"/>
    <col min="3070" max="3313" width="9.140625" style="2"/>
    <col min="3314" max="3314" width="3.7109375" style="2" customWidth="1"/>
    <col min="3315" max="3315" width="96.85546875" style="2" customWidth="1"/>
    <col min="3316" max="3316" width="30.85546875" style="2" customWidth="1"/>
    <col min="3317" max="3317" width="12.5703125" style="2" customWidth="1"/>
    <col min="3318" max="3318" width="5.140625" style="2" customWidth="1"/>
    <col min="3319" max="3319" width="9.140625" style="2"/>
    <col min="3320" max="3320" width="4.85546875" style="2" customWidth="1"/>
    <col min="3321" max="3321" width="30.5703125" style="2" customWidth="1"/>
    <col min="3322" max="3322" width="33.85546875" style="2" customWidth="1"/>
    <col min="3323" max="3323" width="5.140625" style="2" customWidth="1"/>
    <col min="3324" max="3325" width="17.5703125" style="2" customWidth="1"/>
    <col min="3326" max="3569" width="9.140625" style="2"/>
    <col min="3570" max="3570" width="3.7109375" style="2" customWidth="1"/>
    <col min="3571" max="3571" width="96.85546875" style="2" customWidth="1"/>
    <col min="3572" max="3572" width="30.85546875" style="2" customWidth="1"/>
    <col min="3573" max="3573" width="12.5703125" style="2" customWidth="1"/>
    <col min="3574" max="3574" width="5.140625" style="2" customWidth="1"/>
    <col min="3575" max="3575" width="9.140625" style="2"/>
    <col min="3576" max="3576" width="4.85546875" style="2" customWidth="1"/>
    <col min="3577" max="3577" width="30.5703125" style="2" customWidth="1"/>
    <col min="3578" max="3578" width="33.85546875" style="2" customWidth="1"/>
    <col min="3579" max="3579" width="5.140625" style="2" customWidth="1"/>
    <col min="3580" max="3581" width="17.5703125" style="2" customWidth="1"/>
    <col min="3582" max="3825" width="9.140625" style="2"/>
    <col min="3826" max="3826" width="3.7109375" style="2" customWidth="1"/>
    <col min="3827" max="3827" width="96.85546875" style="2" customWidth="1"/>
    <col min="3828" max="3828" width="30.85546875" style="2" customWidth="1"/>
    <col min="3829" max="3829" width="12.5703125" style="2" customWidth="1"/>
    <col min="3830" max="3830" width="5.140625" style="2" customWidth="1"/>
    <col min="3831" max="3831" width="9.140625" style="2"/>
    <col min="3832" max="3832" width="4.85546875" style="2" customWidth="1"/>
    <col min="3833" max="3833" width="30.5703125" style="2" customWidth="1"/>
    <col min="3834" max="3834" width="33.85546875" style="2" customWidth="1"/>
    <col min="3835" max="3835" width="5.140625" style="2" customWidth="1"/>
    <col min="3836" max="3837" width="17.5703125" style="2" customWidth="1"/>
    <col min="3838" max="4081" width="9.140625" style="2"/>
    <col min="4082" max="4082" width="3.7109375" style="2" customWidth="1"/>
    <col min="4083" max="4083" width="96.85546875" style="2" customWidth="1"/>
    <col min="4084" max="4084" width="30.85546875" style="2" customWidth="1"/>
    <col min="4085" max="4085" width="12.5703125" style="2" customWidth="1"/>
    <col min="4086" max="4086" width="5.140625" style="2" customWidth="1"/>
    <col min="4087" max="4087" width="9.140625" style="2"/>
    <col min="4088" max="4088" width="4.85546875" style="2" customWidth="1"/>
    <col min="4089" max="4089" width="30.5703125" style="2" customWidth="1"/>
    <col min="4090" max="4090" width="33.85546875" style="2" customWidth="1"/>
    <col min="4091" max="4091" width="5.140625" style="2" customWidth="1"/>
    <col min="4092" max="4093" width="17.5703125" style="2" customWidth="1"/>
    <col min="4094" max="4337" width="9.140625" style="2"/>
    <col min="4338" max="4338" width="3.7109375" style="2" customWidth="1"/>
    <col min="4339" max="4339" width="96.85546875" style="2" customWidth="1"/>
    <col min="4340" max="4340" width="30.85546875" style="2" customWidth="1"/>
    <col min="4341" max="4341" width="12.5703125" style="2" customWidth="1"/>
    <col min="4342" max="4342" width="5.140625" style="2" customWidth="1"/>
    <col min="4343" max="4343" width="9.140625" style="2"/>
    <col min="4344" max="4344" width="4.85546875" style="2" customWidth="1"/>
    <col min="4345" max="4345" width="30.5703125" style="2" customWidth="1"/>
    <col min="4346" max="4346" width="33.85546875" style="2" customWidth="1"/>
    <col min="4347" max="4347" width="5.140625" style="2" customWidth="1"/>
    <col min="4348" max="4349" width="17.5703125" style="2" customWidth="1"/>
    <col min="4350" max="4593" width="9.140625" style="2"/>
    <col min="4594" max="4594" width="3.7109375" style="2" customWidth="1"/>
    <col min="4595" max="4595" width="96.85546875" style="2" customWidth="1"/>
    <col min="4596" max="4596" width="30.85546875" style="2" customWidth="1"/>
    <col min="4597" max="4597" width="12.5703125" style="2" customWidth="1"/>
    <col min="4598" max="4598" width="5.140625" style="2" customWidth="1"/>
    <col min="4599" max="4599" width="9.140625" style="2"/>
    <col min="4600" max="4600" width="4.85546875" style="2" customWidth="1"/>
    <col min="4601" max="4601" width="30.5703125" style="2" customWidth="1"/>
    <col min="4602" max="4602" width="33.85546875" style="2" customWidth="1"/>
    <col min="4603" max="4603" width="5.140625" style="2" customWidth="1"/>
    <col min="4604" max="4605" width="17.5703125" style="2" customWidth="1"/>
    <col min="4606" max="4849" width="9.140625" style="2"/>
    <col min="4850" max="4850" width="3.7109375" style="2" customWidth="1"/>
    <col min="4851" max="4851" width="96.85546875" style="2" customWidth="1"/>
    <col min="4852" max="4852" width="30.85546875" style="2" customWidth="1"/>
    <col min="4853" max="4853" width="12.5703125" style="2" customWidth="1"/>
    <col min="4854" max="4854" width="5.140625" style="2" customWidth="1"/>
    <col min="4855" max="4855" width="9.140625" style="2"/>
    <col min="4856" max="4856" width="4.85546875" style="2" customWidth="1"/>
    <col min="4857" max="4857" width="30.5703125" style="2" customWidth="1"/>
    <col min="4858" max="4858" width="33.85546875" style="2" customWidth="1"/>
    <col min="4859" max="4859" width="5.140625" style="2" customWidth="1"/>
    <col min="4860" max="4861" width="17.5703125" style="2" customWidth="1"/>
    <col min="4862" max="5105" width="9.140625" style="2"/>
    <col min="5106" max="5106" width="3.7109375" style="2" customWidth="1"/>
    <col min="5107" max="5107" width="96.85546875" style="2" customWidth="1"/>
    <col min="5108" max="5108" width="30.85546875" style="2" customWidth="1"/>
    <col min="5109" max="5109" width="12.5703125" style="2" customWidth="1"/>
    <col min="5110" max="5110" width="5.140625" style="2" customWidth="1"/>
    <col min="5111" max="5111" width="9.140625" style="2"/>
    <col min="5112" max="5112" width="4.85546875" style="2" customWidth="1"/>
    <col min="5113" max="5113" width="30.5703125" style="2" customWidth="1"/>
    <col min="5114" max="5114" width="33.85546875" style="2" customWidth="1"/>
    <col min="5115" max="5115" width="5.140625" style="2" customWidth="1"/>
    <col min="5116" max="5117" width="17.5703125" style="2" customWidth="1"/>
    <col min="5118" max="5361" width="9.140625" style="2"/>
    <col min="5362" max="5362" width="3.7109375" style="2" customWidth="1"/>
    <col min="5363" max="5363" width="96.85546875" style="2" customWidth="1"/>
    <col min="5364" max="5364" width="30.85546875" style="2" customWidth="1"/>
    <col min="5365" max="5365" width="12.5703125" style="2" customWidth="1"/>
    <col min="5366" max="5366" width="5.140625" style="2" customWidth="1"/>
    <col min="5367" max="5367" width="9.140625" style="2"/>
    <col min="5368" max="5368" width="4.85546875" style="2" customWidth="1"/>
    <col min="5369" max="5369" width="30.5703125" style="2" customWidth="1"/>
    <col min="5370" max="5370" width="33.85546875" style="2" customWidth="1"/>
    <col min="5371" max="5371" width="5.140625" style="2" customWidth="1"/>
    <col min="5372" max="5373" width="17.5703125" style="2" customWidth="1"/>
    <col min="5374" max="5617" width="9.140625" style="2"/>
    <col min="5618" max="5618" width="3.7109375" style="2" customWidth="1"/>
    <col min="5619" max="5619" width="96.85546875" style="2" customWidth="1"/>
    <col min="5620" max="5620" width="30.85546875" style="2" customWidth="1"/>
    <col min="5621" max="5621" width="12.5703125" style="2" customWidth="1"/>
    <col min="5622" max="5622" width="5.140625" style="2" customWidth="1"/>
    <col min="5623" max="5623" width="9.140625" style="2"/>
    <col min="5624" max="5624" width="4.85546875" style="2" customWidth="1"/>
    <col min="5625" max="5625" width="30.5703125" style="2" customWidth="1"/>
    <col min="5626" max="5626" width="33.85546875" style="2" customWidth="1"/>
    <col min="5627" max="5627" width="5.140625" style="2" customWidth="1"/>
    <col min="5628" max="5629" width="17.5703125" style="2" customWidth="1"/>
    <col min="5630" max="5873" width="9.140625" style="2"/>
    <col min="5874" max="5874" width="3.7109375" style="2" customWidth="1"/>
    <col min="5875" max="5875" width="96.85546875" style="2" customWidth="1"/>
    <col min="5876" max="5876" width="30.85546875" style="2" customWidth="1"/>
    <col min="5877" max="5877" width="12.5703125" style="2" customWidth="1"/>
    <col min="5878" max="5878" width="5.140625" style="2" customWidth="1"/>
    <col min="5879" max="5879" width="9.140625" style="2"/>
    <col min="5880" max="5880" width="4.85546875" style="2" customWidth="1"/>
    <col min="5881" max="5881" width="30.5703125" style="2" customWidth="1"/>
    <col min="5882" max="5882" width="33.85546875" style="2" customWidth="1"/>
    <col min="5883" max="5883" width="5.140625" style="2" customWidth="1"/>
    <col min="5884" max="5885" width="17.5703125" style="2" customWidth="1"/>
    <col min="5886" max="6129" width="9.140625" style="2"/>
    <col min="6130" max="6130" width="3.7109375" style="2" customWidth="1"/>
    <col min="6131" max="6131" width="96.85546875" style="2" customWidth="1"/>
    <col min="6132" max="6132" width="30.85546875" style="2" customWidth="1"/>
    <col min="6133" max="6133" width="12.5703125" style="2" customWidth="1"/>
    <col min="6134" max="6134" width="5.140625" style="2" customWidth="1"/>
    <col min="6135" max="6135" width="9.140625" style="2"/>
    <col min="6136" max="6136" width="4.85546875" style="2" customWidth="1"/>
    <col min="6137" max="6137" width="30.5703125" style="2" customWidth="1"/>
    <col min="6138" max="6138" width="33.85546875" style="2" customWidth="1"/>
    <col min="6139" max="6139" width="5.140625" style="2" customWidth="1"/>
    <col min="6140" max="6141" width="17.5703125" style="2" customWidth="1"/>
    <col min="6142" max="6385" width="9.140625" style="2"/>
    <col min="6386" max="6386" width="3.7109375" style="2" customWidth="1"/>
    <col min="6387" max="6387" width="96.85546875" style="2" customWidth="1"/>
    <col min="6388" max="6388" width="30.85546875" style="2" customWidth="1"/>
    <col min="6389" max="6389" width="12.5703125" style="2" customWidth="1"/>
    <col min="6390" max="6390" width="5.140625" style="2" customWidth="1"/>
    <col min="6391" max="6391" width="9.140625" style="2"/>
    <col min="6392" max="6392" width="4.85546875" style="2" customWidth="1"/>
    <col min="6393" max="6393" width="30.5703125" style="2" customWidth="1"/>
    <col min="6394" max="6394" width="33.85546875" style="2" customWidth="1"/>
    <col min="6395" max="6395" width="5.140625" style="2" customWidth="1"/>
    <col min="6396" max="6397" width="17.5703125" style="2" customWidth="1"/>
    <col min="6398" max="6641" width="9.140625" style="2"/>
    <col min="6642" max="6642" width="3.7109375" style="2" customWidth="1"/>
    <col min="6643" max="6643" width="96.85546875" style="2" customWidth="1"/>
    <col min="6644" max="6644" width="30.85546875" style="2" customWidth="1"/>
    <col min="6645" max="6645" width="12.5703125" style="2" customWidth="1"/>
    <col min="6646" max="6646" width="5.140625" style="2" customWidth="1"/>
    <col min="6647" max="6647" width="9.140625" style="2"/>
    <col min="6648" max="6648" width="4.85546875" style="2" customWidth="1"/>
    <col min="6649" max="6649" width="30.5703125" style="2" customWidth="1"/>
    <col min="6650" max="6650" width="33.85546875" style="2" customWidth="1"/>
    <col min="6651" max="6651" width="5.140625" style="2" customWidth="1"/>
    <col min="6652" max="6653" width="17.5703125" style="2" customWidth="1"/>
    <col min="6654" max="6897" width="9.140625" style="2"/>
    <col min="6898" max="6898" width="3.7109375" style="2" customWidth="1"/>
    <col min="6899" max="6899" width="96.85546875" style="2" customWidth="1"/>
    <col min="6900" max="6900" width="30.85546875" style="2" customWidth="1"/>
    <col min="6901" max="6901" width="12.5703125" style="2" customWidth="1"/>
    <col min="6902" max="6902" width="5.140625" style="2" customWidth="1"/>
    <col min="6903" max="6903" width="9.140625" style="2"/>
    <col min="6904" max="6904" width="4.85546875" style="2" customWidth="1"/>
    <col min="6905" max="6905" width="30.5703125" style="2" customWidth="1"/>
    <col min="6906" max="6906" width="33.85546875" style="2" customWidth="1"/>
    <col min="6907" max="6907" width="5.140625" style="2" customWidth="1"/>
    <col min="6908" max="6909" width="17.5703125" style="2" customWidth="1"/>
    <col min="6910" max="7153" width="9.140625" style="2"/>
    <col min="7154" max="7154" width="3.7109375" style="2" customWidth="1"/>
    <col min="7155" max="7155" width="96.85546875" style="2" customWidth="1"/>
    <col min="7156" max="7156" width="30.85546875" style="2" customWidth="1"/>
    <col min="7157" max="7157" width="12.5703125" style="2" customWidth="1"/>
    <col min="7158" max="7158" width="5.140625" style="2" customWidth="1"/>
    <col min="7159" max="7159" width="9.140625" style="2"/>
    <col min="7160" max="7160" width="4.85546875" style="2" customWidth="1"/>
    <col min="7161" max="7161" width="30.5703125" style="2" customWidth="1"/>
    <col min="7162" max="7162" width="33.85546875" style="2" customWidth="1"/>
    <col min="7163" max="7163" width="5.140625" style="2" customWidth="1"/>
    <col min="7164" max="7165" width="17.5703125" style="2" customWidth="1"/>
    <col min="7166" max="7409" width="9.140625" style="2"/>
    <col min="7410" max="7410" width="3.7109375" style="2" customWidth="1"/>
    <col min="7411" max="7411" width="96.85546875" style="2" customWidth="1"/>
    <col min="7412" max="7412" width="30.85546875" style="2" customWidth="1"/>
    <col min="7413" max="7413" width="12.5703125" style="2" customWidth="1"/>
    <col min="7414" max="7414" width="5.140625" style="2" customWidth="1"/>
    <col min="7415" max="7415" width="9.140625" style="2"/>
    <col min="7416" max="7416" width="4.85546875" style="2" customWidth="1"/>
    <col min="7417" max="7417" width="30.5703125" style="2" customWidth="1"/>
    <col min="7418" max="7418" width="33.85546875" style="2" customWidth="1"/>
    <col min="7419" max="7419" width="5.140625" style="2" customWidth="1"/>
    <col min="7420" max="7421" width="17.5703125" style="2" customWidth="1"/>
    <col min="7422" max="7665" width="9.140625" style="2"/>
    <col min="7666" max="7666" width="3.7109375" style="2" customWidth="1"/>
    <col min="7667" max="7667" width="96.85546875" style="2" customWidth="1"/>
    <col min="7668" max="7668" width="30.85546875" style="2" customWidth="1"/>
    <col min="7669" max="7669" width="12.5703125" style="2" customWidth="1"/>
    <col min="7670" max="7670" width="5.140625" style="2" customWidth="1"/>
    <col min="7671" max="7671" width="9.140625" style="2"/>
    <col min="7672" max="7672" width="4.85546875" style="2" customWidth="1"/>
    <col min="7673" max="7673" width="30.5703125" style="2" customWidth="1"/>
    <col min="7674" max="7674" width="33.85546875" style="2" customWidth="1"/>
    <col min="7675" max="7675" width="5.140625" style="2" customWidth="1"/>
    <col min="7676" max="7677" width="17.5703125" style="2" customWidth="1"/>
    <col min="7678" max="7921" width="9.140625" style="2"/>
    <col min="7922" max="7922" width="3.7109375" style="2" customWidth="1"/>
    <col min="7923" max="7923" width="96.85546875" style="2" customWidth="1"/>
    <col min="7924" max="7924" width="30.85546875" style="2" customWidth="1"/>
    <col min="7925" max="7925" width="12.5703125" style="2" customWidth="1"/>
    <col min="7926" max="7926" width="5.140625" style="2" customWidth="1"/>
    <col min="7927" max="7927" width="9.140625" style="2"/>
    <col min="7928" max="7928" width="4.85546875" style="2" customWidth="1"/>
    <col min="7929" max="7929" width="30.5703125" style="2" customWidth="1"/>
    <col min="7930" max="7930" width="33.85546875" style="2" customWidth="1"/>
    <col min="7931" max="7931" width="5.140625" style="2" customWidth="1"/>
    <col min="7932" max="7933" width="17.5703125" style="2" customWidth="1"/>
    <col min="7934" max="8177" width="9.140625" style="2"/>
    <col min="8178" max="8178" width="3.7109375" style="2" customWidth="1"/>
    <col min="8179" max="8179" width="96.85546875" style="2" customWidth="1"/>
    <col min="8180" max="8180" width="30.85546875" style="2" customWidth="1"/>
    <col min="8181" max="8181" width="12.5703125" style="2" customWidth="1"/>
    <col min="8182" max="8182" width="5.140625" style="2" customWidth="1"/>
    <col min="8183" max="8183" width="9.140625" style="2"/>
    <col min="8184" max="8184" width="4.85546875" style="2" customWidth="1"/>
    <col min="8185" max="8185" width="30.5703125" style="2" customWidth="1"/>
    <col min="8186" max="8186" width="33.85546875" style="2" customWidth="1"/>
    <col min="8187" max="8187" width="5.140625" style="2" customWidth="1"/>
    <col min="8188" max="8189" width="17.5703125" style="2" customWidth="1"/>
    <col min="8190" max="8433" width="9.140625" style="2"/>
    <col min="8434" max="8434" width="3.7109375" style="2" customWidth="1"/>
    <col min="8435" max="8435" width="96.85546875" style="2" customWidth="1"/>
    <col min="8436" max="8436" width="30.85546875" style="2" customWidth="1"/>
    <col min="8437" max="8437" width="12.5703125" style="2" customWidth="1"/>
    <col min="8438" max="8438" width="5.140625" style="2" customWidth="1"/>
    <col min="8439" max="8439" width="9.140625" style="2"/>
    <col min="8440" max="8440" width="4.85546875" style="2" customWidth="1"/>
    <col min="8441" max="8441" width="30.5703125" style="2" customWidth="1"/>
    <col min="8442" max="8442" width="33.85546875" style="2" customWidth="1"/>
    <col min="8443" max="8443" width="5.140625" style="2" customWidth="1"/>
    <col min="8444" max="8445" width="17.5703125" style="2" customWidth="1"/>
    <col min="8446" max="8689" width="9.140625" style="2"/>
    <col min="8690" max="8690" width="3.7109375" style="2" customWidth="1"/>
    <col min="8691" max="8691" width="96.85546875" style="2" customWidth="1"/>
    <col min="8692" max="8692" width="30.85546875" style="2" customWidth="1"/>
    <col min="8693" max="8693" width="12.5703125" style="2" customWidth="1"/>
    <col min="8694" max="8694" width="5.140625" style="2" customWidth="1"/>
    <col min="8695" max="8695" width="9.140625" style="2"/>
    <col min="8696" max="8696" width="4.85546875" style="2" customWidth="1"/>
    <col min="8697" max="8697" width="30.5703125" style="2" customWidth="1"/>
    <col min="8698" max="8698" width="33.85546875" style="2" customWidth="1"/>
    <col min="8699" max="8699" width="5.140625" style="2" customWidth="1"/>
    <col min="8700" max="8701" width="17.5703125" style="2" customWidth="1"/>
    <col min="8702" max="8945" width="9.140625" style="2"/>
    <col min="8946" max="8946" width="3.7109375" style="2" customWidth="1"/>
    <col min="8947" max="8947" width="96.85546875" style="2" customWidth="1"/>
    <col min="8948" max="8948" width="30.85546875" style="2" customWidth="1"/>
    <col min="8949" max="8949" width="12.5703125" style="2" customWidth="1"/>
    <col min="8950" max="8950" width="5.140625" style="2" customWidth="1"/>
    <col min="8951" max="8951" width="9.140625" style="2"/>
    <col min="8952" max="8952" width="4.85546875" style="2" customWidth="1"/>
    <col min="8953" max="8953" width="30.5703125" style="2" customWidth="1"/>
    <col min="8954" max="8954" width="33.85546875" style="2" customWidth="1"/>
    <col min="8955" max="8955" width="5.140625" style="2" customWidth="1"/>
    <col min="8956" max="8957" width="17.5703125" style="2" customWidth="1"/>
    <col min="8958" max="9201" width="9.140625" style="2"/>
    <col min="9202" max="9202" width="3.7109375" style="2" customWidth="1"/>
    <col min="9203" max="9203" width="96.85546875" style="2" customWidth="1"/>
    <col min="9204" max="9204" width="30.85546875" style="2" customWidth="1"/>
    <col min="9205" max="9205" width="12.5703125" style="2" customWidth="1"/>
    <col min="9206" max="9206" width="5.140625" style="2" customWidth="1"/>
    <col min="9207" max="9207" width="9.140625" style="2"/>
    <col min="9208" max="9208" width="4.85546875" style="2" customWidth="1"/>
    <col min="9209" max="9209" width="30.5703125" style="2" customWidth="1"/>
    <col min="9210" max="9210" width="33.85546875" style="2" customWidth="1"/>
    <col min="9211" max="9211" width="5.140625" style="2" customWidth="1"/>
    <col min="9212" max="9213" width="17.5703125" style="2" customWidth="1"/>
    <col min="9214" max="9457" width="9.140625" style="2"/>
    <col min="9458" max="9458" width="3.7109375" style="2" customWidth="1"/>
    <col min="9459" max="9459" width="96.85546875" style="2" customWidth="1"/>
    <col min="9460" max="9460" width="30.85546875" style="2" customWidth="1"/>
    <col min="9461" max="9461" width="12.5703125" style="2" customWidth="1"/>
    <col min="9462" max="9462" width="5.140625" style="2" customWidth="1"/>
    <col min="9463" max="9463" width="9.140625" style="2"/>
    <col min="9464" max="9464" width="4.85546875" style="2" customWidth="1"/>
    <col min="9465" max="9465" width="30.5703125" style="2" customWidth="1"/>
    <col min="9466" max="9466" width="33.85546875" style="2" customWidth="1"/>
    <col min="9467" max="9467" width="5.140625" style="2" customWidth="1"/>
    <col min="9468" max="9469" width="17.5703125" style="2" customWidth="1"/>
    <col min="9470" max="9713" width="9.140625" style="2"/>
    <col min="9714" max="9714" width="3.7109375" style="2" customWidth="1"/>
    <col min="9715" max="9715" width="96.85546875" style="2" customWidth="1"/>
    <col min="9716" max="9716" width="30.85546875" style="2" customWidth="1"/>
    <col min="9717" max="9717" width="12.5703125" style="2" customWidth="1"/>
    <col min="9718" max="9718" width="5.140625" style="2" customWidth="1"/>
    <col min="9719" max="9719" width="9.140625" style="2"/>
    <col min="9720" max="9720" width="4.85546875" style="2" customWidth="1"/>
    <col min="9721" max="9721" width="30.5703125" style="2" customWidth="1"/>
    <col min="9722" max="9722" width="33.85546875" style="2" customWidth="1"/>
    <col min="9723" max="9723" width="5.140625" style="2" customWidth="1"/>
    <col min="9724" max="9725" width="17.5703125" style="2" customWidth="1"/>
    <col min="9726" max="9969" width="9.140625" style="2"/>
    <col min="9970" max="9970" width="3.7109375" style="2" customWidth="1"/>
    <col min="9971" max="9971" width="96.85546875" style="2" customWidth="1"/>
    <col min="9972" max="9972" width="30.85546875" style="2" customWidth="1"/>
    <col min="9973" max="9973" width="12.5703125" style="2" customWidth="1"/>
    <col min="9974" max="9974" width="5.140625" style="2" customWidth="1"/>
    <col min="9975" max="9975" width="9.140625" style="2"/>
    <col min="9976" max="9976" width="4.85546875" style="2" customWidth="1"/>
    <col min="9977" max="9977" width="30.5703125" style="2" customWidth="1"/>
    <col min="9978" max="9978" width="33.85546875" style="2" customWidth="1"/>
    <col min="9979" max="9979" width="5.140625" style="2" customWidth="1"/>
    <col min="9980" max="9981" width="17.5703125" style="2" customWidth="1"/>
    <col min="9982" max="10225" width="9.140625" style="2"/>
    <col min="10226" max="10226" width="3.7109375" style="2" customWidth="1"/>
    <col min="10227" max="10227" width="96.85546875" style="2" customWidth="1"/>
    <col min="10228" max="10228" width="30.85546875" style="2" customWidth="1"/>
    <col min="10229" max="10229" width="12.5703125" style="2" customWidth="1"/>
    <col min="10230" max="10230" width="5.140625" style="2" customWidth="1"/>
    <col min="10231" max="10231" width="9.140625" style="2"/>
    <col min="10232" max="10232" width="4.85546875" style="2" customWidth="1"/>
    <col min="10233" max="10233" width="30.5703125" style="2" customWidth="1"/>
    <col min="10234" max="10234" width="33.85546875" style="2" customWidth="1"/>
    <col min="10235" max="10235" width="5.140625" style="2" customWidth="1"/>
    <col min="10236" max="10237" width="17.5703125" style="2" customWidth="1"/>
    <col min="10238" max="10481" width="9.140625" style="2"/>
    <col min="10482" max="10482" width="3.7109375" style="2" customWidth="1"/>
    <col min="10483" max="10483" width="96.85546875" style="2" customWidth="1"/>
    <col min="10484" max="10484" width="30.85546875" style="2" customWidth="1"/>
    <col min="10485" max="10485" width="12.5703125" style="2" customWidth="1"/>
    <col min="10486" max="10486" width="5.140625" style="2" customWidth="1"/>
    <col min="10487" max="10487" width="9.140625" style="2"/>
    <col min="10488" max="10488" width="4.85546875" style="2" customWidth="1"/>
    <col min="10489" max="10489" width="30.5703125" style="2" customWidth="1"/>
    <col min="10490" max="10490" width="33.85546875" style="2" customWidth="1"/>
    <col min="10491" max="10491" width="5.140625" style="2" customWidth="1"/>
    <col min="10492" max="10493" width="17.5703125" style="2" customWidth="1"/>
    <col min="10494" max="10737" width="9.140625" style="2"/>
    <col min="10738" max="10738" width="3.7109375" style="2" customWidth="1"/>
    <col min="10739" max="10739" width="96.85546875" style="2" customWidth="1"/>
    <col min="10740" max="10740" width="30.85546875" style="2" customWidth="1"/>
    <col min="10741" max="10741" width="12.5703125" style="2" customWidth="1"/>
    <col min="10742" max="10742" width="5.140625" style="2" customWidth="1"/>
    <col min="10743" max="10743" width="9.140625" style="2"/>
    <col min="10744" max="10744" width="4.85546875" style="2" customWidth="1"/>
    <col min="10745" max="10745" width="30.5703125" style="2" customWidth="1"/>
    <col min="10746" max="10746" width="33.85546875" style="2" customWidth="1"/>
    <col min="10747" max="10747" width="5.140625" style="2" customWidth="1"/>
    <col min="10748" max="10749" width="17.5703125" style="2" customWidth="1"/>
    <col min="10750" max="10993" width="9.140625" style="2"/>
    <col min="10994" max="10994" width="3.7109375" style="2" customWidth="1"/>
    <col min="10995" max="10995" width="96.85546875" style="2" customWidth="1"/>
    <col min="10996" max="10996" width="30.85546875" style="2" customWidth="1"/>
    <col min="10997" max="10997" width="12.5703125" style="2" customWidth="1"/>
    <col min="10998" max="10998" width="5.140625" style="2" customWidth="1"/>
    <col min="10999" max="10999" width="9.140625" style="2"/>
    <col min="11000" max="11000" width="4.85546875" style="2" customWidth="1"/>
    <col min="11001" max="11001" width="30.5703125" style="2" customWidth="1"/>
    <col min="11002" max="11002" width="33.85546875" style="2" customWidth="1"/>
    <col min="11003" max="11003" width="5.140625" style="2" customWidth="1"/>
    <col min="11004" max="11005" width="17.5703125" style="2" customWidth="1"/>
    <col min="11006" max="11249" width="9.140625" style="2"/>
    <col min="11250" max="11250" width="3.7109375" style="2" customWidth="1"/>
    <col min="11251" max="11251" width="96.85546875" style="2" customWidth="1"/>
    <col min="11252" max="11252" width="30.85546875" style="2" customWidth="1"/>
    <col min="11253" max="11253" width="12.5703125" style="2" customWidth="1"/>
    <col min="11254" max="11254" width="5.140625" style="2" customWidth="1"/>
    <col min="11255" max="11255" width="9.140625" style="2"/>
    <col min="11256" max="11256" width="4.85546875" style="2" customWidth="1"/>
    <col min="11257" max="11257" width="30.5703125" style="2" customWidth="1"/>
    <col min="11258" max="11258" width="33.85546875" style="2" customWidth="1"/>
    <col min="11259" max="11259" width="5.140625" style="2" customWidth="1"/>
    <col min="11260" max="11261" width="17.5703125" style="2" customWidth="1"/>
    <col min="11262" max="11505" width="9.140625" style="2"/>
    <col min="11506" max="11506" width="3.7109375" style="2" customWidth="1"/>
    <col min="11507" max="11507" width="96.85546875" style="2" customWidth="1"/>
    <col min="11508" max="11508" width="30.85546875" style="2" customWidth="1"/>
    <col min="11509" max="11509" width="12.5703125" style="2" customWidth="1"/>
    <col min="11510" max="11510" width="5.140625" style="2" customWidth="1"/>
    <col min="11511" max="11511" width="9.140625" style="2"/>
    <col min="11512" max="11512" width="4.85546875" style="2" customWidth="1"/>
    <col min="11513" max="11513" width="30.5703125" style="2" customWidth="1"/>
    <col min="11514" max="11514" width="33.85546875" style="2" customWidth="1"/>
    <col min="11515" max="11515" width="5.140625" style="2" customWidth="1"/>
    <col min="11516" max="11517" width="17.5703125" style="2" customWidth="1"/>
    <col min="11518" max="11761" width="9.140625" style="2"/>
    <col min="11762" max="11762" width="3.7109375" style="2" customWidth="1"/>
    <col min="11763" max="11763" width="96.85546875" style="2" customWidth="1"/>
    <col min="11764" max="11764" width="30.85546875" style="2" customWidth="1"/>
    <col min="11765" max="11765" width="12.5703125" style="2" customWidth="1"/>
    <col min="11766" max="11766" width="5.140625" style="2" customWidth="1"/>
    <col min="11767" max="11767" width="9.140625" style="2"/>
    <col min="11768" max="11768" width="4.85546875" style="2" customWidth="1"/>
    <col min="11769" max="11769" width="30.5703125" style="2" customWidth="1"/>
    <col min="11770" max="11770" width="33.85546875" style="2" customWidth="1"/>
    <col min="11771" max="11771" width="5.140625" style="2" customWidth="1"/>
    <col min="11772" max="11773" width="17.5703125" style="2" customWidth="1"/>
    <col min="11774" max="12017" width="9.140625" style="2"/>
    <col min="12018" max="12018" width="3.7109375" style="2" customWidth="1"/>
    <col min="12019" max="12019" width="96.85546875" style="2" customWidth="1"/>
    <col min="12020" max="12020" width="30.85546875" style="2" customWidth="1"/>
    <col min="12021" max="12021" width="12.5703125" style="2" customWidth="1"/>
    <col min="12022" max="12022" width="5.140625" style="2" customWidth="1"/>
    <col min="12023" max="12023" width="9.140625" style="2"/>
    <col min="12024" max="12024" width="4.85546875" style="2" customWidth="1"/>
    <col min="12025" max="12025" width="30.5703125" style="2" customWidth="1"/>
    <col min="12026" max="12026" width="33.85546875" style="2" customWidth="1"/>
    <col min="12027" max="12027" width="5.140625" style="2" customWidth="1"/>
    <col min="12028" max="12029" width="17.5703125" style="2" customWidth="1"/>
    <col min="12030" max="12273" width="9.140625" style="2"/>
    <col min="12274" max="12274" width="3.7109375" style="2" customWidth="1"/>
    <col min="12275" max="12275" width="96.85546875" style="2" customWidth="1"/>
    <col min="12276" max="12276" width="30.85546875" style="2" customWidth="1"/>
    <col min="12277" max="12277" width="12.5703125" style="2" customWidth="1"/>
    <col min="12278" max="12278" width="5.140625" style="2" customWidth="1"/>
    <col min="12279" max="12279" width="9.140625" style="2"/>
    <col min="12280" max="12280" width="4.85546875" style="2" customWidth="1"/>
    <col min="12281" max="12281" width="30.5703125" style="2" customWidth="1"/>
    <col min="12282" max="12282" width="33.85546875" style="2" customWidth="1"/>
    <col min="12283" max="12283" width="5.140625" style="2" customWidth="1"/>
    <col min="12284" max="12285" width="17.5703125" style="2" customWidth="1"/>
    <col min="12286" max="12529" width="9.140625" style="2"/>
    <col min="12530" max="12530" width="3.7109375" style="2" customWidth="1"/>
    <col min="12531" max="12531" width="96.85546875" style="2" customWidth="1"/>
    <col min="12532" max="12532" width="30.85546875" style="2" customWidth="1"/>
    <col min="12533" max="12533" width="12.5703125" style="2" customWidth="1"/>
    <col min="12534" max="12534" width="5.140625" style="2" customWidth="1"/>
    <col min="12535" max="12535" width="9.140625" style="2"/>
    <col min="12536" max="12536" width="4.85546875" style="2" customWidth="1"/>
    <col min="12537" max="12537" width="30.5703125" style="2" customWidth="1"/>
    <col min="12538" max="12538" width="33.85546875" style="2" customWidth="1"/>
    <col min="12539" max="12539" width="5.140625" style="2" customWidth="1"/>
    <col min="12540" max="12541" width="17.5703125" style="2" customWidth="1"/>
    <col min="12542" max="12785" width="9.140625" style="2"/>
    <col min="12786" max="12786" width="3.7109375" style="2" customWidth="1"/>
    <col min="12787" max="12787" width="96.85546875" style="2" customWidth="1"/>
    <col min="12788" max="12788" width="30.85546875" style="2" customWidth="1"/>
    <col min="12789" max="12789" width="12.5703125" style="2" customWidth="1"/>
    <col min="12790" max="12790" width="5.140625" style="2" customWidth="1"/>
    <col min="12791" max="12791" width="9.140625" style="2"/>
    <col min="12792" max="12792" width="4.85546875" style="2" customWidth="1"/>
    <col min="12793" max="12793" width="30.5703125" style="2" customWidth="1"/>
    <col min="12794" max="12794" width="33.85546875" style="2" customWidth="1"/>
    <col min="12795" max="12795" width="5.140625" style="2" customWidth="1"/>
    <col min="12796" max="12797" width="17.5703125" style="2" customWidth="1"/>
    <col min="12798" max="13041" width="9.140625" style="2"/>
    <col min="13042" max="13042" width="3.7109375" style="2" customWidth="1"/>
    <col min="13043" max="13043" width="96.85546875" style="2" customWidth="1"/>
    <col min="13044" max="13044" width="30.85546875" style="2" customWidth="1"/>
    <col min="13045" max="13045" width="12.5703125" style="2" customWidth="1"/>
    <col min="13046" max="13046" width="5.140625" style="2" customWidth="1"/>
    <col min="13047" max="13047" width="9.140625" style="2"/>
    <col min="13048" max="13048" width="4.85546875" style="2" customWidth="1"/>
    <col min="13049" max="13049" width="30.5703125" style="2" customWidth="1"/>
    <col min="13050" max="13050" width="33.85546875" style="2" customWidth="1"/>
    <col min="13051" max="13051" width="5.140625" style="2" customWidth="1"/>
    <col min="13052" max="13053" width="17.5703125" style="2" customWidth="1"/>
    <col min="13054" max="13297" width="9.140625" style="2"/>
    <col min="13298" max="13298" width="3.7109375" style="2" customWidth="1"/>
    <col min="13299" max="13299" width="96.85546875" style="2" customWidth="1"/>
    <col min="13300" max="13300" width="30.85546875" style="2" customWidth="1"/>
    <col min="13301" max="13301" width="12.5703125" style="2" customWidth="1"/>
    <col min="13302" max="13302" width="5.140625" style="2" customWidth="1"/>
    <col min="13303" max="13303" width="9.140625" style="2"/>
    <col min="13304" max="13304" width="4.85546875" style="2" customWidth="1"/>
    <col min="13305" max="13305" width="30.5703125" style="2" customWidth="1"/>
    <col min="13306" max="13306" width="33.85546875" style="2" customWidth="1"/>
    <col min="13307" max="13307" width="5.140625" style="2" customWidth="1"/>
    <col min="13308" max="13309" width="17.5703125" style="2" customWidth="1"/>
    <col min="13310" max="13553" width="9.140625" style="2"/>
    <col min="13554" max="13554" width="3.7109375" style="2" customWidth="1"/>
    <col min="13555" max="13555" width="96.85546875" style="2" customWidth="1"/>
    <col min="13556" max="13556" width="30.85546875" style="2" customWidth="1"/>
    <col min="13557" max="13557" width="12.5703125" style="2" customWidth="1"/>
    <col min="13558" max="13558" width="5.140625" style="2" customWidth="1"/>
    <col min="13559" max="13559" width="9.140625" style="2"/>
    <col min="13560" max="13560" width="4.85546875" style="2" customWidth="1"/>
    <col min="13561" max="13561" width="30.5703125" style="2" customWidth="1"/>
    <col min="13562" max="13562" width="33.85546875" style="2" customWidth="1"/>
    <col min="13563" max="13563" width="5.140625" style="2" customWidth="1"/>
    <col min="13564" max="13565" width="17.5703125" style="2" customWidth="1"/>
    <col min="13566" max="13809" width="9.140625" style="2"/>
    <col min="13810" max="13810" width="3.7109375" style="2" customWidth="1"/>
    <col min="13811" max="13811" width="96.85546875" style="2" customWidth="1"/>
    <col min="13812" max="13812" width="30.85546875" style="2" customWidth="1"/>
    <col min="13813" max="13813" width="12.5703125" style="2" customWidth="1"/>
    <col min="13814" max="13814" width="5.140625" style="2" customWidth="1"/>
    <col min="13815" max="13815" width="9.140625" style="2"/>
    <col min="13816" max="13816" width="4.85546875" style="2" customWidth="1"/>
    <col min="13817" max="13817" width="30.5703125" style="2" customWidth="1"/>
    <col min="13818" max="13818" width="33.85546875" style="2" customWidth="1"/>
    <col min="13819" max="13819" width="5.140625" style="2" customWidth="1"/>
    <col min="13820" max="13821" width="17.5703125" style="2" customWidth="1"/>
    <col min="13822" max="14065" width="9.140625" style="2"/>
    <col min="14066" max="14066" width="3.7109375" style="2" customWidth="1"/>
    <col min="14067" max="14067" width="96.85546875" style="2" customWidth="1"/>
    <col min="14068" max="14068" width="30.85546875" style="2" customWidth="1"/>
    <col min="14069" max="14069" width="12.5703125" style="2" customWidth="1"/>
    <col min="14070" max="14070" width="5.140625" style="2" customWidth="1"/>
    <col min="14071" max="14071" width="9.140625" style="2"/>
    <col min="14072" max="14072" width="4.85546875" style="2" customWidth="1"/>
    <col min="14073" max="14073" width="30.5703125" style="2" customWidth="1"/>
    <col min="14074" max="14074" width="33.85546875" style="2" customWidth="1"/>
    <col min="14075" max="14075" width="5.140625" style="2" customWidth="1"/>
    <col min="14076" max="14077" width="17.5703125" style="2" customWidth="1"/>
    <col min="14078" max="14321" width="9.140625" style="2"/>
    <col min="14322" max="14322" width="3.7109375" style="2" customWidth="1"/>
    <col min="14323" max="14323" width="96.85546875" style="2" customWidth="1"/>
    <col min="14324" max="14324" width="30.85546875" style="2" customWidth="1"/>
    <col min="14325" max="14325" width="12.5703125" style="2" customWidth="1"/>
    <col min="14326" max="14326" width="5.140625" style="2" customWidth="1"/>
    <col min="14327" max="14327" width="9.140625" style="2"/>
    <col min="14328" max="14328" width="4.85546875" style="2" customWidth="1"/>
    <col min="14329" max="14329" width="30.5703125" style="2" customWidth="1"/>
    <col min="14330" max="14330" width="33.85546875" style="2" customWidth="1"/>
    <col min="14331" max="14331" width="5.140625" style="2" customWidth="1"/>
    <col min="14332" max="14333" width="17.5703125" style="2" customWidth="1"/>
    <col min="14334" max="14577" width="9.140625" style="2"/>
    <col min="14578" max="14578" width="3.7109375" style="2" customWidth="1"/>
    <col min="14579" max="14579" width="96.85546875" style="2" customWidth="1"/>
    <col min="14580" max="14580" width="30.85546875" style="2" customWidth="1"/>
    <col min="14581" max="14581" width="12.5703125" style="2" customWidth="1"/>
    <col min="14582" max="14582" width="5.140625" style="2" customWidth="1"/>
    <col min="14583" max="14583" width="9.140625" style="2"/>
    <col min="14584" max="14584" width="4.85546875" style="2" customWidth="1"/>
    <col min="14585" max="14585" width="30.5703125" style="2" customWidth="1"/>
    <col min="14586" max="14586" width="33.85546875" style="2" customWidth="1"/>
    <col min="14587" max="14587" width="5.140625" style="2" customWidth="1"/>
    <col min="14588" max="14589" width="17.5703125" style="2" customWidth="1"/>
    <col min="14590" max="14833" width="9.140625" style="2"/>
    <col min="14834" max="14834" width="3.7109375" style="2" customWidth="1"/>
    <col min="14835" max="14835" width="96.85546875" style="2" customWidth="1"/>
    <col min="14836" max="14836" width="30.85546875" style="2" customWidth="1"/>
    <col min="14837" max="14837" width="12.5703125" style="2" customWidth="1"/>
    <col min="14838" max="14838" width="5.140625" style="2" customWidth="1"/>
    <col min="14839" max="14839" width="9.140625" style="2"/>
    <col min="14840" max="14840" width="4.85546875" style="2" customWidth="1"/>
    <col min="14841" max="14841" width="30.5703125" style="2" customWidth="1"/>
    <col min="14842" max="14842" width="33.85546875" style="2" customWidth="1"/>
    <col min="14843" max="14843" width="5.140625" style="2" customWidth="1"/>
    <col min="14844" max="14845" width="17.5703125" style="2" customWidth="1"/>
    <col min="14846" max="15089" width="9.140625" style="2"/>
    <col min="15090" max="15090" width="3.7109375" style="2" customWidth="1"/>
    <col min="15091" max="15091" width="96.85546875" style="2" customWidth="1"/>
    <col min="15092" max="15092" width="30.85546875" style="2" customWidth="1"/>
    <col min="15093" max="15093" width="12.5703125" style="2" customWidth="1"/>
    <col min="15094" max="15094" width="5.140625" style="2" customWidth="1"/>
    <col min="15095" max="15095" width="9.140625" style="2"/>
    <col min="15096" max="15096" width="4.85546875" style="2" customWidth="1"/>
    <col min="15097" max="15097" width="30.5703125" style="2" customWidth="1"/>
    <col min="15098" max="15098" width="33.85546875" style="2" customWidth="1"/>
    <col min="15099" max="15099" width="5.140625" style="2" customWidth="1"/>
    <col min="15100" max="15101" width="17.5703125" style="2" customWidth="1"/>
    <col min="15102" max="15345" width="9.140625" style="2"/>
    <col min="15346" max="15346" width="3.7109375" style="2" customWidth="1"/>
    <col min="15347" max="15347" width="96.85546875" style="2" customWidth="1"/>
    <col min="15348" max="15348" width="30.85546875" style="2" customWidth="1"/>
    <col min="15349" max="15349" width="12.5703125" style="2" customWidth="1"/>
    <col min="15350" max="15350" width="5.140625" style="2" customWidth="1"/>
    <col min="15351" max="15351" width="9.140625" style="2"/>
    <col min="15352" max="15352" width="4.85546875" style="2" customWidth="1"/>
    <col min="15353" max="15353" width="30.5703125" style="2" customWidth="1"/>
    <col min="15354" max="15354" width="33.85546875" style="2" customWidth="1"/>
    <col min="15355" max="15355" width="5.140625" style="2" customWidth="1"/>
    <col min="15356" max="15357" width="17.5703125" style="2" customWidth="1"/>
    <col min="15358" max="15601" width="9.140625" style="2"/>
    <col min="15602" max="15602" width="3.7109375" style="2" customWidth="1"/>
    <col min="15603" max="15603" width="96.85546875" style="2" customWidth="1"/>
    <col min="15604" max="15604" width="30.85546875" style="2" customWidth="1"/>
    <col min="15605" max="15605" width="12.5703125" style="2" customWidth="1"/>
    <col min="15606" max="15606" width="5.140625" style="2" customWidth="1"/>
    <col min="15607" max="15607" width="9.140625" style="2"/>
    <col min="15608" max="15608" width="4.85546875" style="2" customWidth="1"/>
    <col min="15609" max="15609" width="30.5703125" style="2" customWidth="1"/>
    <col min="15610" max="15610" width="33.85546875" style="2" customWidth="1"/>
    <col min="15611" max="15611" width="5.140625" style="2" customWidth="1"/>
    <col min="15612" max="15613" width="17.5703125" style="2" customWidth="1"/>
    <col min="15614" max="15857" width="9.140625" style="2"/>
    <col min="15858" max="15858" width="3.7109375" style="2" customWidth="1"/>
    <col min="15859" max="15859" width="96.85546875" style="2" customWidth="1"/>
    <col min="15860" max="15860" width="30.85546875" style="2" customWidth="1"/>
    <col min="15861" max="15861" width="12.5703125" style="2" customWidth="1"/>
    <col min="15862" max="15862" width="5.140625" style="2" customWidth="1"/>
    <col min="15863" max="15863" width="9.140625" style="2"/>
    <col min="15864" max="15864" width="4.85546875" style="2" customWidth="1"/>
    <col min="15865" max="15865" width="30.5703125" style="2" customWidth="1"/>
    <col min="15866" max="15866" width="33.85546875" style="2" customWidth="1"/>
    <col min="15867" max="15867" width="5.140625" style="2" customWidth="1"/>
    <col min="15868" max="15869" width="17.5703125" style="2" customWidth="1"/>
    <col min="15870" max="16113" width="9.140625" style="2"/>
    <col min="16114" max="16114" width="3.7109375" style="2" customWidth="1"/>
    <col min="16115" max="16115" width="96.85546875" style="2" customWidth="1"/>
    <col min="16116" max="16116" width="30.85546875" style="2" customWidth="1"/>
    <col min="16117" max="16117" width="12.5703125" style="2" customWidth="1"/>
    <col min="16118" max="16118" width="5.140625" style="2" customWidth="1"/>
    <col min="16119" max="16119" width="9.140625" style="2"/>
    <col min="16120" max="16120" width="4.85546875" style="2" customWidth="1"/>
    <col min="16121" max="16121" width="30.5703125" style="2" customWidth="1"/>
    <col min="16122" max="16122" width="33.85546875" style="2" customWidth="1"/>
    <col min="16123" max="16123" width="5.140625" style="2" customWidth="1"/>
    <col min="16124" max="16125" width="17.5703125" style="2" customWidth="1"/>
    <col min="16126"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[14]И1!D13</f>
        <v>Субъект Российской Федерации</v>
      </c>
      <c r="C4" s="10" t="str">
        <f>[14]И1!E13</f>
        <v>Новосибирская область</v>
      </c>
    </row>
    <row r="5" spans="1:3" ht="15.95" customHeight="1">
      <c r="A5" s="8"/>
      <c r="B5" s="9" t="str">
        <f>[14]И1!D14</f>
        <v>Тип муниципального образования (выберите из списка)</v>
      </c>
      <c r="C5" s="10" t="str">
        <f>[14]И1!E14</f>
        <v>село Кубовая, Новосибирский муниципальный район</v>
      </c>
    </row>
    <row r="6" spans="1:3">
      <c r="A6" s="8"/>
      <c r="B6" s="9" t="str">
        <f>IF([14]И1!E15="","",[14]И1!D15)</f>
        <v/>
      </c>
      <c r="C6" s="7" t="str">
        <f>IF([14]И1!E15="","",[14]И1!E15)</f>
        <v/>
      </c>
    </row>
    <row r="7" spans="1:3">
      <c r="A7" s="8"/>
      <c r="B7" s="9" t="str">
        <f>[14]И1!D16</f>
        <v>Код ОКТМО</v>
      </c>
      <c r="C7" s="11" t="str">
        <f>[14]И1!E16</f>
        <v xml:space="preserve"> 50640422101</v>
      </c>
    </row>
    <row r="8" spans="1:3">
      <c r="A8" s="8"/>
      <c r="B8" s="12" t="str">
        <f>[14]И1!D17</f>
        <v>Система теплоснабжения</v>
      </c>
      <c r="C8" s="13">
        <f>[14]И1!E17</f>
        <v>0</v>
      </c>
    </row>
    <row r="9" spans="1:3">
      <c r="A9" s="8"/>
      <c r="B9" s="9" t="str">
        <f>[14]И1!D8</f>
        <v>Период регулирования (i)-й</v>
      </c>
      <c r="C9" s="14">
        <f>[14]И1!E8</f>
        <v>2024</v>
      </c>
    </row>
    <row r="10" spans="1:3">
      <c r="A10" s="8"/>
      <c r="B10" s="9" t="str">
        <f>[14]И1!D9</f>
        <v>Период регулирования (i-1)-й</v>
      </c>
      <c r="C10" s="14">
        <f>[14]И1!E9</f>
        <v>2023</v>
      </c>
    </row>
    <row r="11" spans="1:3">
      <c r="A11" s="8"/>
      <c r="B11" s="9" t="str">
        <f>[14]И1!D10</f>
        <v>Период регулирования (i-2)-й</v>
      </c>
      <c r="C11" s="14">
        <f>[14]И1!E10</f>
        <v>2022</v>
      </c>
    </row>
    <row r="12" spans="1:3">
      <c r="A12" s="8"/>
      <c r="B12" s="9" t="str">
        <f>[14]И1!D11</f>
        <v>Базовый год (б)</v>
      </c>
      <c r="C12" s="14">
        <f>[14]И1!E11</f>
        <v>2019</v>
      </c>
    </row>
    <row r="13" spans="1:3">
      <c r="A13" s="8"/>
      <c r="B13" s="9" t="str">
        <f>[14]И1!D18</f>
        <v>Вид топлива, использование которого преобладает в системе теплоснабжения</v>
      </c>
      <c r="C13" s="15" t="str">
        <f>[14]И1!E18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2965.5973387596541</v>
      </c>
    </row>
    <row r="18" spans="1:3" ht="42.75">
      <c r="A18" s="22" t="s">
        <v>8</v>
      </c>
      <c r="B18" s="25" t="s">
        <v>9</v>
      </c>
      <c r="C18" s="26">
        <f>[14]С1!F12</f>
        <v>994.35037159416254</v>
      </c>
    </row>
    <row r="19" spans="1:3" ht="42.75">
      <c r="A19" s="22" t="s">
        <v>10</v>
      </c>
      <c r="B19" s="25" t="s">
        <v>11</v>
      </c>
      <c r="C19" s="26">
        <f>[14]С2!F12</f>
        <v>1337.1646821037446</v>
      </c>
    </row>
    <row r="20" spans="1:3" ht="30">
      <c r="A20" s="22" t="s">
        <v>12</v>
      </c>
      <c r="B20" s="25" t="s">
        <v>13</v>
      </c>
      <c r="C20" s="26">
        <f>[14]С3!F12</f>
        <v>317.6025648848447</v>
      </c>
    </row>
    <row r="21" spans="1:3" ht="42.75">
      <c r="A21" s="22" t="s">
        <v>14</v>
      </c>
      <c r="B21" s="25" t="s">
        <v>228</v>
      </c>
      <c r="C21" s="26">
        <f>[14]С4!F12</f>
        <v>258.33075275024254</v>
      </c>
    </row>
    <row r="22" spans="1:3" ht="33" customHeight="1">
      <c r="A22" s="22" t="s">
        <v>16</v>
      </c>
      <c r="B22" s="25" t="s">
        <v>229</v>
      </c>
      <c r="C22" s="26">
        <f>[14]С5!F12</f>
        <v>58.148967426659887</v>
      </c>
    </row>
    <row r="23" spans="1:3" ht="45.75" customHeight="1" thickBot="1">
      <c r="A23" s="27" t="s">
        <v>18</v>
      </c>
      <c r="B23" s="141" t="s">
        <v>230</v>
      </c>
      <c r="C23" s="28">
        <f>[14]С6!F12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[14]С1.1!E16</f>
        <v>7900</v>
      </c>
    </row>
    <row r="29" spans="1:3" ht="42.75">
      <c r="A29" s="22" t="s">
        <v>10</v>
      </c>
      <c r="B29" s="33" t="s">
        <v>232</v>
      </c>
      <c r="C29" s="34">
        <f>[14]С1.1!E32</f>
        <v>5751.37</v>
      </c>
    </row>
    <row r="30" spans="1:3" ht="38.25">
      <c r="A30" s="22" t="s">
        <v>233</v>
      </c>
      <c r="B30" s="33" t="s">
        <v>234</v>
      </c>
      <c r="C30" s="85" t="str">
        <f>[14]С1.1!E25</f>
        <v>ООО "Газпром газораспределение Томск"</v>
      </c>
    </row>
    <row r="31" spans="1:3" ht="38.25">
      <c r="A31" s="22" t="s">
        <v>235</v>
      </c>
      <c r="B31" s="33" t="str">
        <f>[14]С1.1!D26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[14]С1.1!E26</f>
        <v>4699.5</v>
      </c>
    </row>
    <row r="32" spans="1:3" ht="25.5">
      <c r="A32" s="22" t="s">
        <v>236</v>
      </c>
      <c r="B32" s="33" t="str">
        <f>[14]С1.1!D27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[14]С1.1!E27</f>
        <v>795.43</v>
      </c>
    </row>
    <row r="33" spans="1:3" ht="25.5">
      <c r="A33" s="22" t="s">
        <v>237</v>
      </c>
      <c r="B33" s="33" t="str">
        <f>[14]С1.1!D28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[14]С1.1!E28</f>
        <v>136.54</v>
      </c>
    </row>
    <row r="34" spans="1:3" ht="38.25">
      <c r="A34" s="22" t="s">
        <v>238</v>
      </c>
      <c r="B34" s="33" t="str">
        <f>[14]С1.1!D29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[14]С1.1!E29</f>
        <v>119.9</v>
      </c>
    </row>
    <row r="35" spans="1:3" ht="17.25">
      <c r="A35" s="22" t="s">
        <v>12</v>
      </c>
      <c r="B35" s="33" t="s">
        <v>23</v>
      </c>
      <c r="C35" s="35">
        <f>[14]С1.1!E20</f>
        <v>8.5000000000000006E-2</v>
      </c>
    </row>
    <row r="36" spans="1:3" ht="17.25">
      <c r="A36" s="22" t="s">
        <v>14</v>
      </c>
      <c r="B36" s="33" t="s">
        <v>24</v>
      </c>
      <c r="C36" s="35">
        <f>[14]С1.1!E21</f>
        <v>0.112</v>
      </c>
    </row>
    <row r="37" spans="1:3" ht="30">
      <c r="A37" s="22" t="s">
        <v>16</v>
      </c>
      <c r="B37" s="36" t="s">
        <v>239</v>
      </c>
      <c r="C37" s="121">
        <f>[14]С1!F13</f>
        <v>156.1</v>
      </c>
    </row>
    <row r="38" spans="1:3">
      <c r="A38" s="22" t="s">
        <v>18</v>
      </c>
      <c r="B38" s="36" t="s">
        <v>26</v>
      </c>
      <c r="C38" s="38">
        <f>[14]С1!F16</f>
        <v>7000</v>
      </c>
    </row>
    <row r="39" spans="1:3" ht="14.25">
      <c r="A39" s="122" t="s">
        <v>27</v>
      </c>
      <c r="B39" s="39" t="s">
        <v>240</v>
      </c>
      <c r="C39" s="40">
        <f>[14]С1!F17</f>
        <v>1.1285714285714286</v>
      </c>
    </row>
    <row r="40" spans="1:3" ht="15.75">
      <c r="A40" s="123" t="s">
        <v>29</v>
      </c>
      <c r="B40" s="42" t="s">
        <v>30</v>
      </c>
      <c r="C40" s="40">
        <f>[14]С1!F20</f>
        <v>22.307053372799995</v>
      </c>
    </row>
    <row r="41" spans="1:3" ht="15.75">
      <c r="A41" s="123" t="s">
        <v>31</v>
      </c>
      <c r="B41" s="43" t="s">
        <v>32</v>
      </c>
      <c r="C41" s="40">
        <f>[14]С1!F21</f>
        <v>21.531904799999996</v>
      </c>
    </row>
    <row r="42" spans="1:3" ht="14.25">
      <c r="A42" s="123" t="s">
        <v>33</v>
      </c>
      <c r="B42" s="44" t="s">
        <v>34</v>
      </c>
      <c r="C42" s="40">
        <f>[14]С1!F22</f>
        <v>1.036</v>
      </c>
    </row>
    <row r="43" spans="1:3" ht="53.25" thickBot="1">
      <c r="A43" s="27" t="s">
        <v>35</v>
      </c>
      <c r="B43" s="45" t="s">
        <v>36</v>
      </c>
      <c r="C43" s="46" t="str">
        <f>[14]С1!F23</f>
        <v>-</v>
      </c>
    </row>
    <row r="44" spans="1:3" ht="13.5" thickBot="1">
      <c r="A44" s="47"/>
      <c r="B44" s="75"/>
      <c r="C44" s="15"/>
    </row>
    <row r="45" spans="1:3" ht="30" customHeight="1">
      <c r="A45" s="50" t="s">
        <v>37</v>
      </c>
      <c r="B45" s="145" t="s">
        <v>38</v>
      </c>
      <c r="C45" s="145"/>
    </row>
    <row r="46" spans="1:3" ht="25.5">
      <c r="A46" s="22" t="s">
        <v>39</v>
      </c>
      <c r="B46" s="36" t="s">
        <v>40</v>
      </c>
      <c r="C46" s="51" t="str">
        <f>[14]С2.1!E12</f>
        <v>V</v>
      </c>
    </row>
    <row r="47" spans="1:3" ht="25.5">
      <c r="A47" s="22" t="s">
        <v>41</v>
      </c>
      <c r="B47" s="33" t="s">
        <v>42</v>
      </c>
      <c r="C47" s="51" t="str">
        <f>[14]С2.1!E13</f>
        <v>6 и менее баллов</v>
      </c>
    </row>
    <row r="48" spans="1:3" ht="25.5">
      <c r="A48" s="22" t="s">
        <v>43</v>
      </c>
      <c r="B48" s="33" t="s">
        <v>241</v>
      </c>
      <c r="C48" s="51" t="str">
        <f>[14]С2.1!E14</f>
        <v>от 200 до 500</v>
      </c>
    </row>
    <row r="49" spans="1:3" ht="25.5">
      <c r="A49" s="22" t="s">
        <v>45</v>
      </c>
      <c r="B49" s="33" t="s">
        <v>242</v>
      </c>
      <c r="C49" s="52" t="str">
        <f>[14]С2.1!E15</f>
        <v>нет</v>
      </c>
    </row>
    <row r="50" spans="1:3" ht="30">
      <c r="A50" s="22" t="s">
        <v>47</v>
      </c>
      <c r="B50" s="33" t="s">
        <v>48</v>
      </c>
      <c r="C50" s="34">
        <f>[14]С2!F18</f>
        <v>35106.652004551666</v>
      </c>
    </row>
    <row r="51" spans="1:3" ht="30">
      <c r="A51" s="22" t="s">
        <v>49</v>
      </c>
      <c r="B51" s="53" t="s">
        <v>50</v>
      </c>
      <c r="C51" s="34">
        <f>IF([14]С2!F19&gt;0,[14]С2!F19,[14]С2!F20)</f>
        <v>23441.524932855718</v>
      </c>
    </row>
    <row r="52" spans="1:3" ht="25.5">
      <c r="A52" s="22" t="s">
        <v>51</v>
      </c>
      <c r="B52" s="54" t="s">
        <v>52</v>
      </c>
      <c r="C52" s="34">
        <f>[14]С2.1!E20</f>
        <v>-37</v>
      </c>
    </row>
    <row r="53" spans="1:3" ht="25.5">
      <c r="A53" s="22" t="s">
        <v>53</v>
      </c>
      <c r="B53" s="54" t="s">
        <v>54</v>
      </c>
      <c r="C53" s="34" t="str">
        <f>[14]С2.1!E23</f>
        <v>нет</v>
      </c>
    </row>
    <row r="54" spans="1:3" ht="38.25">
      <c r="A54" s="22" t="s">
        <v>55</v>
      </c>
      <c r="B54" s="55" t="s">
        <v>56</v>
      </c>
      <c r="C54" s="34">
        <f>[14]С2.2!E10</f>
        <v>1287</v>
      </c>
    </row>
    <row r="55" spans="1:3" ht="25.5">
      <c r="A55" s="22" t="s">
        <v>57</v>
      </c>
      <c r="B55" s="56" t="s">
        <v>58</v>
      </c>
      <c r="C55" s="34">
        <f>[14]С2.2!E12</f>
        <v>5.97</v>
      </c>
    </row>
    <row r="56" spans="1:3" ht="52.5">
      <c r="A56" s="22" t="s">
        <v>59</v>
      </c>
      <c r="B56" s="57" t="s">
        <v>60</v>
      </c>
      <c r="C56" s="34">
        <f>[14]С2.2!E13</f>
        <v>1</v>
      </c>
    </row>
    <row r="57" spans="1:3" ht="27.75">
      <c r="A57" s="22" t="s">
        <v>61</v>
      </c>
      <c r="B57" s="56" t="s">
        <v>62</v>
      </c>
      <c r="C57" s="34">
        <f>[14]С2.2!E14</f>
        <v>12104</v>
      </c>
    </row>
    <row r="58" spans="1:3" ht="25.5">
      <c r="A58" s="22" t="s">
        <v>63</v>
      </c>
      <c r="B58" s="57" t="s">
        <v>64</v>
      </c>
      <c r="C58" s="35">
        <f>[14]С2.2!E15</f>
        <v>4.8000000000000001E-2</v>
      </c>
    </row>
    <row r="59" spans="1:3">
      <c r="A59" s="22" t="s">
        <v>65</v>
      </c>
      <c r="B59" s="57" t="s">
        <v>66</v>
      </c>
      <c r="C59" s="124">
        <f>[14]С2.2!E16</f>
        <v>1</v>
      </c>
    </row>
    <row r="60" spans="1:3" ht="15.75">
      <c r="A60" s="22" t="s">
        <v>67</v>
      </c>
      <c r="B60" s="58" t="s">
        <v>68</v>
      </c>
      <c r="C60" s="34">
        <f>[14]С2!F21</f>
        <v>1</v>
      </c>
    </row>
    <row r="61" spans="1:3" ht="30">
      <c r="A61" s="59" t="s">
        <v>69</v>
      </c>
      <c r="B61" s="33" t="s">
        <v>243</v>
      </c>
      <c r="C61" s="34">
        <f>[14]С2!F13</f>
        <v>105136.23090983224</v>
      </c>
    </row>
    <row r="62" spans="1:3" ht="30">
      <c r="A62" s="59" t="s">
        <v>71</v>
      </c>
      <c r="B62" s="60" t="s">
        <v>244</v>
      </c>
      <c r="C62" s="34">
        <f>[14]С2!F14</f>
        <v>64899</v>
      </c>
    </row>
    <row r="63" spans="1:3" ht="15.75">
      <c r="A63" s="59" t="s">
        <v>73</v>
      </c>
      <c r="B63" s="60" t="s">
        <v>74</v>
      </c>
      <c r="C63" s="40">
        <f>[14]С2!F15</f>
        <v>1.071</v>
      </c>
    </row>
    <row r="64" spans="1:3" ht="15.75">
      <c r="A64" s="59" t="s">
        <v>75</v>
      </c>
      <c r="B64" s="60" t="s">
        <v>76</v>
      </c>
      <c r="C64" s="125">
        <f>[14]С2!F16</f>
        <v>1</v>
      </c>
    </row>
    <row r="65" spans="1:3" ht="17.25">
      <c r="A65" s="59" t="s">
        <v>77</v>
      </c>
      <c r="B65" s="60" t="s">
        <v>78</v>
      </c>
      <c r="C65" s="126">
        <f>[14]С2!F17</f>
        <v>1.01</v>
      </c>
    </row>
    <row r="66" spans="1:3" s="63" customFormat="1" ht="14.25">
      <c r="A66" s="59" t="s">
        <v>79</v>
      </c>
      <c r="B66" s="61" t="s">
        <v>80</v>
      </c>
      <c r="C66" s="62">
        <f>[14]С2!F35</f>
        <v>10</v>
      </c>
    </row>
    <row r="67" spans="1:3" ht="30">
      <c r="A67" s="59" t="s">
        <v>81</v>
      </c>
      <c r="B67" s="64" t="s">
        <v>82</v>
      </c>
      <c r="C67" s="34">
        <f>[14]С2!F28</f>
        <v>141.64867100230373</v>
      </c>
    </row>
    <row r="68" spans="1:3" ht="17.25">
      <c r="A68" s="59" t="s">
        <v>83</v>
      </c>
      <c r="B68" s="53" t="s">
        <v>245</v>
      </c>
      <c r="C68" s="40">
        <f>[14]С2!F29</f>
        <v>0.18916419899999998</v>
      </c>
    </row>
    <row r="69" spans="1:3" ht="17.25">
      <c r="A69" s="59" t="s">
        <v>85</v>
      </c>
      <c r="B69" s="58" t="s">
        <v>246</v>
      </c>
      <c r="C69" s="62">
        <f>[14]С2!F30</f>
        <v>500</v>
      </c>
    </row>
    <row r="70" spans="1:3" ht="42.75">
      <c r="A70" s="59" t="s">
        <v>87</v>
      </c>
      <c r="B70" s="33" t="s">
        <v>247</v>
      </c>
      <c r="C70" s="34">
        <f>[14]С2!F22</f>
        <v>39638.324046481182</v>
      </c>
    </row>
    <row r="71" spans="1:3" ht="30">
      <c r="A71" s="59" t="s">
        <v>89</v>
      </c>
      <c r="B71" s="60" t="s">
        <v>248</v>
      </c>
      <c r="C71" s="34">
        <f>[14]С2!F23</f>
        <v>21</v>
      </c>
    </row>
    <row r="72" spans="1:3" ht="30">
      <c r="A72" s="59" t="s">
        <v>91</v>
      </c>
      <c r="B72" s="53" t="s">
        <v>92</v>
      </c>
      <c r="C72" s="34">
        <f>[14]С2.1!E28</f>
        <v>14036.09995</v>
      </c>
    </row>
    <row r="73" spans="1:3" ht="38.25">
      <c r="A73" s="59" t="s">
        <v>93</v>
      </c>
      <c r="B73" s="65" t="s">
        <v>94</v>
      </c>
      <c r="C73" s="52">
        <f>[14]С2.3!E21</f>
        <v>0</v>
      </c>
    </row>
    <row r="74" spans="1:3" ht="25.5">
      <c r="A74" s="59" t="s">
        <v>95</v>
      </c>
      <c r="B74" s="66" t="s">
        <v>96</v>
      </c>
      <c r="C74" s="67">
        <f>[14]С2.3!E11</f>
        <v>5.45</v>
      </c>
    </row>
    <row r="75" spans="1:3" ht="25.5">
      <c r="A75" s="59" t="s">
        <v>97</v>
      </c>
      <c r="B75" s="66" t="s">
        <v>98</v>
      </c>
      <c r="C75" s="62">
        <f>[14]С2.3!E13</f>
        <v>300</v>
      </c>
    </row>
    <row r="76" spans="1:3" ht="25.5">
      <c r="A76" s="59" t="s">
        <v>99</v>
      </c>
      <c r="B76" s="65" t="s">
        <v>100</v>
      </c>
      <c r="C76" s="68">
        <f>IF([14]С2.3!E22&gt;0,[14]С2.3!E22,[14]С2.3!E14)</f>
        <v>61211</v>
      </c>
    </row>
    <row r="77" spans="1:3" ht="38.25">
      <c r="A77" s="59" t="s">
        <v>101</v>
      </c>
      <c r="B77" s="65" t="s">
        <v>102</v>
      </c>
      <c r="C77" s="68">
        <f>IF([14]С2.3!E23&gt;0,[14]С2.3!E23,[14]С2.3!E15)</f>
        <v>45675</v>
      </c>
    </row>
    <row r="78" spans="1:3" ht="30">
      <c r="A78" s="59" t="s">
        <v>103</v>
      </c>
      <c r="B78" s="53" t="s">
        <v>104</v>
      </c>
      <c r="C78" s="34">
        <f>[14]С2.1!E29</f>
        <v>9518.3274000000001</v>
      </c>
    </row>
    <row r="79" spans="1:3" ht="38.25">
      <c r="A79" s="59" t="s">
        <v>105</v>
      </c>
      <c r="B79" s="65" t="s">
        <v>106</v>
      </c>
      <c r="C79" s="52">
        <f>[14]С2.3!E25</f>
        <v>0</v>
      </c>
    </row>
    <row r="80" spans="1:3" ht="25.5">
      <c r="A80" s="59" t="s">
        <v>107</v>
      </c>
      <c r="B80" s="66" t="s">
        <v>108</v>
      </c>
      <c r="C80" s="67">
        <f>[14]С2.3!E12</f>
        <v>0.2</v>
      </c>
    </row>
    <row r="81" spans="1:3" ht="25.5">
      <c r="A81" s="59" t="s">
        <v>109</v>
      </c>
      <c r="B81" s="66" t="s">
        <v>98</v>
      </c>
      <c r="C81" s="62">
        <f>[14]С2.3!E13</f>
        <v>300</v>
      </c>
    </row>
    <row r="82" spans="1:3" ht="25.5">
      <c r="A82" s="59" t="s">
        <v>110</v>
      </c>
      <c r="B82" s="69" t="s">
        <v>111</v>
      </c>
      <c r="C82" s="68">
        <f>IF([14]С2.3!E26&gt;0,[14]С2.3!E26,[14]С2.3!E16)</f>
        <v>65637</v>
      </c>
    </row>
    <row r="83" spans="1:3" ht="38.25">
      <c r="A83" s="59" t="s">
        <v>112</v>
      </c>
      <c r="B83" s="69" t="s">
        <v>113</v>
      </c>
      <c r="C83" s="68">
        <f>IF([14]С2.3!E27&gt;0,[14]С2.3!E27,[14]С2.3!E17)</f>
        <v>31684</v>
      </c>
    </row>
    <row r="84" spans="1:3" ht="30">
      <c r="A84" s="59" t="s">
        <v>249</v>
      </c>
      <c r="B84" s="60" t="s">
        <v>250</v>
      </c>
      <c r="C84" s="68">
        <f>IF([14]С2.1!E19&gt;0,[14]С2.1!E19,[14]С2!F26)</f>
        <v>2892</v>
      </c>
    </row>
    <row r="85" spans="1:3" ht="17.25">
      <c r="A85" s="59" t="s">
        <v>114</v>
      </c>
      <c r="B85" s="33" t="s">
        <v>115</v>
      </c>
      <c r="C85" s="35">
        <f>[14]С2!F31</f>
        <v>9.5962865259740182E-2</v>
      </c>
    </row>
    <row r="86" spans="1:3" ht="30">
      <c r="A86" s="59" t="s">
        <v>116</v>
      </c>
      <c r="B86" s="53" t="s">
        <v>117</v>
      </c>
      <c r="C86" s="70">
        <f>[14]С2!F32</f>
        <v>8.4029304029304031E-2</v>
      </c>
    </row>
    <row r="87" spans="1:3" ht="17.25">
      <c r="A87" s="59" t="s">
        <v>118</v>
      </c>
      <c r="B87" s="71" t="s">
        <v>119</v>
      </c>
      <c r="C87" s="35">
        <f>[14]С2!F33</f>
        <v>0.13880000000000001</v>
      </c>
    </row>
    <row r="88" spans="1:3" s="63" customFormat="1" ht="18" thickBot="1">
      <c r="A88" s="72" t="s">
        <v>120</v>
      </c>
      <c r="B88" s="73" t="s">
        <v>121</v>
      </c>
      <c r="C88" s="74">
        <f>[14]С2!F34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[14]С3!F14</f>
        <v>4199.9055432306041</v>
      </c>
    </row>
    <row r="92" spans="1:3" s="63" customFormat="1" ht="42.75">
      <c r="A92" s="77" t="s">
        <v>126</v>
      </c>
      <c r="B92" s="53" t="s">
        <v>127</v>
      </c>
      <c r="C92" s="78">
        <f>[14]С3!F15</f>
        <v>0.2</v>
      </c>
    </row>
    <row r="93" spans="1:3" s="63" customFormat="1" ht="14.25">
      <c r="A93" s="77" t="s">
        <v>128</v>
      </c>
      <c r="B93" s="79" t="s">
        <v>129</v>
      </c>
      <c r="C93" s="62">
        <f>[14]С3!F18</f>
        <v>15</v>
      </c>
    </row>
    <row r="94" spans="1:3" s="63" customFormat="1" ht="17.25">
      <c r="A94" s="77" t="s">
        <v>130</v>
      </c>
      <c r="B94" s="33" t="s">
        <v>131</v>
      </c>
      <c r="C94" s="34">
        <f>[14]С3!F19</f>
        <v>2638.2577020926874</v>
      </c>
    </row>
    <row r="95" spans="1:3" s="63" customFormat="1" ht="55.5">
      <c r="A95" s="77" t="s">
        <v>132</v>
      </c>
      <c r="B95" s="53" t="s">
        <v>133</v>
      </c>
      <c r="C95" s="80">
        <f>[14]С3!F20</f>
        <v>2.1999999999999999E-2</v>
      </c>
    </row>
    <row r="96" spans="1:3" s="63" customFormat="1" ht="14.25">
      <c r="A96" s="77" t="s">
        <v>134</v>
      </c>
      <c r="B96" s="58" t="s">
        <v>80</v>
      </c>
      <c r="C96" s="62">
        <f>[14]С3!F21</f>
        <v>10</v>
      </c>
    </row>
    <row r="97" spans="1:3" s="63" customFormat="1" ht="17.25">
      <c r="A97" s="77" t="s">
        <v>135</v>
      </c>
      <c r="B97" s="33" t="s">
        <v>136</v>
      </c>
      <c r="C97" s="34">
        <f>[14]С3!F22</f>
        <v>0.42494601300691121</v>
      </c>
    </row>
    <row r="98" spans="1:3" s="63" customFormat="1" ht="55.5">
      <c r="A98" s="77" t="s">
        <v>137</v>
      </c>
      <c r="B98" s="53" t="s">
        <v>138</v>
      </c>
      <c r="C98" s="80">
        <f>[14]С3!F23</f>
        <v>3.0000000000000001E-3</v>
      </c>
    </row>
    <row r="99" spans="1:3" s="63" customFormat="1" ht="30.75" thickBot="1">
      <c r="A99" s="81" t="s">
        <v>139</v>
      </c>
      <c r="B99" s="82" t="s">
        <v>82</v>
      </c>
      <c r="C99" s="83">
        <f>[14]С3!F24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[14]С4!F16</f>
        <v>832.33500000000004</v>
      </c>
    </row>
    <row r="103" spans="1:3" ht="30">
      <c r="A103" s="59" t="s">
        <v>145</v>
      </c>
      <c r="B103" s="58" t="s">
        <v>252</v>
      </c>
      <c r="C103" s="34">
        <f>[14]С4!F17</f>
        <v>43385</v>
      </c>
    </row>
    <row r="104" spans="1:3" ht="17.25">
      <c r="A104" s="59" t="s">
        <v>147</v>
      </c>
      <c r="B104" s="58" t="s">
        <v>148</v>
      </c>
      <c r="C104" s="40">
        <f>[14]С4!F18</f>
        <v>1.4999999999999999E-2</v>
      </c>
    </row>
    <row r="105" spans="1:3" ht="30">
      <c r="A105" s="59" t="s">
        <v>149</v>
      </c>
      <c r="B105" s="58" t="s">
        <v>150</v>
      </c>
      <c r="C105" s="34">
        <f>[14]С4!F19</f>
        <v>12104</v>
      </c>
    </row>
    <row r="106" spans="1:3" ht="31.5">
      <c r="A106" s="59" t="s">
        <v>151</v>
      </c>
      <c r="B106" s="58" t="s">
        <v>152</v>
      </c>
      <c r="C106" s="40">
        <f>[14]С4!F20</f>
        <v>1.4999999999999999E-2</v>
      </c>
    </row>
    <row r="107" spans="1:3" ht="30">
      <c r="A107" s="59" t="s">
        <v>153</v>
      </c>
      <c r="B107" s="33" t="s">
        <v>253</v>
      </c>
      <c r="C107" s="34">
        <f>[14]С4!F21</f>
        <v>1221.9019409821399</v>
      </c>
    </row>
    <row r="108" spans="1:3" ht="45.6" customHeight="1">
      <c r="A108" s="59" t="s">
        <v>155</v>
      </c>
      <c r="B108" s="53" t="s">
        <v>156</v>
      </c>
      <c r="C108" s="85" t="str">
        <f>IF([14]С4.2!F8="да",[14]С4.2!D21,[14]С4.2!D15)</f>
        <v>АО "Новосибирскэнергосбыт"</v>
      </c>
    </row>
    <row r="109" spans="1:3" ht="68.25" customHeight="1">
      <c r="A109" s="59" t="s">
        <v>157</v>
      </c>
      <c r="B109" s="53" t="s">
        <v>158</v>
      </c>
      <c r="C109" s="34">
        <f>[14]С4!F22</f>
        <v>3.6112641666666665</v>
      </c>
    </row>
    <row r="110" spans="1:3" ht="30">
      <c r="A110" s="59" t="s">
        <v>159</v>
      </c>
      <c r="B110" s="58" t="s">
        <v>254</v>
      </c>
      <c r="C110" s="62">
        <f>[14]С4!F23</f>
        <v>110</v>
      </c>
    </row>
    <row r="111" spans="1:3" ht="14.25">
      <c r="A111" s="59" t="s">
        <v>161</v>
      </c>
      <c r="B111" s="53" t="s">
        <v>162</v>
      </c>
      <c r="C111" s="34">
        <f>[14]С4!F24</f>
        <v>8497.1999999999989</v>
      </c>
    </row>
    <row r="112" spans="1:3" ht="14.25">
      <c r="A112" s="59" t="s">
        <v>163</v>
      </c>
      <c r="B112" s="58" t="s">
        <v>164</v>
      </c>
      <c r="C112" s="40">
        <f>[14]С4!F25</f>
        <v>0.36199999999999999</v>
      </c>
    </row>
    <row r="113" spans="1:3" ht="17.25">
      <c r="A113" s="59" t="s">
        <v>165</v>
      </c>
      <c r="B113" s="33" t="s">
        <v>166</v>
      </c>
      <c r="C113" s="34">
        <f>[14]С4!F26</f>
        <v>27.009679999999999</v>
      </c>
    </row>
    <row r="114" spans="1:3" ht="25.5">
      <c r="A114" s="59" t="s">
        <v>167</v>
      </c>
      <c r="B114" s="53" t="s">
        <v>94</v>
      </c>
      <c r="C114" s="85">
        <f>[14]С4.3!E16</f>
        <v>0</v>
      </c>
    </row>
    <row r="115" spans="1:3" ht="25.5">
      <c r="A115" s="59" t="s">
        <v>168</v>
      </c>
      <c r="B115" s="53" t="s">
        <v>169</v>
      </c>
      <c r="C115" s="34">
        <f>[14]С4.3!E17</f>
        <v>13.56</v>
      </c>
    </row>
    <row r="116" spans="1:3" ht="38.25">
      <c r="A116" s="59" t="s">
        <v>170</v>
      </c>
      <c r="B116" s="53" t="s">
        <v>106</v>
      </c>
      <c r="C116" s="85">
        <f>[14]С4.3!E18</f>
        <v>0</v>
      </c>
    </row>
    <row r="117" spans="1:3">
      <c r="A117" s="59" t="s">
        <v>171</v>
      </c>
      <c r="B117" s="53" t="s">
        <v>172</v>
      </c>
      <c r="C117" s="34">
        <f>[14]С4.3!E19</f>
        <v>11.12</v>
      </c>
    </row>
    <row r="118" spans="1:3">
      <c r="A118" s="59" t="s">
        <v>173</v>
      </c>
      <c r="B118" s="58" t="s">
        <v>174</v>
      </c>
      <c r="C118" s="62">
        <f>[14]С4.3!E11</f>
        <v>1871</v>
      </c>
    </row>
    <row r="119" spans="1:3">
      <c r="A119" s="59" t="s">
        <v>175</v>
      </c>
      <c r="B119" s="58" t="s">
        <v>176</v>
      </c>
      <c r="C119" s="52">
        <f>[14]С4.3!E12</f>
        <v>61</v>
      </c>
    </row>
    <row r="120" spans="1:3">
      <c r="A120" s="59" t="s">
        <v>177</v>
      </c>
      <c r="B120" s="58" t="s">
        <v>178</v>
      </c>
      <c r="C120" s="52">
        <f>[14]С4.3!E13</f>
        <v>73</v>
      </c>
    </row>
    <row r="121" spans="1:3" ht="30">
      <c r="A121" s="59" t="s">
        <v>179</v>
      </c>
      <c r="B121" s="33" t="s">
        <v>255</v>
      </c>
      <c r="C121" s="34">
        <f>[14]С4!F27</f>
        <v>1296.7467102743137</v>
      </c>
    </row>
    <row r="122" spans="1:3" ht="25.5">
      <c r="A122" s="59" t="s">
        <v>181</v>
      </c>
      <c r="B122" s="53" t="s">
        <v>256</v>
      </c>
      <c r="C122" s="34">
        <f>[14]С4!F28</f>
        <v>995.96521526444985</v>
      </c>
    </row>
    <row r="123" spans="1:3" ht="42.75">
      <c r="A123" s="59" t="s">
        <v>183</v>
      </c>
      <c r="B123" s="53" t="s">
        <v>184</v>
      </c>
      <c r="C123" s="34">
        <f>[14]С4!F29</f>
        <v>300.78149500986387</v>
      </c>
    </row>
    <row r="124" spans="1:3" ht="30.75" thickBot="1">
      <c r="A124" s="72" t="s">
        <v>185</v>
      </c>
      <c r="B124" s="90" t="s">
        <v>186</v>
      </c>
      <c r="C124" s="83">
        <f>[14]С4!F30</f>
        <v>503.38040378579285</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[14]С5!F17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IF([14]С6.1!E11="нет",[14]С6!F13,"")</f>
        <v/>
      </c>
    </row>
    <row r="131" spans="1:3" ht="42.75">
      <c r="A131" s="59" t="s">
        <v>204</v>
      </c>
      <c r="B131" s="86" t="s">
        <v>205</v>
      </c>
      <c r="C131" s="92" t="str">
        <f>IF([14]С6.1!E12="нет",[14]С6.1!E17,"")</f>
        <v/>
      </c>
    </row>
    <row r="132" spans="1:3" ht="68.25">
      <c r="A132" s="59" t="s">
        <v>206</v>
      </c>
      <c r="B132" s="91" t="s">
        <v>207</v>
      </c>
      <c r="C132" s="127" t="str">
        <f>IF([14]С6.1!E18="нет",[14]С6!F19,"")</f>
        <v/>
      </c>
    </row>
    <row r="133" spans="1:3" ht="55.5">
      <c r="A133" s="59" t="s">
        <v>208</v>
      </c>
      <c r="B133" s="86" t="s">
        <v>209</v>
      </c>
      <c r="C133" s="35" t="str">
        <f>IF([14]С6.1!E18="нет",[14]С6.1!E19,"")</f>
        <v/>
      </c>
    </row>
    <row r="134" spans="1:3" ht="61.5" customHeight="1">
      <c r="A134" s="59" t="s">
        <v>210</v>
      </c>
      <c r="B134" s="86" t="s">
        <v>257</v>
      </c>
      <c r="C134" s="35" t="str">
        <f>IF([14]С6.1!E18="нет",[14]С6.1!E22,"")</f>
        <v/>
      </c>
    </row>
    <row r="135" spans="1:3" ht="69" thickBot="1">
      <c r="A135" s="72" t="s">
        <v>212</v>
      </c>
      <c r="B135" s="98" t="s">
        <v>213</v>
      </c>
      <c r="C135" s="74" t="str">
        <f>IF([14]С6.1!E18="нет",[14]С6.1!E23,"")</f>
        <v/>
      </c>
    </row>
    <row r="136" spans="1:3" s="89" customFormat="1" ht="13.5" thickBot="1">
      <c r="A136" s="47"/>
      <c r="B136" s="75"/>
      <c r="C136" s="15"/>
    </row>
    <row r="137" spans="1:3" ht="15.75">
      <c r="A137" s="84" t="s">
        <v>214</v>
      </c>
      <c r="B137" s="99" t="s">
        <v>215</v>
      </c>
      <c r="C137" s="100">
        <f>[14]С2!F39</f>
        <v>21.531904799999996</v>
      </c>
    </row>
    <row r="138" spans="1:3" ht="14.25">
      <c r="A138" s="59" t="s">
        <v>216</v>
      </c>
      <c r="B138" s="58" t="s">
        <v>217</v>
      </c>
      <c r="C138" s="34">
        <f>[14]С2!F40</f>
        <v>7</v>
      </c>
    </row>
    <row r="139" spans="1:3" ht="17.25">
      <c r="A139" s="59" t="s">
        <v>218</v>
      </c>
      <c r="B139" s="58" t="s">
        <v>219</v>
      </c>
      <c r="C139" s="34">
        <f>[14]С2!F42</f>
        <v>0.97</v>
      </c>
    </row>
    <row r="140" spans="1:3" ht="15" thickBot="1">
      <c r="A140" s="72" t="s">
        <v>220</v>
      </c>
      <c r="B140" s="73" t="s">
        <v>221</v>
      </c>
      <c r="C140" s="46">
        <f>[14]С2!F44</f>
        <v>0.36199999999999999</v>
      </c>
    </row>
    <row r="141" spans="1:3" s="89" customFormat="1" ht="13.5" thickBot="1">
      <c r="A141" s="47"/>
      <c r="B141" s="75"/>
      <c r="C141" s="15"/>
    </row>
    <row r="142" spans="1:3" ht="17.25">
      <c r="A142" s="84" t="s">
        <v>222</v>
      </c>
      <c r="B142" s="103" t="s">
        <v>258</v>
      </c>
      <c r="C142" s="128">
        <f>[14]С2!F37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[14]С2.5!$E$11</f>
        <v>-2.9000000000000026E-2</v>
      </c>
    </row>
    <row r="146" spans="1:3">
      <c r="B146" s="131">
        <f>B145+1</f>
        <v>2021</v>
      </c>
      <c r="C146" s="133">
        <f>[14]С2.5!$F$11</f>
        <v>0.245</v>
      </c>
    </row>
    <row r="147" spans="1:3">
      <c r="B147" s="131">
        <f t="shared" ref="B147:B210" si="0">B146+1</f>
        <v>2022</v>
      </c>
      <c r="C147" s="134">
        <f>[14]С2.5!$G$11</f>
        <v>0.114</v>
      </c>
    </row>
    <row r="148" spans="1:3">
      <c r="B148" s="110">
        <f t="shared" si="0"/>
        <v>2023</v>
      </c>
      <c r="C148" s="135">
        <f>[14]С2.5!$H$11</f>
        <v>2.4E-2</v>
      </c>
    </row>
    <row r="149" spans="1:3" ht="13.5" thickBot="1">
      <c r="B149" s="110">
        <f t="shared" si="0"/>
        <v>2024</v>
      </c>
      <c r="C149" s="135">
        <f>[14]С2.5!$I$11</f>
        <v>8.5999999999999993E-2</v>
      </c>
    </row>
    <row r="150" spans="1:3" ht="13.5" hidden="1" thickBot="1">
      <c r="B150" s="110">
        <f t="shared" si="0"/>
        <v>2025</v>
      </c>
      <c r="C150" s="135">
        <f>[14]С2.5!$J$11</f>
        <v>0</v>
      </c>
    </row>
    <row r="151" spans="1:3" ht="13.5" hidden="1" thickBot="1">
      <c r="B151" s="110">
        <f t="shared" si="0"/>
        <v>2026</v>
      </c>
      <c r="C151" s="135">
        <f>[14]С2.5!$K$11</f>
        <v>0</v>
      </c>
    </row>
    <row r="152" spans="1:3" ht="13.5" hidden="1" thickBot="1">
      <c r="B152" s="110">
        <f t="shared" si="0"/>
        <v>2027</v>
      </c>
      <c r="C152" s="135">
        <f>[14]С2.5!$L$11</f>
        <v>0</v>
      </c>
    </row>
    <row r="153" spans="1:3" ht="13.5" hidden="1" thickBot="1">
      <c r="B153" s="110">
        <f t="shared" si="0"/>
        <v>2028</v>
      </c>
      <c r="C153" s="135">
        <f>[14]С2.5!$M$11</f>
        <v>0</v>
      </c>
    </row>
    <row r="154" spans="1:3" ht="13.5" hidden="1" thickBot="1">
      <c r="B154" s="110">
        <f t="shared" si="0"/>
        <v>2029</v>
      </c>
      <c r="C154" s="135">
        <f>[14]С2.5!$N$11</f>
        <v>0</v>
      </c>
    </row>
    <row r="155" spans="1:3" ht="13.5" hidden="1" thickBot="1">
      <c r="B155" s="110">
        <f t="shared" si="0"/>
        <v>2030</v>
      </c>
      <c r="C155" s="135">
        <f>[14]С2.5!$O$11</f>
        <v>0</v>
      </c>
    </row>
    <row r="156" spans="1:3" ht="13.5" hidden="1" thickBot="1">
      <c r="B156" s="110">
        <f t="shared" si="0"/>
        <v>2031</v>
      </c>
      <c r="C156" s="135">
        <f>[14]С2.5!$P$11</f>
        <v>0</v>
      </c>
    </row>
    <row r="157" spans="1:3" ht="13.5" hidden="1" thickBot="1">
      <c r="B157" s="110">
        <f t="shared" si="0"/>
        <v>2032</v>
      </c>
      <c r="C157" s="135">
        <f>[14]С2.5!$Q$11</f>
        <v>0</v>
      </c>
    </row>
    <row r="158" spans="1:3" ht="13.5" hidden="1" thickBot="1">
      <c r="B158" s="110">
        <f t="shared" si="0"/>
        <v>2033</v>
      </c>
      <c r="C158" s="135">
        <f>[14]С2.5!$R$11</f>
        <v>0</v>
      </c>
    </row>
    <row r="159" spans="1:3" ht="13.5" hidden="1" thickBot="1">
      <c r="B159" s="110">
        <f t="shared" si="0"/>
        <v>2034</v>
      </c>
      <c r="C159" s="135">
        <f>[14]С2.5!$S$11</f>
        <v>0</v>
      </c>
    </row>
    <row r="160" spans="1:3" ht="13.5" hidden="1" thickBot="1">
      <c r="B160" s="110">
        <f t="shared" si="0"/>
        <v>2035</v>
      </c>
      <c r="C160" s="135">
        <f>[14]С2.5!$T$11</f>
        <v>0</v>
      </c>
    </row>
    <row r="161" spans="2:3" ht="13.5" hidden="1" thickBot="1">
      <c r="B161" s="110">
        <f t="shared" si="0"/>
        <v>2036</v>
      </c>
      <c r="C161" s="135">
        <f>[14]С2.5!$U$11</f>
        <v>0</v>
      </c>
    </row>
    <row r="162" spans="2:3" ht="13.5" hidden="1" thickBot="1">
      <c r="B162" s="110">
        <f t="shared" si="0"/>
        <v>2037</v>
      </c>
      <c r="C162" s="135">
        <f>[14]С2.5!$V$11</f>
        <v>0</v>
      </c>
    </row>
    <row r="163" spans="2:3" ht="13.5" hidden="1" thickBot="1">
      <c r="B163" s="110">
        <f t="shared" si="0"/>
        <v>2038</v>
      </c>
      <c r="C163" s="135">
        <f>[14]С2.5!$W$11</f>
        <v>0</v>
      </c>
    </row>
    <row r="164" spans="2:3" ht="13.5" hidden="1" thickBot="1">
      <c r="B164" s="110">
        <f t="shared" si="0"/>
        <v>2039</v>
      </c>
      <c r="C164" s="135">
        <f>[14]С2.5!$X$11</f>
        <v>0</v>
      </c>
    </row>
    <row r="165" spans="2:3" ht="13.5" hidden="1" thickBot="1">
      <c r="B165" s="110">
        <f t="shared" si="0"/>
        <v>2040</v>
      </c>
      <c r="C165" s="135">
        <f>[14]С2.5!$Y$11</f>
        <v>0</v>
      </c>
    </row>
    <row r="166" spans="2:3" ht="13.5" hidden="1" thickBot="1">
      <c r="B166" s="110">
        <f t="shared" si="0"/>
        <v>2041</v>
      </c>
      <c r="C166" s="135">
        <f>[14]С2.5!$Z$11</f>
        <v>0</v>
      </c>
    </row>
    <row r="167" spans="2:3" ht="13.5" hidden="1" thickBot="1">
      <c r="B167" s="110">
        <f t="shared" si="0"/>
        <v>2042</v>
      </c>
      <c r="C167" s="135">
        <f>[14]С2.5!$AA$11</f>
        <v>0</v>
      </c>
    </row>
    <row r="168" spans="2:3" ht="13.5" hidden="1" thickBot="1">
      <c r="B168" s="110">
        <f t="shared" si="0"/>
        <v>2043</v>
      </c>
      <c r="C168" s="135">
        <f>[14]С2.5!$AB$11</f>
        <v>0</v>
      </c>
    </row>
    <row r="169" spans="2:3" ht="13.5" hidden="1" thickBot="1">
      <c r="B169" s="110">
        <f t="shared" si="0"/>
        <v>2044</v>
      </c>
      <c r="C169" s="135">
        <f>[14]С2.5!$AC$11</f>
        <v>0</v>
      </c>
    </row>
    <row r="170" spans="2:3" ht="13.5" hidden="1" thickBot="1">
      <c r="B170" s="110">
        <f t="shared" si="0"/>
        <v>2045</v>
      </c>
      <c r="C170" s="135">
        <f>[14]С2.5!$AD$11</f>
        <v>0</v>
      </c>
    </row>
    <row r="171" spans="2:3" ht="13.5" hidden="1" thickBot="1">
      <c r="B171" s="110">
        <f t="shared" si="0"/>
        <v>2046</v>
      </c>
      <c r="C171" s="135">
        <f>[14]С2.5!$AE$11</f>
        <v>0</v>
      </c>
    </row>
    <row r="172" spans="2:3" ht="13.5" hidden="1" thickBot="1">
      <c r="B172" s="110">
        <f t="shared" si="0"/>
        <v>2047</v>
      </c>
      <c r="C172" s="135">
        <f>[14]С2.5!$AF$11</f>
        <v>0</v>
      </c>
    </row>
    <row r="173" spans="2:3" ht="13.5" hidden="1" thickBot="1">
      <c r="B173" s="110">
        <f t="shared" si="0"/>
        <v>2048</v>
      </c>
      <c r="C173" s="135">
        <f>[14]С2.5!$AG$11</f>
        <v>0</v>
      </c>
    </row>
    <row r="174" spans="2:3" ht="13.5" hidden="1" thickBot="1">
      <c r="B174" s="110">
        <f t="shared" si="0"/>
        <v>2049</v>
      </c>
      <c r="C174" s="135">
        <f>[14]С2.5!$AH$11</f>
        <v>0</v>
      </c>
    </row>
    <row r="175" spans="2:3" ht="13.5" hidden="1" thickBot="1">
      <c r="B175" s="110">
        <f t="shared" si="0"/>
        <v>2050</v>
      </c>
      <c r="C175" s="135">
        <f>[14]С2.5!$AI$11</f>
        <v>0</v>
      </c>
    </row>
    <row r="176" spans="2:3" ht="13.5" hidden="1" thickBot="1">
      <c r="B176" s="110">
        <f t="shared" si="0"/>
        <v>2051</v>
      </c>
      <c r="C176" s="135">
        <f>[14]С2.5!$AJ$11</f>
        <v>0</v>
      </c>
    </row>
    <row r="177" spans="2:3" ht="13.5" hidden="1" thickBot="1">
      <c r="B177" s="110">
        <f t="shared" si="0"/>
        <v>2052</v>
      </c>
      <c r="C177" s="135">
        <f>[14]С2.5!$AK$11</f>
        <v>0</v>
      </c>
    </row>
    <row r="178" spans="2:3" ht="13.5" hidden="1" thickBot="1">
      <c r="B178" s="110">
        <f t="shared" si="0"/>
        <v>2053</v>
      </c>
      <c r="C178" s="135">
        <f>[14]С2.5!$AL$11</f>
        <v>0</v>
      </c>
    </row>
    <row r="179" spans="2:3" ht="13.5" hidden="1" thickBot="1">
      <c r="B179" s="110">
        <f t="shared" si="0"/>
        <v>2054</v>
      </c>
      <c r="C179" s="135">
        <f>[14]С2.5!$AM$11</f>
        <v>0</v>
      </c>
    </row>
    <row r="180" spans="2:3" ht="13.5" hidden="1" thickBot="1">
      <c r="B180" s="110">
        <f t="shared" si="0"/>
        <v>2055</v>
      </c>
      <c r="C180" s="135">
        <f>[14]С2.5!$AN$11</f>
        <v>0</v>
      </c>
    </row>
    <row r="181" spans="2:3" ht="13.5" hidden="1" thickBot="1">
      <c r="B181" s="110">
        <f t="shared" si="0"/>
        <v>2056</v>
      </c>
      <c r="C181" s="135">
        <f>[14]С2.5!$AO$11</f>
        <v>0</v>
      </c>
    </row>
    <row r="182" spans="2:3" ht="13.5" hidden="1" thickBot="1">
      <c r="B182" s="110">
        <f t="shared" si="0"/>
        <v>2057</v>
      </c>
      <c r="C182" s="135">
        <f>[14]С2.5!$AP$11</f>
        <v>0</v>
      </c>
    </row>
    <row r="183" spans="2:3" ht="13.5" hidden="1" thickBot="1">
      <c r="B183" s="110">
        <f t="shared" si="0"/>
        <v>2058</v>
      </c>
      <c r="C183" s="135">
        <f>[14]С2.5!$AQ$11</f>
        <v>0</v>
      </c>
    </row>
    <row r="184" spans="2:3" ht="13.5" hidden="1" thickBot="1">
      <c r="B184" s="110">
        <f t="shared" si="0"/>
        <v>2059</v>
      </c>
      <c r="C184" s="135">
        <f>[14]С2.5!$AR$11</f>
        <v>0</v>
      </c>
    </row>
    <row r="185" spans="2:3" ht="13.5" hidden="1" thickBot="1">
      <c r="B185" s="110">
        <f t="shared" si="0"/>
        <v>2060</v>
      </c>
      <c r="C185" s="135">
        <f>[14]С2.5!$AS$11</f>
        <v>0</v>
      </c>
    </row>
    <row r="186" spans="2:3" ht="13.5" hidden="1" thickBot="1">
      <c r="B186" s="110">
        <f t="shared" si="0"/>
        <v>2061</v>
      </c>
      <c r="C186" s="135">
        <f>[14]С2.5!$AT$11</f>
        <v>0</v>
      </c>
    </row>
    <row r="187" spans="2:3" ht="13.5" hidden="1" thickBot="1">
      <c r="B187" s="110">
        <f t="shared" si="0"/>
        <v>2062</v>
      </c>
      <c r="C187" s="135">
        <f>[14]С2.5!$AU$11</f>
        <v>0</v>
      </c>
    </row>
    <row r="188" spans="2:3" ht="13.5" hidden="1" thickBot="1">
      <c r="B188" s="110">
        <f t="shared" si="0"/>
        <v>2063</v>
      </c>
      <c r="C188" s="135">
        <f>[14]С2.5!$AV$11</f>
        <v>0</v>
      </c>
    </row>
    <row r="189" spans="2:3" ht="13.5" hidden="1" thickBot="1">
      <c r="B189" s="110">
        <f t="shared" si="0"/>
        <v>2064</v>
      </c>
      <c r="C189" s="135">
        <f>[14]С2.5!$AW$11</f>
        <v>0</v>
      </c>
    </row>
    <row r="190" spans="2:3" ht="13.5" hidden="1" thickBot="1">
      <c r="B190" s="110">
        <f t="shared" si="0"/>
        <v>2065</v>
      </c>
      <c r="C190" s="135">
        <f>[14]С2.5!$AX$11</f>
        <v>0</v>
      </c>
    </row>
    <row r="191" spans="2:3" ht="13.5" hidden="1" thickBot="1">
      <c r="B191" s="110">
        <f t="shared" si="0"/>
        <v>2066</v>
      </c>
      <c r="C191" s="135">
        <f>[14]С2.5!$AY$11</f>
        <v>0</v>
      </c>
    </row>
    <row r="192" spans="2:3" ht="13.5" hidden="1" thickBot="1">
      <c r="B192" s="110">
        <f t="shared" si="0"/>
        <v>2067</v>
      </c>
      <c r="C192" s="135">
        <f>[14]С2.5!$AZ$11</f>
        <v>0</v>
      </c>
    </row>
    <row r="193" spans="2:3" ht="13.5" hidden="1" thickBot="1">
      <c r="B193" s="110">
        <f t="shared" si="0"/>
        <v>2068</v>
      </c>
      <c r="C193" s="135">
        <f>[14]С2.5!$BA$11</f>
        <v>0</v>
      </c>
    </row>
    <row r="194" spans="2:3" ht="13.5" hidden="1" thickBot="1">
      <c r="B194" s="110">
        <f t="shared" si="0"/>
        <v>2069</v>
      </c>
      <c r="C194" s="135">
        <f>[14]С2.5!$BB$11</f>
        <v>0</v>
      </c>
    </row>
    <row r="195" spans="2:3" ht="13.5" hidden="1" thickBot="1">
      <c r="B195" s="110">
        <f t="shared" si="0"/>
        <v>2070</v>
      </c>
      <c r="C195" s="135">
        <f>[14]С2.5!$BC$11</f>
        <v>0</v>
      </c>
    </row>
    <row r="196" spans="2:3" ht="13.5" hidden="1" thickBot="1">
      <c r="B196" s="110">
        <f t="shared" si="0"/>
        <v>2071</v>
      </c>
      <c r="C196" s="135">
        <f>[14]С2.5!$BD$11</f>
        <v>0</v>
      </c>
    </row>
    <row r="197" spans="2:3" ht="13.5" hidden="1" thickBot="1">
      <c r="B197" s="110">
        <f t="shared" si="0"/>
        <v>2072</v>
      </c>
      <c r="C197" s="135">
        <f>[14]С2.5!$BE$11</f>
        <v>0</v>
      </c>
    </row>
    <row r="198" spans="2:3" ht="13.5" hidden="1" thickBot="1">
      <c r="B198" s="110">
        <f t="shared" si="0"/>
        <v>2073</v>
      </c>
      <c r="C198" s="135">
        <f>[14]С2.5!$BF$11</f>
        <v>0</v>
      </c>
    </row>
    <row r="199" spans="2:3" ht="13.5" hidden="1" thickBot="1">
      <c r="B199" s="110">
        <f t="shared" si="0"/>
        <v>2074</v>
      </c>
      <c r="C199" s="135">
        <f>[14]С2.5!$BG$11</f>
        <v>0</v>
      </c>
    </row>
    <row r="200" spans="2:3" ht="13.5" hidden="1" thickBot="1">
      <c r="B200" s="110">
        <f t="shared" si="0"/>
        <v>2075</v>
      </c>
      <c r="C200" s="135">
        <f>[14]С2.5!$BH$11</f>
        <v>0</v>
      </c>
    </row>
    <row r="201" spans="2:3" ht="13.5" hidden="1" thickBot="1">
      <c r="B201" s="110">
        <f t="shared" si="0"/>
        <v>2076</v>
      </c>
      <c r="C201" s="135">
        <f>[14]С2.5!$BI$11</f>
        <v>0</v>
      </c>
    </row>
    <row r="202" spans="2:3" ht="13.5" hidden="1" thickBot="1">
      <c r="B202" s="110">
        <f t="shared" si="0"/>
        <v>2077</v>
      </c>
      <c r="C202" s="135">
        <f>[14]С2.5!$BJ$11</f>
        <v>0</v>
      </c>
    </row>
    <row r="203" spans="2:3" ht="13.5" hidden="1" thickBot="1">
      <c r="B203" s="110">
        <f t="shared" si="0"/>
        <v>2078</v>
      </c>
      <c r="C203" s="135">
        <f>[14]С2.5!$BK$11</f>
        <v>0</v>
      </c>
    </row>
    <row r="204" spans="2:3" ht="13.5" hidden="1" thickBot="1">
      <c r="B204" s="110">
        <f t="shared" si="0"/>
        <v>2079</v>
      </c>
      <c r="C204" s="135">
        <f>[14]С2.5!$BL$11</f>
        <v>0</v>
      </c>
    </row>
    <row r="205" spans="2:3" ht="13.5" hidden="1" thickBot="1">
      <c r="B205" s="110">
        <f t="shared" si="0"/>
        <v>2080</v>
      </c>
      <c r="C205" s="135">
        <f>[14]С2.5!$BM$11</f>
        <v>0</v>
      </c>
    </row>
    <row r="206" spans="2:3" ht="13.5" hidden="1" thickBot="1">
      <c r="B206" s="110">
        <f t="shared" si="0"/>
        <v>2081</v>
      </c>
      <c r="C206" s="135">
        <f>[14]С2.5!$BN$11</f>
        <v>0</v>
      </c>
    </row>
    <row r="207" spans="2:3" ht="13.5" hidden="1" thickBot="1">
      <c r="B207" s="110">
        <f t="shared" si="0"/>
        <v>2082</v>
      </c>
      <c r="C207" s="135">
        <f>[14]С2.5!$BO$11</f>
        <v>0</v>
      </c>
    </row>
    <row r="208" spans="2:3" ht="13.5" hidden="1" thickBot="1">
      <c r="B208" s="110">
        <f t="shared" si="0"/>
        <v>2083</v>
      </c>
      <c r="C208" s="135">
        <f>[14]С2.5!$BP$11</f>
        <v>0</v>
      </c>
    </row>
    <row r="209" spans="2:3" ht="13.5" hidden="1" thickBot="1">
      <c r="B209" s="110">
        <f t="shared" si="0"/>
        <v>2084</v>
      </c>
      <c r="C209" s="135">
        <f>[14]С2.5!$BQ$11</f>
        <v>0</v>
      </c>
    </row>
    <row r="210" spans="2:3" ht="13.5" hidden="1" thickBot="1">
      <c r="B210" s="110">
        <f t="shared" si="0"/>
        <v>2085</v>
      </c>
      <c r="C210" s="135">
        <f>[14]С2.5!$BR$11</f>
        <v>0</v>
      </c>
    </row>
    <row r="211" spans="2:3" ht="13.5" hidden="1" thickBot="1">
      <c r="B211" s="110">
        <f t="shared" ref="B211:B224" si="1">B210+1</f>
        <v>2086</v>
      </c>
      <c r="C211" s="135">
        <f>[14]С2.5!$BS$11</f>
        <v>0</v>
      </c>
    </row>
    <row r="212" spans="2:3" ht="13.5" hidden="1" thickBot="1">
      <c r="B212" s="110">
        <f t="shared" si="1"/>
        <v>2087</v>
      </c>
      <c r="C212" s="135">
        <f>[14]С2.5!$BT$11</f>
        <v>0</v>
      </c>
    </row>
    <row r="213" spans="2:3" ht="13.5" hidden="1" thickBot="1">
      <c r="B213" s="110">
        <f t="shared" si="1"/>
        <v>2088</v>
      </c>
      <c r="C213" s="135">
        <f>[14]С2.5!$BU$11</f>
        <v>0</v>
      </c>
    </row>
    <row r="214" spans="2:3" ht="13.5" hidden="1" thickBot="1">
      <c r="B214" s="110">
        <f t="shared" si="1"/>
        <v>2089</v>
      </c>
      <c r="C214" s="135">
        <f>[14]С2.5!$BV$11</f>
        <v>0</v>
      </c>
    </row>
    <row r="215" spans="2:3" ht="13.5" hidden="1" thickBot="1">
      <c r="B215" s="110">
        <f t="shared" si="1"/>
        <v>2090</v>
      </c>
      <c r="C215" s="135">
        <f>[14]С2.5!$BW$11</f>
        <v>0</v>
      </c>
    </row>
    <row r="216" spans="2:3" ht="13.5" hidden="1" thickBot="1">
      <c r="B216" s="110">
        <f t="shared" si="1"/>
        <v>2091</v>
      </c>
      <c r="C216" s="135">
        <f>[14]С2.5!$BX$11</f>
        <v>0</v>
      </c>
    </row>
    <row r="217" spans="2:3" ht="13.5" hidden="1" thickBot="1">
      <c r="B217" s="110">
        <f t="shared" si="1"/>
        <v>2092</v>
      </c>
      <c r="C217" s="135">
        <f>[14]С2.5!$BY$11</f>
        <v>0</v>
      </c>
    </row>
    <row r="218" spans="2:3" ht="13.5" hidden="1" thickBot="1">
      <c r="B218" s="110">
        <f t="shared" si="1"/>
        <v>2093</v>
      </c>
      <c r="C218" s="135">
        <f>[14]С2.5!$BZ$11</f>
        <v>0</v>
      </c>
    </row>
    <row r="219" spans="2:3" ht="13.5" hidden="1" thickBot="1">
      <c r="B219" s="110">
        <f t="shared" si="1"/>
        <v>2094</v>
      </c>
      <c r="C219" s="135">
        <f>[14]С2.5!$CA$11</f>
        <v>0</v>
      </c>
    </row>
    <row r="220" spans="2:3" ht="13.5" hidden="1" thickBot="1">
      <c r="B220" s="110">
        <f t="shared" si="1"/>
        <v>2095</v>
      </c>
      <c r="C220" s="135">
        <f>[14]С2.5!$CB$11</f>
        <v>0</v>
      </c>
    </row>
    <row r="221" spans="2:3" ht="13.5" hidden="1" thickBot="1">
      <c r="B221" s="110">
        <f t="shared" si="1"/>
        <v>2096</v>
      </c>
      <c r="C221" s="135">
        <f>[14]С2.5!$CC$11</f>
        <v>0</v>
      </c>
    </row>
    <row r="222" spans="2:3" ht="13.5" hidden="1" thickBot="1">
      <c r="B222" s="110">
        <f t="shared" si="1"/>
        <v>2097</v>
      </c>
      <c r="C222" s="135">
        <f>[14]С2.5!$CD$11</f>
        <v>0</v>
      </c>
    </row>
    <row r="223" spans="2:3" ht="13.5" hidden="1" thickBot="1">
      <c r="B223" s="110">
        <f t="shared" si="1"/>
        <v>2098</v>
      </c>
      <c r="C223" s="135">
        <f>[14]С2.5!$CE$11</f>
        <v>0</v>
      </c>
    </row>
    <row r="224" spans="2:3" ht="13.5" hidden="1" thickBot="1">
      <c r="B224" s="110">
        <f t="shared" si="1"/>
        <v>2099</v>
      </c>
      <c r="C224" s="135">
        <f>[14]С2.5!$CF$11</f>
        <v>0</v>
      </c>
    </row>
    <row r="225" spans="2:3" ht="13.5" hidden="1" thickBot="1">
      <c r="B225" s="112">
        <f>B162+1</f>
        <v>2038</v>
      </c>
      <c r="C225" s="136" t="e">
        <f>[14]С2.5!#REF!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1" width="9.140625" style="2"/>
    <col min="152" max="233" width="0" style="2" hidden="1" customWidth="1"/>
    <col min="234" max="242" width="9.140625" style="2"/>
    <col min="243" max="243" width="3.7109375" style="2" customWidth="1"/>
    <col min="244" max="244" width="96.85546875" style="2" customWidth="1"/>
    <col min="245" max="245" width="30.85546875" style="2" customWidth="1"/>
    <col min="246" max="246" width="12.5703125" style="2" customWidth="1"/>
    <col min="247" max="247" width="5.140625" style="2" customWidth="1"/>
    <col min="248" max="248" width="9.140625" style="2"/>
    <col min="249" max="249" width="4.85546875" style="2" customWidth="1"/>
    <col min="250" max="250" width="30.5703125" style="2" customWidth="1"/>
    <col min="251" max="251" width="33.85546875" style="2" customWidth="1"/>
    <col min="252" max="252" width="5.140625" style="2" customWidth="1"/>
    <col min="253" max="254" width="17.5703125" style="2" customWidth="1"/>
    <col min="255" max="498" width="9.140625" style="2"/>
    <col min="499" max="499" width="3.7109375" style="2" customWidth="1"/>
    <col min="500" max="500" width="96.85546875" style="2" customWidth="1"/>
    <col min="501" max="501" width="30.85546875" style="2" customWidth="1"/>
    <col min="502" max="502" width="12.5703125" style="2" customWidth="1"/>
    <col min="503" max="503" width="5.140625" style="2" customWidth="1"/>
    <col min="504" max="504" width="9.140625" style="2"/>
    <col min="505" max="505" width="4.85546875" style="2" customWidth="1"/>
    <col min="506" max="506" width="30.5703125" style="2" customWidth="1"/>
    <col min="507" max="507" width="33.85546875" style="2" customWidth="1"/>
    <col min="508" max="508" width="5.140625" style="2" customWidth="1"/>
    <col min="509" max="510" width="17.5703125" style="2" customWidth="1"/>
    <col min="511" max="754" width="9.140625" style="2"/>
    <col min="755" max="755" width="3.7109375" style="2" customWidth="1"/>
    <col min="756" max="756" width="96.85546875" style="2" customWidth="1"/>
    <col min="757" max="757" width="30.85546875" style="2" customWidth="1"/>
    <col min="758" max="758" width="12.5703125" style="2" customWidth="1"/>
    <col min="759" max="759" width="5.140625" style="2" customWidth="1"/>
    <col min="760" max="760" width="9.140625" style="2"/>
    <col min="761" max="761" width="4.85546875" style="2" customWidth="1"/>
    <col min="762" max="762" width="30.5703125" style="2" customWidth="1"/>
    <col min="763" max="763" width="33.85546875" style="2" customWidth="1"/>
    <col min="764" max="764" width="5.140625" style="2" customWidth="1"/>
    <col min="765" max="766" width="17.5703125" style="2" customWidth="1"/>
    <col min="767" max="1010" width="9.140625" style="2"/>
    <col min="1011" max="1011" width="3.7109375" style="2" customWidth="1"/>
    <col min="1012" max="1012" width="96.85546875" style="2" customWidth="1"/>
    <col min="1013" max="1013" width="30.85546875" style="2" customWidth="1"/>
    <col min="1014" max="1014" width="12.5703125" style="2" customWidth="1"/>
    <col min="1015" max="1015" width="5.140625" style="2" customWidth="1"/>
    <col min="1016" max="1016" width="9.140625" style="2"/>
    <col min="1017" max="1017" width="4.85546875" style="2" customWidth="1"/>
    <col min="1018" max="1018" width="30.5703125" style="2" customWidth="1"/>
    <col min="1019" max="1019" width="33.85546875" style="2" customWidth="1"/>
    <col min="1020" max="1020" width="5.140625" style="2" customWidth="1"/>
    <col min="1021" max="1022" width="17.5703125" style="2" customWidth="1"/>
    <col min="1023" max="1266" width="9.140625" style="2"/>
    <col min="1267" max="1267" width="3.7109375" style="2" customWidth="1"/>
    <col min="1268" max="1268" width="96.85546875" style="2" customWidth="1"/>
    <col min="1269" max="1269" width="30.85546875" style="2" customWidth="1"/>
    <col min="1270" max="1270" width="12.5703125" style="2" customWidth="1"/>
    <col min="1271" max="1271" width="5.140625" style="2" customWidth="1"/>
    <col min="1272" max="1272" width="9.140625" style="2"/>
    <col min="1273" max="1273" width="4.85546875" style="2" customWidth="1"/>
    <col min="1274" max="1274" width="30.5703125" style="2" customWidth="1"/>
    <col min="1275" max="1275" width="33.85546875" style="2" customWidth="1"/>
    <col min="1276" max="1276" width="5.140625" style="2" customWidth="1"/>
    <col min="1277" max="1278" width="17.5703125" style="2" customWidth="1"/>
    <col min="1279" max="1522" width="9.140625" style="2"/>
    <col min="1523" max="1523" width="3.7109375" style="2" customWidth="1"/>
    <col min="1524" max="1524" width="96.85546875" style="2" customWidth="1"/>
    <col min="1525" max="1525" width="30.85546875" style="2" customWidth="1"/>
    <col min="1526" max="1526" width="12.5703125" style="2" customWidth="1"/>
    <col min="1527" max="1527" width="5.140625" style="2" customWidth="1"/>
    <col min="1528" max="1528" width="9.140625" style="2"/>
    <col min="1529" max="1529" width="4.85546875" style="2" customWidth="1"/>
    <col min="1530" max="1530" width="30.5703125" style="2" customWidth="1"/>
    <col min="1531" max="1531" width="33.85546875" style="2" customWidth="1"/>
    <col min="1532" max="1532" width="5.140625" style="2" customWidth="1"/>
    <col min="1533" max="1534" width="17.5703125" style="2" customWidth="1"/>
    <col min="1535" max="1778" width="9.140625" style="2"/>
    <col min="1779" max="1779" width="3.7109375" style="2" customWidth="1"/>
    <col min="1780" max="1780" width="96.85546875" style="2" customWidth="1"/>
    <col min="1781" max="1781" width="30.85546875" style="2" customWidth="1"/>
    <col min="1782" max="1782" width="12.5703125" style="2" customWidth="1"/>
    <col min="1783" max="1783" width="5.140625" style="2" customWidth="1"/>
    <col min="1784" max="1784" width="9.140625" style="2"/>
    <col min="1785" max="1785" width="4.85546875" style="2" customWidth="1"/>
    <col min="1786" max="1786" width="30.5703125" style="2" customWidth="1"/>
    <col min="1787" max="1787" width="33.85546875" style="2" customWidth="1"/>
    <col min="1788" max="1788" width="5.140625" style="2" customWidth="1"/>
    <col min="1789" max="1790" width="17.5703125" style="2" customWidth="1"/>
    <col min="1791" max="2034" width="9.140625" style="2"/>
    <col min="2035" max="2035" width="3.7109375" style="2" customWidth="1"/>
    <col min="2036" max="2036" width="96.85546875" style="2" customWidth="1"/>
    <col min="2037" max="2037" width="30.85546875" style="2" customWidth="1"/>
    <col min="2038" max="2038" width="12.5703125" style="2" customWidth="1"/>
    <col min="2039" max="2039" width="5.140625" style="2" customWidth="1"/>
    <col min="2040" max="2040" width="9.140625" style="2"/>
    <col min="2041" max="2041" width="4.85546875" style="2" customWidth="1"/>
    <col min="2042" max="2042" width="30.5703125" style="2" customWidth="1"/>
    <col min="2043" max="2043" width="33.85546875" style="2" customWidth="1"/>
    <col min="2044" max="2044" width="5.140625" style="2" customWidth="1"/>
    <col min="2045" max="2046" width="17.5703125" style="2" customWidth="1"/>
    <col min="2047" max="2290" width="9.140625" style="2"/>
    <col min="2291" max="2291" width="3.7109375" style="2" customWidth="1"/>
    <col min="2292" max="2292" width="96.85546875" style="2" customWidth="1"/>
    <col min="2293" max="2293" width="30.85546875" style="2" customWidth="1"/>
    <col min="2294" max="2294" width="12.5703125" style="2" customWidth="1"/>
    <col min="2295" max="2295" width="5.140625" style="2" customWidth="1"/>
    <col min="2296" max="2296" width="9.140625" style="2"/>
    <col min="2297" max="2297" width="4.85546875" style="2" customWidth="1"/>
    <col min="2298" max="2298" width="30.5703125" style="2" customWidth="1"/>
    <col min="2299" max="2299" width="33.85546875" style="2" customWidth="1"/>
    <col min="2300" max="2300" width="5.140625" style="2" customWidth="1"/>
    <col min="2301" max="2302" width="17.5703125" style="2" customWidth="1"/>
    <col min="2303" max="2546" width="9.140625" style="2"/>
    <col min="2547" max="2547" width="3.7109375" style="2" customWidth="1"/>
    <col min="2548" max="2548" width="96.85546875" style="2" customWidth="1"/>
    <col min="2549" max="2549" width="30.85546875" style="2" customWidth="1"/>
    <col min="2550" max="2550" width="12.5703125" style="2" customWidth="1"/>
    <col min="2551" max="2551" width="5.140625" style="2" customWidth="1"/>
    <col min="2552" max="2552" width="9.140625" style="2"/>
    <col min="2553" max="2553" width="4.85546875" style="2" customWidth="1"/>
    <col min="2554" max="2554" width="30.5703125" style="2" customWidth="1"/>
    <col min="2555" max="2555" width="33.85546875" style="2" customWidth="1"/>
    <col min="2556" max="2556" width="5.140625" style="2" customWidth="1"/>
    <col min="2557" max="2558" width="17.5703125" style="2" customWidth="1"/>
    <col min="2559" max="2802" width="9.140625" style="2"/>
    <col min="2803" max="2803" width="3.7109375" style="2" customWidth="1"/>
    <col min="2804" max="2804" width="96.85546875" style="2" customWidth="1"/>
    <col min="2805" max="2805" width="30.85546875" style="2" customWidth="1"/>
    <col min="2806" max="2806" width="12.5703125" style="2" customWidth="1"/>
    <col min="2807" max="2807" width="5.140625" style="2" customWidth="1"/>
    <col min="2808" max="2808" width="9.140625" style="2"/>
    <col min="2809" max="2809" width="4.85546875" style="2" customWidth="1"/>
    <col min="2810" max="2810" width="30.5703125" style="2" customWidth="1"/>
    <col min="2811" max="2811" width="33.85546875" style="2" customWidth="1"/>
    <col min="2812" max="2812" width="5.140625" style="2" customWidth="1"/>
    <col min="2813" max="2814" width="17.5703125" style="2" customWidth="1"/>
    <col min="2815" max="3058" width="9.140625" style="2"/>
    <col min="3059" max="3059" width="3.7109375" style="2" customWidth="1"/>
    <col min="3060" max="3060" width="96.85546875" style="2" customWidth="1"/>
    <col min="3061" max="3061" width="30.85546875" style="2" customWidth="1"/>
    <col min="3062" max="3062" width="12.5703125" style="2" customWidth="1"/>
    <col min="3063" max="3063" width="5.140625" style="2" customWidth="1"/>
    <col min="3064" max="3064" width="9.140625" style="2"/>
    <col min="3065" max="3065" width="4.85546875" style="2" customWidth="1"/>
    <col min="3066" max="3066" width="30.5703125" style="2" customWidth="1"/>
    <col min="3067" max="3067" width="33.85546875" style="2" customWidth="1"/>
    <col min="3068" max="3068" width="5.140625" style="2" customWidth="1"/>
    <col min="3069" max="3070" width="17.5703125" style="2" customWidth="1"/>
    <col min="3071" max="3314" width="9.140625" style="2"/>
    <col min="3315" max="3315" width="3.7109375" style="2" customWidth="1"/>
    <col min="3316" max="3316" width="96.85546875" style="2" customWidth="1"/>
    <col min="3317" max="3317" width="30.85546875" style="2" customWidth="1"/>
    <col min="3318" max="3318" width="12.5703125" style="2" customWidth="1"/>
    <col min="3319" max="3319" width="5.140625" style="2" customWidth="1"/>
    <col min="3320" max="3320" width="9.140625" style="2"/>
    <col min="3321" max="3321" width="4.85546875" style="2" customWidth="1"/>
    <col min="3322" max="3322" width="30.5703125" style="2" customWidth="1"/>
    <col min="3323" max="3323" width="33.85546875" style="2" customWidth="1"/>
    <col min="3324" max="3324" width="5.140625" style="2" customWidth="1"/>
    <col min="3325" max="3326" width="17.5703125" style="2" customWidth="1"/>
    <col min="3327" max="3570" width="9.140625" style="2"/>
    <col min="3571" max="3571" width="3.7109375" style="2" customWidth="1"/>
    <col min="3572" max="3572" width="96.85546875" style="2" customWidth="1"/>
    <col min="3573" max="3573" width="30.85546875" style="2" customWidth="1"/>
    <col min="3574" max="3574" width="12.5703125" style="2" customWidth="1"/>
    <col min="3575" max="3575" width="5.140625" style="2" customWidth="1"/>
    <col min="3576" max="3576" width="9.140625" style="2"/>
    <col min="3577" max="3577" width="4.85546875" style="2" customWidth="1"/>
    <col min="3578" max="3578" width="30.5703125" style="2" customWidth="1"/>
    <col min="3579" max="3579" width="33.85546875" style="2" customWidth="1"/>
    <col min="3580" max="3580" width="5.140625" style="2" customWidth="1"/>
    <col min="3581" max="3582" width="17.5703125" style="2" customWidth="1"/>
    <col min="3583" max="3826" width="9.140625" style="2"/>
    <col min="3827" max="3827" width="3.7109375" style="2" customWidth="1"/>
    <col min="3828" max="3828" width="96.85546875" style="2" customWidth="1"/>
    <col min="3829" max="3829" width="30.85546875" style="2" customWidth="1"/>
    <col min="3830" max="3830" width="12.5703125" style="2" customWidth="1"/>
    <col min="3831" max="3831" width="5.140625" style="2" customWidth="1"/>
    <col min="3832" max="3832" width="9.140625" style="2"/>
    <col min="3833" max="3833" width="4.85546875" style="2" customWidth="1"/>
    <col min="3834" max="3834" width="30.5703125" style="2" customWidth="1"/>
    <col min="3835" max="3835" width="33.85546875" style="2" customWidth="1"/>
    <col min="3836" max="3836" width="5.140625" style="2" customWidth="1"/>
    <col min="3837" max="3838" width="17.5703125" style="2" customWidth="1"/>
    <col min="3839" max="4082" width="9.140625" style="2"/>
    <col min="4083" max="4083" width="3.7109375" style="2" customWidth="1"/>
    <col min="4084" max="4084" width="96.85546875" style="2" customWidth="1"/>
    <col min="4085" max="4085" width="30.85546875" style="2" customWidth="1"/>
    <col min="4086" max="4086" width="12.5703125" style="2" customWidth="1"/>
    <col min="4087" max="4087" width="5.140625" style="2" customWidth="1"/>
    <col min="4088" max="4088" width="9.140625" style="2"/>
    <col min="4089" max="4089" width="4.85546875" style="2" customWidth="1"/>
    <col min="4090" max="4090" width="30.5703125" style="2" customWidth="1"/>
    <col min="4091" max="4091" width="33.85546875" style="2" customWidth="1"/>
    <col min="4092" max="4092" width="5.140625" style="2" customWidth="1"/>
    <col min="4093" max="4094" width="17.5703125" style="2" customWidth="1"/>
    <col min="4095" max="4338" width="9.140625" style="2"/>
    <col min="4339" max="4339" width="3.7109375" style="2" customWidth="1"/>
    <col min="4340" max="4340" width="96.85546875" style="2" customWidth="1"/>
    <col min="4341" max="4341" width="30.85546875" style="2" customWidth="1"/>
    <col min="4342" max="4342" width="12.5703125" style="2" customWidth="1"/>
    <col min="4343" max="4343" width="5.140625" style="2" customWidth="1"/>
    <col min="4344" max="4344" width="9.140625" style="2"/>
    <col min="4345" max="4345" width="4.85546875" style="2" customWidth="1"/>
    <col min="4346" max="4346" width="30.5703125" style="2" customWidth="1"/>
    <col min="4347" max="4347" width="33.85546875" style="2" customWidth="1"/>
    <col min="4348" max="4348" width="5.140625" style="2" customWidth="1"/>
    <col min="4349" max="4350" width="17.5703125" style="2" customWidth="1"/>
    <col min="4351" max="4594" width="9.140625" style="2"/>
    <col min="4595" max="4595" width="3.7109375" style="2" customWidth="1"/>
    <col min="4596" max="4596" width="96.85546875" style="2" customWidth="1"/>
    <col min="4597" max="4597" width="30.85546875" style="2" customWidth="1"/>
    <col min="4598" max="4598" width="12.5703125" style="2" customWidth="1"/>
    <col min="4599" max="4599" width="5.140625" style="2" customWidth="1"/>
    <col min="4600" max="4600" width="9.140625" style="2"/>
    <col min="4601" max="4601" width="4.85546875" style="2" customWidth="1"/>
    <col min="4602" max="4602" width="30.5703125" style="2" customWidth="1"/>
    <col min="4603" max="4603" width="33.85546875" style="2" customWidth="1"/>
    <col min="4604" max="4604" width="5.140625" style="2" customWidth="1"/>
    <col min="4605" max="4606" width="17.5703125" style="2" customWidth="1"/>
    <col min="4607" max="4850" width="9.140625" style="2"/>
    <col min="4851" max="4851" width="3.7109375" style="2" customWidth="1"/>
    <col min="4852" max="4852" width="96.85546875" style="2" customWidth="1"/>
    <col min="4853" max="4853" width="30.85546875" style="2" customWidth="1"/>
    <col min="4854" max="4854" width="12.5703125" style="2" customWidth="1"/>
    <col min="4855" max="4855" width="5.140625" style="2" customWidth="1"/>
    <col min="4856" max="4856" width="9.140625" style="2"/>
    <col min="4857" max="4857" width="4.85546875" style="2" customWidth="1"/>
    <col min="4858" max="4858" width="30.5703125" style="2" customWidth="1"/>
    <col min="4859" max="4859" width="33.85546875" style="2" customWidth="1"/>
    <col min="4860" max="4860" width="5.140625" style="2" customWidth="1"/>
    <col min="4861" max="4862" width="17.5703125" style="2" customWidth="1"/>
    <col min="4863" max="5106" width="9.140625" style="2"/>
    <col min="5107" max="5107" width="3.7109375" style="2" customWidth="1"/>
    <col min="5108" max="5108" width="96.85546875" style="2" customWidth="1"/>
    <col min="5109" max="5109" width="30.85546875" style="2" customWidth="1"/>
    <col min="5110" max="5110" width="12.5703125" style="2" customWidth="1"/>
    <col min="5111" max="5111" width="5.140625" style="2" customWidth="1"/>
    <col min="5112" max="5112" width="9.140625" style="2"/>
    <col min="5113" max="5113" width="4.85546875" style="2" customWidth="1"/>
    <col min="5114" max="5114" width="30.5703125" style="2" customWidth="1"/>
    <col min="5115" max="5115" width="33.85546875" style="2" customWidth="1"/>
    <col min="5116" max="5116" width="5.140625" style="2" customWidth="1"/>
    <col min="5117" max="5118" width="17.5703125" style="2" customWidth="1"/>
    <col min="5119" max="5362" width="9.140625" style="2"/>
    <col min="5363" max="5363" width="3.7109375" style="2" customWidth="1"/>
    <col min="5364" max="5364" width="96.85546875" style="2" customWidth="1"/>
    <col min="5365" max="5365" width="30.85546875" style="2" customWidth="1"/>
    <col min="5366" max="5366" width="12.5703125" style="2" customWidth="1"/>
    <col min="5367" max="5367" width="5.140625" style="2" customWidth="1"/>
    <col min="5368" max="5368" width="9.140625" style="2"/>
    <col min="5369" max="5369" width="4.85546875" style="2" customWidth="1"/>
    <col min="5370" max="5370" width="30.5703125" style="2" customWidth="1"/>
    <col min="5371" max="5371" width="33.85546875" style="2" customWidth="1"/>
    <col min="5372" max="5372" width="5.140625" style="2" customWidth="1"/>
    <col min="5373" max="5374" width="17.5703125" style="2" customWidth="1"/>
    <col min="5375" max="5618" width="9.140625" style="2"/>
    <col min="5619" max="5619" width="3.7109375" style="2" customWidth="1"/>
    <col min="5620" max="5620" width="96.85546875" style="2" customWidth="1"/>
    <col min="5621" max="5621" width="30.85546875" style="2" customWidth="1"/>
    <col min="5622" max="5622" width="12.5703125" style="2" customWidth="1"/>
    <col min="5623" max="5623" width="5.140625" style="2" customWidth="1"/>
    <col min="5624" max="5624" width="9.140625" style="2"/>
    <col min="5625" max="5625" width="4.85546875" style="2" customWidth="1"/>
    <col min="5626" max="5626" width="30.5703125" style="2" customWidth="1"/>
    <col min="5627" max="5627" width="33.85546875" style="2" customWidth="1"/>
    <col min="5628" max="5628" width="5.140625" style="2" customWidth="1"/>
    <col min="5629" max="5630" width="17.5703125" style="2" customWidth="1"/>
    <col min="5631" max="5874" width="9.140625" style="2"/>
    <col min="5875" max="5875" width="3.7109375" style="2" customWidth="1"/>
    <col min="5876" max="5876" width="96.85546875" style="2" customWidth="1"/>
    <col min="5877" max="5877" width="30.85546875" style="2" customWidth="1"/>
    <col min="5878" max="5878" width="12.5703125" style="2" customWidth="1"/>
    <col min="5879" max="5879" width="5.140625" style="2" customWidth="1"/>
    <col min="5880" max="5880" width="9.140625" style="2"/>
    <col min="5881" max="5881" width="4.85546875" style="2" customWidth="1"/>
    <col min="5882" max="5882" width="30.5703125" style="2" customWidth="1"/>
    <col min="5883" max="5883" width="33.85546875" style="2" customWidth="1"/>
    <col min="5884" max="5884" width="5.140625" style="2" customWidth="1"/>
    <col min="5885" max="5886" width="17.5703125" style="2" customWidth="1"/>
    <col min="5887" max="6130" width="9.140625" style="2"/>
    <col min="6131" max="6131" width="3.7109375" style="2" customWidth="1"/>
    <col min="6132" max="6132" width="96.85546875" style="2" customWidth="1"/>
    <col min="6133" max="6133" width="30.85546875" style="2" customWidth="1"/>
    <col min="6134" max="6134" width="12.5703125" style="2" customWidth="1"/>
    <col min="6135" max="6135" width="5.140625" style="2" customWidth="1"/>
    <col min="6136" max="6136" width="9.140625" style="2"/>
    <col min="6137" max="6137" width="4.85546875" style="2" customWidth="1"/>
    <col min="6138" max="6138" width="30.5703125" style="2" customWidth="1"/>
    <col min="6139" max="6139" width="33.85546875" style="2" customWidth="1"/>
    <col min="6140" max="6140" width="5.140625" style="2" customWidth="1"/>
    <col min="6141" max="6142" width="17.5703125" style="2" customWidth="1"/>
    <col min="6143" max="6386" width="9.140625" style="2"/>
    <col min="6387" max="6387" width="3.7109375" style="2" customWidth="1"/>
    <col min="6388" max="6388" width="96.85546875" style="2" customWidth="1"/>
    <col min="6389" max="6389" width="30.85546875" style="2" customWidth="1"/>
    <col min="6390" max="6390" width="12.5703125" style="2" customWidth="1"/>
    <col min="6391" max="6391" width="5.140625" style="2" customWidth="1"/>
    <col min="6392" max="6392" width="9.140625" style="2"/>
    <col min="6393" max="6393" width="4.85546875" style="2" customWidth="1"/>
    <col min="6394" max="6394" width="30.5703125" style="2" customWidth="1"/>
    <col min="6395" max="6395" width="33.85546875" style="2" customWidth="1"/>
    <col min="6396" max="6396" width="5.140625" style="2" customWidth="1"/>
    <col min="6397" max="6398" width="17.5703125" style="2" customWidth="1"/>
    <col min="6399" max="6642" width="9.140625" style="2"/>
    <col min="6643" max="6643" width="3.7109375" style="2" customWidth="1"/>
    <col min="6644" max="6644" width="96.85546875" style="2" customWidth="1"/>
    <col min="6645" max="6645" width="30.85546875" style="2" customWidth="1"/>
    <col min="6646" max="6646" width="12.5703125" style="2" customWidth="1"/>
    <col min="6647" max="6647" width="5.140625" style="2" customWidth="1"/>
    <col min="6648" max="6648" width="9.140625" style="2"/>
    <col min="6649" max="6649" width="4.85546875" style="2" customWidth="1"/>
    <col min="6650" max="6650" width="30.5703125" style="2" customWidth="1"/>
    <col min="6651" max="6651" width="33.85546875" style="2" customWidth="1"/>
    <col min="6652" max="6652" width="5.140625" style="2" customWidth="1"/>
    <col min="6653" max="6654" width="17.5703125" style="2" customWidth="1"/>
    <col min="6655" max="6898" width="9.140625" style="2"/>
    <col min="6899" max="6899" width="3.7109375" style="2" customWidth="1"/>
    <col min="6900" max="6900" width="96.85546875" style="2" customWidth="1"/>
    <col min="6901" max="6901" width="30.85546875" style="2" customWidth="1"/>
    <col min="6902" max="6902" width="12.5703125" style="2" customWidth="1"/>
    <col min="6903" max="6903" width="5.140625" style="2" customWidth="1"/>
    <col min="6904" max="6904" width="9.140625" style="2"/>
    <col min="6905" max="6905" width="4.85546875" style="2" customWidth="1"/>
    <col min="6906" max="6906" width="30.5703125" style="2" customWidth="1"/>
    <col min="6907" max="6907" width="33.85546875" style="2" customWidth="1"/>
    <col min="6908" max="6908" width="5.140625" style="2" customWidth="1"/>
    <col min="6909" max="6910" width="17.5703125" style="2" customWidth="1"/>
    <col min="6911" max="7154" width="9.140625" style="2"/>
    <col min="7155" max="7155" width="3.7109375" style="2" customWidth="1"/>
    <col min="7156" max="7156" width="96.85546875" style="2" customWidth="1"/>
    <col min="7157" max="7157" width="30.85546875" style="2" customWidth="1"/>
    <col min="7158" max="7158" width="12.5703125" style="2" customWidth="1"/>
    <col min="7159" max="7159" width="5.140625" style="2" customWidth="1"/>
    <col min="7160" max="7160" width="9.140625" style="2"/>
    <col min="7161" max="7161" width="4.85546875" style="2" customWidth="1"/>
    <col min="7162" max="7162" width="30.5703125" style="2" customWidth="1"/>
    <col min="7163" max="7163" width="33.85546875" style="2" customWidth="1"/>
    <col min="7164" max="7164" width="5.140625" style="2" customWidth="1"/>
    <col min="7165" max="7166" width="17.5703125" style="2" customWidth="1"/>
    <col min="7167" max="7410" width="9.140625" style="2"/>
    <col min="7411" max="7411" width="3.7109375" style="2" customWidth="1"/>
    <col min="7412" max="7412" width="96.85546875" style="2" customWidth="1"/>
    <col min="7413" max="7413" width="30.85546875" style="2" customWidth="1"/>
    <col min="7414" max="7414" width="12.5703125" style="2" customWidth="1"/>
    <col min="7415" max="7415" width="5.140625" style="2" customWidth="1"/>
    <col min="7416" max="7416" width="9.140625" style="2"/>
    <col min="7417" max="7417" width="4.85546875" style="2" customWidth="1"/>
    <col min="7418" max="7418" width="30.5703125" style="2" customWidth="1"/>
    <col min="7419" max="7419" width="33.85546875" style="2" customWidth="1"/>
    <col min="7420" max="7420" width="5.140625" style="2" customWidth="1"/>
    <col min="7421" max="7422" width="17.5703125" style="2" customWidth="1"/>
    <col min="7423" max="7666" width="9.140625" style="2"/>
    <col min="7667" max="7667" width="3.7109375" style="2" customWidth="1"/>
    <col min="7668" max="7668" width="96.85546875" style="2" customWidth="1"/>
    <col min="7669" max="7669" width="30.85546875" style="2" customWidth="1"/>
    <col min="7670" max="7670" width="12.5703125" style="2" customWidth="1"/>
    <col min="7671" max="7671" width="5.140625" style="2" customWidth="1"/>
    <col min="7672" max="7672" width="9.140625" style="2"/>
    <col min="7673" max="7673" width="4.85546875" style="2" customWidth="1"/>
    <col min="7674" max="7674" width="30.5703125" style="2" customWidth="1"/>
    <col min="7675" max="7675" width="33.85546875" style="2" customWidth="1"/>
    <col min="7676" max="7676" width="5.140625" style="2" customWidth="1"/>
    <col min="7677" max="7678" width="17.5703125" style="2" customWidth="1"/>
    <col min="7679" max="7922" width="9.140625" style="2"/>
    <col min="7923" max="7923" width="3.7109375" style="2" customWidth="1"/>
    <col min="7924" max="7924" width="96.85546875" style="2" customWidth="1"/>
    <col min="7925" max="7925" width="30.85546875" style="2" customWidth="1"/>
    <col min="7926" max="7926" width="12.5703125" style="2" customWidth="1"/>
    <col min="7927" max="7927" width="5.140625" style="2" customWidth="1"/>
    <col min="7928" max="7928" width="9.140625" style="2"/>
    <col min="7929" max="7929" width="4.85546875" style="2" customWidth="1"/>
    <col min="7930" max="7930" width="30.5703125" style="2" customWidth="1"/>
    <col min="7931" max="7931" width="33.85546875" style="2" customWidth="1"/>
    <col min="7932" max="7932" width="5.140625" style="2" customWidth="1"/>
    <col min="7933" max="7934" width="17.5703125" style="2" customWidth="1"/>
    <col min="7935" max="8178" width="9.140625" style="2"/>
    <col min="8179" max="8179" width="3.7109375" style="2" customWidth="1"/>
    <col min="8180" max="8180" width="96.85546875" style="2" customWidth="1"/>
    <col min="8181" max="8181" width="30.85546875" style="2" customWidth="1"/>
    <col min="8182" max="8182" width="12.5703125" style="2" customWidth="1"/>
    <col min="8183" max="8183" width="5.140625" style="2" customWidth="1"/>
    <col min="8184" max="8184" width="9.140625" style="2"/>
    <col min="8185" max="8185" width="4.85546875" style="2" customWidth="1"/>
    <col min="8186" max="8186" width="30.5703125" style="2" customWidth="1"/>
    <col min="8187" max="8187" width="33.85546875" style="2" customWidth="1"/>
    <col min="8188" max="8188" width="5.140625" style="2" customWidth="1"/>
    <col min="8189" max="8190" width="17.5703125" style="2" customWidth="1"/>
    <col min="8191" max="8434" width="9.140625" style="2"/>
    <col min="8435" max="8435" width="3.7109375" style="2" customWidth="1"/>
    <col min="8436" max="8436" width="96.85546875" style="2" customWidth="1"/>
    <col min="8437" max="8437" width="30.85546875" style="2" customWidth="1"/>
    <col min="8438" max="8438" width="12.5703125" style="2" customWidth="1"/>
    <col min="8439" max="8439" width="5.140625" style="2" customWidth="1"/>
    <col min="8440" max="8440" width="9.140625" style="2"/>
    <col min="8441" max="8441" width="4.85546875" style="2" customWidth="1"/>
    <col min="8442" max="8442" width="30.5703125" style="2" customWidth="1"/>
    <col min="8443" max="8443" width="33.85546875" style="2" customWidth="1"/>
    <col min="8444" max="8444" width="5.140625" style="2" customWidth="1"/>
    <col min="8445" max="8446" width="17.5703125" style="2" customWidth="1"/>
    <col min="8447" max="8690" width="9.140625" style="2"/>
    <col min="8691" max="8691" width="3.7109375" style="2" customWidth="1"/>
    <col min="8692" max="8692" width="96.85546875" style="2" customWidth="1"/>
    <col min="8693" max="8693" width="30.85546875" style="2" customWidth="1"/>
    <col min="8694" max="8694" width="12.5703125" style="2" customWidth="1"/>
    <col min="8695" max="8695" width="5.140625" style="2" customWidth="1"/>
    <col min="8696" max="8696" width="9.140625" style="2"/>
    <col min="8697" max="8697" width="4.85546875" style="2" customWidth="1"/>
    <col min="8698" max="8698" width="30.5703125" style="2" customWidth="1"/>
    <col min="8699" max="8699" width="33.85546875" style="2" customWidth="1"/>
    <col min="8700" max="8700" width="5.140625" style="2" customWidth="1"/>
    <col min="8701" max="8702" width="17.5703125" style="2" customWidth="1"/>
    <col min="8703" max="8946" width="9.140625" style="2"/>
    <col min="8947" max="8947" width="3.7109375" style="2" customWidth="1"/>
    <col min="8948" max="8948" width="96.85546875" style="2" customWidth="1"/>
    <col min="8949" max="8949" width="30.85546875" style="2" customWidth="1"/>
    <col min="8950" max="8950" width="12.5703125" style="2" customWidth="1"/>
    <col min="8951" max="8951" width="5.140625" style="2" customWidth="1"/>
    <col min="8952" max="8952" width="9.140625" style="2"/>
    <col min="8953" max="8953" width="4.85546875" style="2" customWidth="1"/>
    <col min="8954" max="8954" width="30.5703125" style="2" customWidth="1"/>
    <col min="8955" max="8955" width="33.85546875" style="2" customWidth="1"/>
    <col min="8956" max="8956" width="5.140625" style="2" customWidth="1"/>
    <col min="8957" max="8958" width="17.5703125" style="2" customWidth="1"/>
    <col min="8959" max="9202" width="9.140625" style="2"/>
    <col min="9203" max="9203" width="3.7109375" style="2" customWidth="1"/>
    <col min="9204" max="9204" width="96.85546875" style="2" customWidth="1"/>
    <col min="9205" max="9205" width="30.85546875" style="2" customWidth="1"/>
    <col min="9206" max="9206" width="12.5703125" style="2" customWidth="1"/>
    <col min="9207" max="9207" width="5.140625" style="2" customWidth="1"/>
    <col min="9208" max="9208" width="9.140625" style="2"/>
    <col min="9209" max="9209" width="4.85546875" style="2" customWidth="1"/>
    <col min="9210" max="9210" width="30.5703125" style="2" customWidth="1"/>
    <col min="9211" max="9211" width="33.85546875" style="2" customWidth="1"/>
    <col min="9212" max="9212" width="5.140625" style="2" customWidth="1"/>
    <col min="9213" max="9214" width="17.5703125" style="2" customWidth="1"/>
    <col min="9215" max="9458" width="9.140625" style="2"/>
    <col min="9459" max="9459" width="3.7109375" style="2" customWidth="1"/>
    <col min="9460" max="9460" width="96.85546875" style="2" customWidth="1"/>
    <col min="9461" max="9461" width="30.85546875" style="2" customWidth="1"/>
    <col min="9462" max="9462" width="12.5703125" style="2" customWidth="1"/>
    <col min="9463" max="9463" width="5.140625" style="2" customWidth="1"/>
    <col min="9464" max="9464" width="9.140625" style="2"/>
    <col min="9465" max="9465" width="4.85546875" style="2" customWidth="1"/>
    <col min="9466" max="9466" width="30.5703125" style="2" customWidth="1"/>
    <col min="9467" max="9467" width="33.85546875" style="2" customWidth="1"/>
    <col min="9468" max="9468" width="5.140625" style="2" customWidth="1"/>
    <col min="9469" max="9470" width="17.5703125" style="2" customWidth="1"/>
    <col min="9471" max="9714" width="9.140625" style="2"/>
    <col min="9715" max="9715" width="3.7109375" style="2" customWidth="1"/>
    <col min="9716" max="9716" width="96.85546875" style="2" customWidth="1"/>
    <col min="9717" max="9717" width="30.85546875" style="2" customWidth="1"/>
    <col min="9718" max="9718" width="12.5703125" style="2" customWidth="1"/>
    <col min="9719" max="9719" width="5.140625" style="2" customWidth="1"/>
    <col min="9720" max="9720" width="9.140625" style="2"/>
    <col min="9721" max="9721" width="4.85546875" style="2" customWidth="1"/>
    <col min="9722" max="9722" width="30.5703125" style="2" customWidth="1"/>
    <col min="9723" max="9723" width="33.85546875" style="2" customWidth="1"/>
    <col min="9724" max="9724" width="5.140625" style="2" customWidth="1"/>
    <col min="9725" max="9726" width="17.5703125" style="2" customWidth="1"/>
    <col min="9727" max="9970" width="9.140625" style="2"/>
    <col min="9971" max="9971" width="3.7109375" style="2" customWidth="1"/>
    <col min="9972" max="9972" width="96.85546875" style="2" customWidth="1"/>
    <col min="9973" max="9973" width="30.85546875" style="2" customWidth="1"/>
    <col min="9974" max="9974" width="12.5703125" style="2" customWidth="1"/>
    <col min="9975" max="9975" width="5.140625" style="2" customWidth="1"/>
    <col min="9976" max="9976" width="9.140625" style="2"/>
    <col min="9977" max="9977" width="4.85546875" style="2" customWidth="1"/>
    <col min="9978" max="9978" width="30.5703125" style="2" customWidth="1"/>
    <col min="9979" max="9979" width="33.85546875" style="2" customWidth="1"/>
    <col min="9980" max="9980" width="5.140625" style="2" customWidth="1"/>
    <col min="9981" max="9982" width="17.5703125" style="2" customWidth="1"/>
    <col min="9983" max="10226" width="9.140625" style="2"/>
    <col min="10227" max="10227" width="3.7109375" style="2" customWidth="1"/>
    <col min="10228" max="10228" width="96.85546875" style="2" customWidth="1"/>
    <col min="10229" max="10229" width="30.85546875" style="2" customWidth="1"/>
    <col min="10230" max="10230" width="12.5703125" style="2" customWidth="1"/>
    <col min="10231" max="10231" width="5.140625" style="2" customWidth="1"/>
    <col min="10232" max="10232" width="9.140625" style="2"/>
    <col min="10233" max="10233" width="4.85546875" style="2" customWidth="1"/>
    <col min="10234" max="10234" width="30.5703125" style="2" customWidth="1"/>
    <col min="10235" max="10235" width="33.85546875" style="2" customWidth="1"/>
    <col min="10236" max="10236" width="5.140625" style="2" customWidth="1"/>
    <col min="10237" max="10238" width="17.5703125" style="2" customWidth="1"/>
    <col min="10239" max="10482" width="9.140625" style="2"/>
    <col min="10483" max="10483" width="3.7109375" style="2" customWidth="1"/>
    <col min="10484" max="10484" width="96.85546875" style="2" customWidth="1"/>
    <col min="10485" max="10485" width="30.85546875" style="2" customWidth="1"/>
    <col min="10486" max="10486" width="12.5703125" style="2" customWidth="1"/>
    <col min="10487" max="10487" width="5.140625" style="2" customWidth="1"/>
    <col min="10488" max="10488" width="9.140625" style="2"/>
    <col min="10489" max="10489" width="4.85546875" style="2" customWidth="1"/>
    <col min="10490" max="10490" width="30.5703125" style="2" customWidth="1"/>
    <col min="10491" max="10491" width="33.85546875" style="2" customWidth="1"/>
    <col min="10492" max="10492" width="5.140625" style="2" customWidth="1"/>
    <col min="10493" max="10494" width="17.5703125" style="2" customWidth="1"/>
    <col min="10495" max="10738" width="9.140625" style="2"/>
    <col min="10739" max="10739" width="3.7109375" style="2" customWidth="1"/>
    <col min="10740" max="10740" width="96.85546875" style="2" customWidth="1"/>
    <col min="10741" max="10741" width="30.85546875" style="2" customWidth="1"/>
    <col min="10742" max="10742" width="12.5703125" style="2" customWidth="1"/>
    <col min="10743" max="10743" width="5.140625" style="2" customWidth="1"/>
    <col min="10744" max="10744" width="9.140625" style="2"/>
    <col min="10745" max="10745" width="4.85546875" style="2" customWidth="1"/>
    <col min="10746" max="10746" width="30.5703125" style="2" customWidth="1"/>
    <col min="10747" max="10747" width="33.85546875" style="2" customWidth="1"/>
    <col min="10748" max="10748" width="5.140625" style="2" customWidth="1"/>
    <col min="10749" max="10750" width="17.5703125" style="2" customWidth="1"/>
    <col min="10751" max="10994" width="9.140625" style="2"/>
    <col min="10995" max="10995" width="3.7109375" style="2" customWidth="1"/>
    <col min="10996" max="10996" width="96.85546875" style="2" customWidth="1"/>
    <col min="10997" max="10997" width="30.85546875" style="2" customWidth="1"/>
    <col min="10998" max="10998" width="12.5703125" style="2" customWidth="1"/>
    <col min="10999" max="10999" width="5.140625" style="2" customWidth="1"/>
    <col min="11000" max="11000" width="9.140625" style="2"/>
    <col min="11001" max="11001" width="4.85546875" style="2" customWidth="1"/>
    <col min="11002" max="11002" width="30.5703125" style="2" customWidth="1"/>
    <col min="11003" max="11003" width="33.85546875" style="2" customWidth="1"/>
    <col min="11004" max="11004" width="5.140625" style="2" customWidth="1"/>
    <col min="11005" max="11006" width="17.5703125" style="2" customWidth="1"/>
    <col min="11007" max="11250" width="9.140625" style="2"/>
    <col min="11251" max="11251" width="3.7109375" style="2" customWidth="1"/>
    <col min="11252" max="11252" width="96.85546875" style="2" customWidth="1"/>
    <col min="11253" max="11253" width="30.85546875" style="2" customWidth="1"/>
    <col min="11254" max="11254" width="12.5703125" style="2" customWidth="1"/>
    <col min="11255" max="11255" width="5.140625" style="2" customWidth="1"/>
    <col min="11256" max="11256" width="9.140625" style="2"/>
    <col min="11257" max="11257" width="4.85546875" style="2" customWidth="1"/>
    <col min="11258" max="11258" width="30.5703125" style="2" customWidth="1"/>
    <col min="11259" max="11259" width="33.85546875" style="2" customWidth="1"/>
    <col min="11260" max="11260" width="5.140625" style="2" customWidth="1"/>
    <col min="11261" max="11262" width="17.5703125" style="2" customWidth="1"/>
    <col min="11263" max="11506" width="9.140625" style="2"/>
    <col min="11507" max="11507" width="3.7109375" style="2" customWidth="1"/>
    <col min="11508" max="11508" width="96.85546875" style="2" customWidth="1"/>
    <col min="11509" max="11509" width="30.85546875" style="2" customWidth="1"/>
    <col min="11510" max="11510" width="12.5703125" style="2" customWidth="1"/>
    <col min="11511" max="11511" width="5.140625" style="2" customWidth="1"/>
    <col min="11512" max="11512" width="9.140625" style="2"/>
    <col min="11513" max="11513" width="4.85546875" style="2" customWidth="1"/>
    <col min="11514" max="11514" width="30.5703125" style="2" customWidth="1"/>
    <col min="11515" max="11515" width="33.85546875" style="2" customWidth="1"/>
    <col min="11516" max="11516" width="5.140625" style="2" customWidth="1"/>
    <col min="11517" max="11518" width="17.5703125" style="2" customWidth="1"/>
    <col min="11519" max="11762" width="9.140625" style="2"/>
    <col min="11763" max="11763" width="3.7109375" style="2" customWidth="1"/>
    <col min="11764" max="11764" width="96.85546875" style="2" customWidth="1"/>
    <col min="11765" max="11765" width="30.85546875" style="2" customWidth="1"/>
    <col min="11766" max="11766" width="12.5703125" style="2" customWidth="1"/>
    <col min="11767" max="11767" width="5.140625" style="2" customWidth="1"/>
    <col min="11768" max="11768" width="9.140625" style="2"/>
    <col min="11769" max="11769" width="4.85546875" style="2" customWidth="1"/>
    <col min="11770" max="11770" width="30.5703125" style="2" customWidth="1"/>
    <col min="11771" max="11771" width="33.85546875" style="2" customWidth="1"/>
    <col min="11772" max="11772" width="5.140625" style="2" customWidth="1"/>
    <col min="11773" max="11774" width="17.5703125" style="2" customWidth="1"/>
    <col min="11775" max="12018" width="9.140625" style="2"/>
    <col min="12019" max="12019" width="3.7109375" style="2" customWidth="1"/>
    <col min="12020" max="12020" width="96.85546875" style="2" customWidth="1"/>
    <col min="12021" max="12021" width="30.85546875" style="2" customWidth="1"/>
    <col min="12022" max="12022" width="12.5703125" style="2" customWidth="1"/>
    <col min="12023" max="12023" width="5.140625" style="2" customWidth="1"/>
    <col min="12024" max="12024" width="9.140625" style="2"/>
    <col min="12025" max="12025" width="4.85546875" style="2" customWidth="1"/>
    <col min="12026" max="12026" width="30.5703125" style="2" customWidth="1"/>
    <col min="12027" max="12027" width="33.85546875" style="2" customWidth="1"/>
    <col min="12028" max="12028" width="5.140625" style="2" customWidth="1"/>
    <col min="12029" max="12030" width="17.5703125" style="2" customWidth="1"/>
    <col min="12031" max="12274" width="9.140625" style="2"/>
    <col min="12275" max="12275" width="3.7109375" style="2" customWidth="1"/>
    <col min="12276" max="12276" width="96.85546875" style="2" customWidth="1"/>
    <col min="12277" max="12277" width="30.85546875" style="2" customWidth="1"/>
    <col min="12278" max="12278" width="12.5703125" style="2" customWidth="1"/>
    <col min="12279" max="12279" width="5.140625" style="2" customWidth="1"/>
    <col min="12280" max="12280" width="9.140625" style="2"/>
    <col min="12281" max="12281" width="4.85546875" style="2" customWidth="1"/>
    <col min="12282" max="12282" width="30.5703125" style="2" customWidth="1"/>
    <col min="12283" max="12283" width="33.85546875" style="2" customWidth="1"/>
    <col min="12284" max="12284" width="5.140625" style="2" customWidth="1"/>
    <col min="12285" max="12286" width="17.5703125" style="2" customWidth="1"/>
    <col min="12287" max="12530" width="9.140625" style="2"/>
    <col min="12531" max="12531" width="3.7109375" style="2" customWidth="1"/>
    <col min="12532" max="12532" width="96.85546875" style="2" customWidth="1"/>
    <col min="12533" max="12533" width="30.85546875" style="2" customWidth="1"/>
    <col min="12534" max="12534" width="12.5703125" style="2" customWidth="1"/>
    <col min="12535" max="12535" width="5.140625" style="2" customWidth="1"/>
    <col min="12536" max="12536" width="9.140625" style="2"/>
    <col min="12537" max="12537" width="4.85546875" style="2" customWidth="1"/>
    <col min="12538" max="12538" width="30.5703125" style="2" customWidth="1"/>
    <col min="12539" max="12539" width="33.85546875" style="2" customWidth="1"/>
    <col min="12540" max="12540" width="5.140625" style="2" customWidth="1"/>
    <col min="12541" max="12542" width="17.5703125" style="2" customWidth="1"/>
    <col min="12543" max="12786" width="9.140625" style="2"/>
    <col min="12787" max="12787" width="3.7109375" style="2" customWidth="1"/>
    <col min="12788" max="12788" width="96.85546875" style="2" customWidth="1"/>
    <col min="12789" max="12789" width="30.85546875" style="2" customWidth="1"/>
    <col min="12790" max="12790" width="12.5703125" style="2" customWidth="1"/>
    <col min="12791" max="12791" width="5.140625" style="2" customWidth="1"/>
    <col min="12792" max="12792" width="9.140625" style="2"/>
    <col min="12793" max="12793" width="4.85546875" style="2" customWidth="1"/>
    <col min="12794" max="12794" width="30.5703125" style="2" customWidth="1"/>
    <col min="12795" max="12795" width="33.85546875" style="2" customWidth="1"/>
    <col min="12796" max="12796" width="5.140625" style="2" customWidth="1"/>
    <col min="12797" max="12798" width="17.5703125" style="2" customWidth="1"/>
    <col min="12799" max="13042" width="9.140625" style="2"/>
    <col min="13043" max="13043" width="3.7109375" style="2" customWidth="1"/>
    <col min="13044" max="13044" width="96.85546875" style="2" customWidth="1"/>
    <col min="13045" max="13045" width="30.85546875" style="2" customWidth="1"/>
    <col min="13046" max="13046" width="12.5703125" style="2" customWidth="1"/>
    <col min="13047" max="13047" width="5.140625" style="2" customWidth="1"/>
    <col min="13048" max="13048" width="9.140625" style="2"/>
    <col min="13049" max="13049" width="4.85546875" style="2" customWidth="1"/>
    <col min="13050" max="13050" width="30.5703125" style="2" customWidth="1"/>
    <col min="13051" max="13051" width="33.85546875" style="2" customWidth="1"/>
    <col min="13052" max="13052" width="5.140625" style="2" customWidth="1"/>
    <col min="13053" max="13054" width="17.5703125" style="2" customWidth="1"/>
    <col min="13055" max="13298" width="9.140625" style="2"/>
    <col min="13299" max="13299" width="3.7109375" style="2" customWidth="1"/>
    <col min="13300" max="13300" width="96.85546875" style="2" customWidth="1"/>
    <col min="13301" max="13301" width="30.85546875" style="2" customWidth="1"/>
    <col min="13302" max="13302" width="12.5703125" style="2" customWidth="1"/>
    <col min="13303" max="13303" width="5.140625" style="2" customWidth="1"/>
    <col min="13304" max="13304" width="9.140625" style="2"/>
    <col min="13305" max="13305" width="4.85546875" style="2" customWidth="1"/>
    <col min="13306" max="13306" width="30.5703125" style="2" customWidth="1"/>
    <col min="13307" max="13307" width="33.85546875" style="2" customWidth="1"/>
    <col min="13308" max="13308" width="5.140625" style="2" customWidth="1"/>
    <col min="13309" max="13310" width="17.5703125" style="2" customWidth="1"/>
    <col min="13311" max="13554" width="9.140625" style="2"/>
    <col min="13555" max="13555" width="3.7109375" style="2" customWidth="1"/>
    <col min="13556" max="13556" width="96.85546875" style="2" customWidth="1"/>
    <col min="13557" max="13557" width="30.85546875" style="2" customWidth="1"/>
    <col min="13558" max="13558" width="12.5703125" style="2" customWidth="1"/>
    <col min="13559" max="13559" width="5.140625" style="2" customWidth="1"/>
    <col min="13560" max="13560" width="9.140625" style="2"/>
    <col min="13561" max="13561" width="4.85546875" style="2" customWidth="1"/>
    <col min="13562" max="13562" width="30.5703125" style="2" customWidth="1"/>
    <col min="13563" max="13563" width="33.85546875" style="2" customWidth="1"/>
    <col min="13564" max="13564" width="5.140625" style="2" customWidth="1"/>
    <col min="13565" max="13566" width="17.5703125" style="2" customWidth="1"/>
    <col min="13567" max="13810" width="9.140625" style="2"/>
    <col min="13811" max="13811" width="3.7109375" style="2" customWidth="1"/>
    <col min="13812" max="13812" width="96.85546875" style="2" customWidth="1"/>
    <col min="13813" max="13813" width="30.85546875" style="2" customWidth="1"/>
    <col min="13814" max="13814" width="12.5703125" style="2" customWidth="1"/>
    <col min="13815" max="13815" width="5.140625" style="2" customWidth="1"/>
    <col min="13816" max="13816" width="9.140625" style="2"/>
    <col min="13817" max="13817" width="4.85546875" style="2" customWidth="1"/>
    <col min="13818" max="13818" width="30.5703125" style="2" customWidth="1"/>
    <col min="13819" max="13819" width="33.85546875" style="2" customWidth="1"/>
    <col min="13820" max="13820" width="5.140625" style="2" customWidth="1"/>
    <col min="13821" max="13822" width="17.5703125" style="2" customWidth="1"/>
    <col min="13823" max="14066" width="9.140625" style="2"/>
    <col min="14067" max="14067" width="3.7109375" style="2" customWidth="1"/>
    <col min="14068" max="14068" width="96.85546875" style="2" customWidth="1"/>
    <col min="14069" max="14069" width="30.85546875" style="2" customWidth="1"/>
    <col min="14070" max="14070" width="12.5703125" style="2" customWidth="1"/>
    <col min="14071" max="14071" width="5.140625" style="2" customWidth="1"/>
    <col min="14072" max="14072" width="9.140625" style="2"/>
    <col min="14073" max="14073" width="4.85546875" style="2" customWidth="1"/>
    <col min="14074" max="14074" width="30.5703125" style="2" customWidth="1"/>
    <col min="14075" max="14075" width="33.85546875" style="2" customWidth="1"/>
    <col min="14076" max="14076" width="5.140625" style="2" customWidth="1"/>
    <col min="14077" max="14078" width="17.5703125" style="2" customWidth="1"/>
    <col min="14079" max="14322" width="9.140625" style="2"/>
    <col min="14323" max="14323" width="3.7109375" style="2" customWidth="1"/>
    <col min="14324" max="14324" width="96.85546875" style="2" customWidth="1"/>
    <col min="14325" max="14325" width="30.85546875" style="2" customWidth="1"/>
    <col min="14326" max="14326" width="12.5703125" style="2" customWidth="1"/>
    <col min="14327" max="14327" width="5.140625" style="2" customWidth="1"/>
    <col min="14328" max="14328" width="9.140625" style="2"/>
    <col min="14329" max="14329" width="4.85546875" style="2" customWidth="1"/>
    <col min="14330" max="14330" width="30.5703125" style="2" customWidth="1"/>
    <col min="14331" max="14331" width="33.85546875" style="2" customWidth="1"/>
    <col min="14332" max="14332" width="5.140625" style="2" customWidth="1"/>
    <col min="14333" max="14334" width="17.5703125" style="2" customWidth="1"/>
    <col min="14335" max="14578" width="9.140625" style="2"/>
    <col min="14579" max="14579" width="3.7109375" style="2" customWidth="1"/>
    <col min="14580" max="14580" width="96.85546875" style="2" customWidth="1"/>
    <col min="14581" max="14581" width="30.85546875" style="2" customWidth="1"/>
    <col min="14582" max="14582" width="12.5703125" style="2" customWidth="1"/>
    <col min="14583" max="14583" width="5.140625" style="2" customWidth="1"/>
    <col min="14584" max="14584" width="9.140625" style="2"/>
    <col min="14585" max="14585" width="4.85546875" style="2" customWidth="1"/>
    <col min="14586" max="14586" width="30.5703125" style="2" customWidth="1"/>
    <col min="14587" max="14587" width="33.85546875" style="2" customWidth="1"/>
    <col min="14588" max="14588" width="5.140625" style="2" customWidth="1"/>
    <col min="14589" max="14590" width="17.5703125" style="2" customWidth="1"/>
    <col min="14591" max="14834" width="9.140625" style="2"/>
    <col min="14835" max="14835" width="3.7109375" style="2" customWidth="1"/>
    <col min="14836" max="14836" width="96.85546875" style="2" customWidth="1"/>
    <col min="14837" max="14837" width="30.85546875" style="2" customWidth="1"/>
    <col min="14838" max="14838" width="12.5703125" style="2" customWidth="1"/>
    <col min="14839" max="14839" width="5.140625" style="2" customWidth="1"/>
    <col min="14840" max="14840" width="9.140625" style="2"/>
    <col min="14841" max="14841" width="4.85546875" style="2" customWidth="1"/>
    <col min="14842" max="14842" width="30.5703125" style="2" customWidth="1"/>
    <col min="14843" max="14843" width="33.85546875" style="2" customWidth="1"/>
    <col min="14844" max="14844" width="5.140625" style="2" customWidth="1"/>
    <col min="14845" max="14846" width="17.5703125" style="2" customWidth="1"/>
    <col min="14847" max="15090" width="9.140625" style="2"/>
    <col min="15091" max="15091" width="3.7109375" style="2" customWidth="1"/>
    <col min="15092" max="15092" width="96.85546875" style="2" customWidth="1"/>
    <col min="15093" max="15093" width="30.85546875" style="2" customWidth="1"/>
    <col min="15094" max="15094" width="12.5703125" style="2" customWidth="1"/>
    <col min="15095" max="15095" width="5.140625" style="2" customWidth="1"/>
    <col min="15096" max="15096" width="9.140625" style="2"/>
    <col min="15097" max="15097" width="4.85546875" style="2" customWidth="1"/>
    <col min="15098" max="15098" width="30.5703125" style="2" customWidth="1"/>
    <col min="15099" max="15099" width="33.85546875" style="2" customWidth="1"/>
    <col min="15100" max="15100" width="5.140625" style="2" customWidth="1"/>
    <col min="15101" max="15102" width="17.5703125" style="2" customWidth="1"/>
    <col min="15103" max="15346" width="9.140625" style="2"/>
    <col min="15347" max="15347" width="3.7109375" style="2" customWidth="1"/>
    <col min="15348" max="15348" width="96.85546875" style="2" customWidth="1"/>
    <col min="15349" max="15349" width="30.85546875" style="2" customWidth="1"/>
    <col min="15350" max="15350" width="12.5703125" style="2" customWidth="1"/>
    <col min="15351" max="15351" width="5.140625" style="2" customWidth="1"/>
    <col min="15352" max="15352" width="9.140625" style="2"/>
    <col min="15353" max="15353" width="4.85546875" style="2" customWidth="1"/>
    <col min="15354" max="15354" width="30.5703125" style="2" customWidth="1"/>
    <col min="15355" max="15355" width="33.85546875" style="2" customWidth="1"/>
    <col min="15356" max="15356" width="5.140625" style="2" customWidth="1"/>
    <col min="15357" max="15358" width="17.5703125" style="2" customWidth="1"/>
    <col min="15359" max="15602" width="9.140625" style="2"/>
    <col min="15603" max="15603" width="3.7109375" style="2" customWidth="1"/>
    <col min="15604" max="15604" width="96.85546875" style="2" customWidth="1"/>
    <col min="15605" max="15605" width="30.85546875" style="2" customWidth="1"/>
    <col min="15606" max="15606" width="12.5703125" style="2" customWidth="1"/>
    <col min="15607" max="15607" width="5.140625" style="2" customWidth="1"/>
    <col min="15608" max="15608" width="9.140625" style="2"/>
    <col min="15609" max="15609" width="4.85546875" style="2" customWidth="1"/>
    <col min="15610" max="15610" width="30.5703125" style="2" customWidth="1"/>
    <col min="15611" max="15611" width="33.85546875" style="2" customWidth="1"/>
    <col min="15612" max="15612" width="5.140625" style="2" customWidth="1"/>
    <col min="15613" max="15614" width="17.5703125" style="2" customWidth="1"/>
    <col min="15615" max="15858" width="9.140625" style="2"/>
    <col min="15859" max="15859" width="3.7109375" style="2" customWidth="1"/>
    <col min="15860" max="15860" width="96.85546875" style="2" customWidth="1"/>
    <col min="15861" max="15861" width="30.85546875" style="2" customWidth="1"/>
    <col min="15862" max="15862" width="12.5703125" style="2" customWidth="1"/>
    <col min="15863" max="15863" width="5.140625" style="2" customWidth="1"/>
    <col min="15864" max="15864" width="9.140625" style="2"/>
    <col min="15865" max="15865" width="4.85546875" style="2" customWidth="1"/>
    <col min="15866" max="15866" width="30.5703125" style="2" customWidth="1"/>
    <col min="15867" max="15867" width="33.85546875" style="2" customWidth="1"/>
    <col min="15868" max="15868" width="5.140625" style="2" customWidth="1"/>
    <col min="15869" max="15870" width="17.5703125" style="2" customWidth="1"/>
    <col min="15871" max="16114" width="9.140625" style="2"/>
    <col min="16115" max="16115" width="3.7109375" style="2" customWidth="1"/>
    <col min="16116" max="16116" width="96.85546875" style="2" customWidth="1"/>
    <col min="16117" max="16117" width="30.85546875" style="2" customWidth="1"/>
    <col min="16118" max="16118" width="12.5703125" style="2" customWidth="1"/>
    <col min="16119" max="16119" width="5.140625" style="2" customWidth="1"/>
    <col min="16120" max="16120" width="9.140625" style="2"/>
    <col min="16121" max="16121" width="4.85546875" style="2" customWidth="1"/>
    <col min="16122" max="16122" width="30.5703125" style="2" customWidth="1"/>
    <col min="16123" max="16123" width="33.85546875" style="2" customWidth="1"/>
    <col min="16124" max="16124" width="5.140625" style="2" customWidth="1"/>
    <col min="16125" max="16126" width="17.5703125" style="2" customWidth="1"/>
    <col min="16127"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[15]И1!D13</f>
        <v>Субъект Российской Федерации</v>
      </c>
      <c r="C4" s="10" t="str">
        <f>[15]И1!E13</f>
        <v>Новосибирская область</v>
      </c>
    </row>
    <row r="5" spans="1:3" ht="15.95" customHeight="1">
      <c r="A5" s="8"/>
      <c r="B5" s="9" t="str">
        <f>[15]И1!D14</f>
        <v>Тип муниципального образования (выберите из списка)</v>
      </c>
      <c r="C5" s="10" t="str">
        <f>[15]И1!E14</f>
        <v>дачный поселок Кудряшовский, Новосибирский муниципальный район</v>
      </c>
    </row>
    <row r="6" spans="1:3">
      <c r="A6" s="8"/>
      <c r="B6" s="9" t="str">
        <f>IF([15]И1!E15="","",[15]И1!D15)</f>
        <v/>
      </c>
      <c r="C6" s="7" t="str">
        <f>IF([15]И1!E15="","",[15]И1!E15)</f>
        <v/>
      </c>
    </row>
    <row r="7" spans="1:3">
      <c r="A7" s="8"/>
      <c r="B7" s="9" t="str">
        <f>[15]И1!D16</f>
        <v>Код ОКТМО</v>
      </c>
      <c r="C7" s="11" t="str">
        <f>[15]И1!E16</f>
        <v xml:space="preserve"> 50640425101</v>
      </c>
    </row>
    <row r="8" spans="1:3">
      <c r="A8" s="8"/>
      <c r="B8" s="12" t="str">
        <f>[15]И1!D17</f>
        <v>Система теплоснабжения</v>
      </c>
      <c r="C8" s="13">
        <f>[15]И1!E17</f>
        <v>0</v>
      </c>
    </row>
    <row r="9" spans="1:3">
      <c r="A9" s="8"/>
      <c r="B9" s="9" t="str">
        <f>[15]И1!D8</f>
        <v>Период регулирования (i)-й</v>
      </c>
      <c r="C9" s="14">
        <f>[15]И1!E8</f>
        <v>2024</v>
      </c>
    </row>
    <row r="10" spans="1:3">
      <c r="A10" s="8"/>
      <c r="B10" s="9" t="str">
        <f>[15]И1!D9</f>
        <v>Период регулирования (i-1)-й</v>
      </c>
      <c r="C10" s="14">
        <f>[15]И1!E9</f>
        <v>2023</v>
      </c>
    </row>
    <row r="11" spans="1:3">
      <c r="A11" s="8"/>
      <c r="B11" s="9" t="str">
        <f>[15]И1!D10</f>
        <v>Период регулирования (i-2)-й</v>
      </c>
      <c r="C11" s="14">
        <f>[15]И1!E10</f>
        <v>2022</v>
      </c>
    </row>
    <row r="12" spans="1:3">
      <c r="A12" s="8"/>
      <c r="B12" s="9" t="str">
        <f>[15]И1!D11</f>
        <v>Базовый год (б)</v>
      </c>
      <c r="C12" s="14">
        <f>[15]И1!E11</f>
        <v>2019</v>
      </c>
    </row>
    <row r="13" spans="1:3">
      <c r="A13" s="8"/>
      <c r="B13" s="9" t="str">
        <f>[15]И1!D18</f>
        <v>Вид топлива, использование которого преобладает в системе теплоснабжения</v>
      </c>
      <c r="C13" s="15" t="str">
        <f>[15]И1!E18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2965.8763022190569</v>
      </c>
    </row>
    <row r="18" spans="1:3" ht="42.75">
      <c r="A18" s="22" t="s">
        <v>8</v>
      </c>
      <c r="B18" s="25" t="s">
        <v>9</v>
      </c>
      <c r="C18" s="26">
        <f>[15]С1!F12</f>
        <v>994.35037159416254</v>
      </c>
    </row>
    <row r="19" spans="1:3" ht="42.75">
      <c r="A19" s="22" t="s">
        <v>10</v>
      </c>
      <c r="B19" s="25" t="s">
        <v>11</v>
      </c>
      <c r="C19" s="26">
        <f>[15]С2!F12</f>
        <v>1337.1646821037446</v>
      </c>
    </row>
    <row r="20" spans="1:3" ht="30">
      <c r="A20" s="22" t="s">
        <v>12</v>
      </c>
      <c r="B20" s="25" t="s">
        <v>13</v>
      </c>
      <c r="C20" s="26">
        <f>[15]С3!F12</f>
        <v>317.6025648848447</v>
      </c>
    </row>
    <row r="21" spans="1:3" ht="42.75">
      <c r="A21" s="22" t="s">
        <v>14</v>
      </c>
      <c r="B21" s="25" t="s">
        <v>228</v>
      </c>
      <c r="C21" s="26">
        <f>[15]С4!F12</f>
        <v>258.60424633789228</v>
      </c>
    </row>
    <row r="22" spans="1:3" ht="33" customHeight="1">
      <c r="A22" s="22" t="s">
        <v>16</v>
      </c>
      <c r="B22" s="25" t="s">
        <v>229</v>
      </c>
      <c r="C22" s="26">
        <f>[15]С5!F12</f>
        <v>58.15443729841288</v>
      </c>
    </row>
    <row r="23" spans="1:3" ht="45.75" customHeight="1" thickBot="1">
      <c r="A23" s="27" t="s">
        <v>18</v>
      </c>
      <c r="B23" s="141" t="s">
        <v>230</v>
      </c>
      <c r="C23" s="28">
        <f>[15]С6!F12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[15]С1.1!E16</f>
        <v>7900</v>
      </c>
    </row>
    <row r="29" spans="1:3" ht="42.75">
      <c r="A29" s="22" t="s">
        <v>10</v>
      </c>
      <c r="B29" s="33" t="s">
        <v>232</v>
      </c>
      <c r="C29" s="34">
        <f>[15]С1.1!E32</f>
        <v>5751.37</v>
      </c>
    </row>
    <row r="30" spans="1:3" ht="38.25">
      <c r="A30" s="22" t="s">
        <v>233</v>
      </c>
      <c r="B30" s="33" t="s">
        <v>234</v>
      </c>
      <c r="C30" s="85" t="str">
        <f>[15]С1.1!E25</f>
        <v>ООО "Газпром газораспределение Томск"</v>
      </c>
    </row>
    <row r="31" spans="1:3" ht="38.25">
      <c r="A31" s="22" t="s">
        <v>235</v>
      </c>
      <c r="B31" s="33" t="str">
        <f>[15]С1.1!D26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[15]С1.1!E26</f>
        <v>4699.5</v>
      </c>
    </row>
    <row r="32" spans="1:3" ht="25.5">
      <c r="A32" s="22" t="s">
        <v>236</v>
      </c>
      <c r="B32" s="33" t="str">
        <f>[15]С1.1!D27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[15]С1.1!E27</f>
        <v>795.43</v>
      </c>
    </row>
    <row r="33" spans="1:3" ht="25.5">
      <c r="A33" s="22" t="s">
        <v>237</v>
      </c>
      <c r="B33" s="33" t="str">
        <f>[15]С1.1!D28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[15]С1.1!E28</f>
        <v>136.54</v>
      </c>
    </row>
    <row r="34" spans="1:3" ht="38.25">
      <c r="A34" s="22" t="s">
        <v>238</v>
      </c>
      <c r="B34" s="33" t="str">
        <f>[15]С1.1!D29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[15]С1.1!E29</f>
        <v>119.9</v>
      </c>
    </row>
    <row r="35" spans="1:3" ht="17.25">
      <c r="A35" s="22" t="s">
        <v>12</v>
      </c>
      <c r="B35" s="33" t="s">
        <v>23</v>
      </c>
      <c r="C35" s="35">
        <f>[15]С1.1!E20</f>
        <v>8.5000000000000006E-2</v>
      </c>
    </row>
    <row r="36" spans="1:3" ht="17.25">
      <c r="A36" s="22" t="s">
        <v>14</v>
      </c>
      <c r="B36" s="33" t="s">
        <v>24</v>
      </c>
      <c r="C36" s="35">
        <f>[15]С1.1!E21</f>
        <v>0.112</v>
      </c>
    </row>
    <row r="37" spans="1:3" ht="30">
      <c r="A37" s="22" t="s">
        <v>16</v>
      </c>
      <c r="B37" s="36" t="s">
        <v>239</v>
      </c>
      <c r="C37" s="121">
        <f>[15]С1!F13</f>
        <v>156.1</v>
      </c>
    </row>
    <row r="38" spans="1:3">
      <c r="A38" s="22" t="s">
        <v>18</v>
      </c>
      <c r="B38" s="36" t="s">
        <v>26</v>
      </c>
      <c r="C38" s="38">
        <f>[15]С1!F16</f>
        <v>7000</v>
      </c>
    </row>
    <row r="39" spans="1:3" ht="14.25">
      <c r="A39" s="122" t="s">
        <v>27</v>
      </c>
      <c r="B39" s="39" t="s">
        <v>240</v>
      </c>
      <c r="C39" s="40">
        <f>[15]С1!F17</f>
        <v>1.1285714285714286</v>
      </c>
    </row>
    <row r="40" spans="1:3" ht="15.75">
      <c r="A40" s="123" t="s">
        <v>29</v>
      </c>
      <c r="B40" s="42" t="s">
        <v>30</v>
      </c>
      <c r="C40" s="40">
        <f>[15]С1!F20</f>
        <v>22.307053372799995</v>
      </c>
    </row>
    <row r="41" spans="1:3" ht="15.75">
      <c r="A41" s="123" t="s">
        <v>31</v>
      </c>
      <c r="B41" s="43" t="s">
        <v>32</v>
      </c>
      <c r="C41" s="40">
        <f>[15]С1!F21</f>
        <v>21.531904799999996</v>
      </c>
    </row>
    <row r="42" spans="1:3" ht="14.25">
      <c r="A42" s="123" t="s">
        <v>33</v>
      </c>
      <c r="B42" s="44" t="s">
        <v>34</v>
      </c>
      <c r="C42" s="40">
        <f>[15]С1!F22</f>
        <v>1.036</v>
      </c>
    </row>
    <row r="43" spans="1:3" ht="53.25" thickBot="1">
      <c r="A43" s="27" t="s">
        <v>35</v>
      </c>
      <c r="B43" s="45" t="s">
        <v>36</v>
      </c>
      <c r="C43" s="46" t="str">
        <f>[15]С1!F23</f>
        <v>-</v>
      </c>
    </row>
    <row r="44" spans="1:3" ht="13.5" thickBot="1">
      <c r="A44" s="47"/>
      <c r="B44" s="75"/>
      <c r="C44" s="15"/>
    </row>
    <row r="45" spans="1:3" ht="30" customHeight="1">
      <c r="A45" s="50" t="s">
        <v>37</v>
      </c>
      <c r="B45" s="145" t="s">
        <v>38</v>
      </c>
      <c r="C45" s="145"/>
    </row>
    <row r="46" spans="1:3" ht="25.5">
      <c r="A46" s="22" t="s">
        <v>39</v>
      </c>
      <c r="B46" s="36" t="s">
        <v>40</v>
      </c>
      <c r="C46" s="51" t="str">
        <f>[15]С2.1!E12</f>
        <v>V</v>
      </c>
    </row>
    <row r="47" spans="1:3" ht="25.5">
      <c r="A47" s="22" t="s">
        <v>41</v>
      </c>
      <c r="B47" s="33" t="s">
        <v>42</v>
      </c>
      <c r="C47" s="51" t="str">
        <f>[15]С2.1!E13</f>
        <v>6 и менее баллов</v>
      </c>
    </row>
    <row r="48" spans="1:3" ht="25.5">
      <c r="A48" s="22" t="s">
        <v>43</v>
      </c>
      <c r="B48" s="33" t="s">
        <v>241</v>
      </c>
      <c r="C48" s="51" t="str">
        <f>[15]С2.1!E14</f>
        <v>от 200 до 500</v>
      </c>
    </row>
    <row r="49" spans="1:3" ht="25.5">
      <c r="A49" s="22" t="s">
        <v>45</v>
      </c>
      <c r="B49" s="33" t="s">
        <v>242</v>
      </c>
      <c r="C49" s="52" t="str">
        <f>[15]С2.1!E15</f>
        <v>нет</v>
      </c>
    </row>
    <row r="50" spans="1:3" ht="30">
      <c r="A50" s="22" t="s">
        <v>47</v>
      </c>
      <c r="B50" s="33" t="s">
        <v>48</v>
      </c>
      <c r="C50" s="34">
        <f>[15]С2!F18</f>
        <v>35106.652004551666</v>
      </c>
    </row>
    <row r="51" spans="1:3" ht="30">
      <c r="A51" s="22" t="s">
        <v>49</v>
      </c>
      <c r="B51" s="53" t="s">
        <v>50</v>
      </c>
      <c r="C51" s="34">
        <f>IF([15]С2!F19&gt;0,[15]С2!F19,[15]С2!F20)</f>
        <v>23441.524932855718</v>
      </c>
    </row>
    <row r="52" spans="1:3" ht="25.5">
      <c r="A52" s="22" t="s">
        <v>51</v>
      </c>
      <c r="B52" s="54" t="s">
        <v>52</v>
      </c>
      <c r="C52" s="34">
        <f>[15]С2.1!E20</f>
        <v>-37</v>
      </c>
    </row>
    <row r="53" spans="1:3" ht="25.5">
      <c r="A53" s="22" t="s">
        <v>53</v>
      </c>
      <c r="B53" s="54" t="s">
        <v>54</v>
      </c>
      <c r="C53" s="34" t="str">
        <f>[15]С2.1!E23</f>
        <v>нет</v>
      </c>
    </row>
    <row r="54" spans="1:3" ht="38.25">
      <c r="A54" s="22" t="s">
        <v>55</v>
      </c>
      <c r="B54" s="55" t="s">
        <v>56</v>
      </c>
      <c r="C54" s="34">
        <f>[15]С2.2!E10</f>
        <v>1287</v>
      </c>
    </row>
    <row r="55" spans="1:3" ht="25.5">
      <c r="A55" s="22" t="s">
        <v>57</v>
      </c>
      <c r="B55" s="56" t="s">
        <v>58</v>
      </c>
      <c r="C55" s="34">
        <f>[15]С2.2!E12</f>
        <v>5.97</v>
      </c>
    </row>
    <row r="56" spans="1:3" ht="52.5">
      <c r="A56" s="22" t="s">
        <v>59</v>
      </c>
      <c r="B56" s="57" t="s">
        <v>60</v>
      </c>
      <c r="C56" s="34">
        <f>[15]С2.2!E13</f>
        <v>1</v>
      </c>
    </row>
    <row r="57" spans="1:3" ht="27.75">
      <c r="A57" s="22" t="s">
        <v>61</v>
      </c>
      <c r="B57" s="56" t="s">
        <v>62</v>
      </c>
      <c r="C57" s="34">
        <f>[15]С2.2!E14</f>
        <v>12104</v>
      </c>
    </row>
    <row r="58" spans="1:3" ht="25.5">
      <c r="A58" s="22" t="s">
        <v>63</v>
      </c>
      <c r="B58" s="57" t="s">
        <v>64</v>
      </c>
      <c r="C58" s="35">
        <f>[15]С2.2!E15</f>
        <v>4.8000000000000001E-2</v>
      </c>
    </row>
    <row r="59" spans="1:3">
      <c r="A59" s="22" t="s">
        <v>65</v>
      </c>
      <c r="B59" s="57" t="s">
        <v>66</v>
      </c>
      <c r="C59" s="124">
        <f>[15]С2.2!E16</f>
        <v>1</v>
      </c>
    </row>
    <row r="60" spans="1:3" ht="15.75">
      <c r="A60" s="22" t="s">
        <v>67</v>
      </c>
      <c r="B60" s="58" t="s">
        <v>68</v>
      </c>
      <c r="C60" s="34">
        <f>[15]С2!F21</f>
        <v>1</v>
      </c>
    </row>
    <row r="61" spans="1:3" ht="30">
      <c r="A61" s="59" t="s">
        <v>69</v>
      </c>
      <c r="B61" s="33" t="s">
        <v>243</v>
      </c>
      <c r="C61" s="34">
        <f>[15]С2!F13</f>
        <v>105136.23090983224</v>
      </c>
    </row>
    <row r="62" spans="1:3" ht="30">
      <c r="A62" s="59" t="s">
        <v>71</v>
      </c>
      <c r="B62" s="60" t="s">
        <v>244</v>
      </c>
      <c r="C62" s="34">
        <f>[15]С2!F14</f>
        <v>64899</v>
      </c>
    </row>
    <row r="63" spans="1:3" ht="15.75">
      <c r="A63" s="59" t="s">
        <v>73</v>
      </c>
      <c r="B63" s="60" t="s">
        <v>74</v>
      </c>
      <c r="C63" s="40">
        <f>[15]С2!F15</f>
        <v>1.071</v>
      </c>
    </row>
    <row r="64" spans="1:3" ht="15.75">
      <c r="A64" s="59" t="s">
        <v>75</v>
      </c>
      <c r="B64" s="60" t="s">
        <v>76</v>
      </c>
      <c r="C64" s="125">
        <f>[15]С2!F16</f>
        <v>1</v>
      </c>
    </row>
    <row r="65" spans="1:3" ht="17.25">
      <c r="A65" s="59" t="s">
        <v>77</v>
      </c>
      <c r="B65" s="60" t="s">
        <v>78</v>
      </c>
      <c r="C65" s="126">
        <f>[15]С2!F17</f>
        <v>1.01</v>
      </c>
    </row>
    <row r="66" spans="1:3" s="63" customFormat="1" ht="14.25">
      <c r="A66" s="59" t="s">
        <v>79</v>
      </c>
      <c r="B66" s="61" t="s">
        <v>80</v>
      </c>
      <c r="C66" s="62">
        <f>[15]С2!F35</f>
        <v>10</v>
      </c>
    </row>
    <row r="67" spans="1:3" ht="30">
      <c r="A67" s="59" t="s">
        <v>81</v>
      </c>
      <c r="B67" s="64" t="s">
        <v>82</v>
      </c>
      <c r="C67" s="34">
        <f>[15]С2!F28</f>
        <v>141.64867100230373</v>
      </c>
    </row>
    <row r="68" spans="1:3" ht="17.25">
      <c r="A68" s="59" t="s">
        <v>83</v>
      </c>
      <c r="B68" s="53" t="s">
        <v>245</v>
      </c>
      <c r="C68" s="40">
        <f>[15]С2!F29</f>
        <v>0.18916419899999998</v>
      </c>
    </row>
    <row r="69" spans="1:3" ht="17.25">
      <c r="A69" s="59" t="s">
        <v>85</v>
      </c>
      <c r="B69" s="58" t="s">
        <v>246</v>
      </c>
      <c r="C69" s="62">
        <f>[15]С2!F30</f>
        <v>500</v>
      </c>
    </row>
    <row r="70" spans="1:3" ht="42.75">
      <c r="A70" s="59" t="s">
        <v>87</v>
      </c>
      <c r="B70" s="33" t="s">
        <v>247</v>
      </c>
      <c r="C70" s="34">
        <f>[15]С2!F22</f>
        <v>39638.324046481182</v>
      </c>
    </row>
    <row r="71" spans="1:3" ht="30">
      <c r="A71" s="59" t="s">
        <v>89</v>
      </c>
      <c r="B71" s="60" t="s">
        <v>248</v>
      </c>
      <c r="C71" s="34">
        <f>[15]С2!F23</f>
        <v>21</v>
      </c>
    </row>
    <row r="72" spans="1:3" ht="30">
      <c r="A72" s="59" t="s">
        <v>91</v>
      </c>
      <c r="B72" s="53" t="s">
        <v>92</v>
      </c>
      <c r="C72" s="34">
        <f>[15]С2.1!E28</f>
        <v>14036.09995</v>
      </c>
    </row>
    <row r="73" spans="1:3" ht="38.25">
      <c r="A73" s="59" t="s">
        <v>93</v>
      </c>
      <c r="B73" s="65" t="s">
        <v>94</v>
      </c>
      <c r="C73" s="52">
        <f>[15]С2.3!E21</f>
        <v>0</v>
      </c>
    </row>
    <row r="74" spans="1:3" ht="25.5">
      <c r="A74" s="59" t="s">
        <v>95</v>
      </c>
      <c r="B74" s="66" t="s">
        <v>96</v>
      </c>
      <c r="C74" s="67">
        <f>[15]С2.3!E11</f>
        <v>5.45</v>
      </c>
    </row>
    <row r="75" spans="1:3" ht="25.5">
      <c r="A75" s="59" t="s">
        <v>97</v>
      </c>
      <c r="B75" s="66" t="s">
        <v>98</v>
      </c>
      <c r="C75" s="62">
        <f>[15]С2.3!E13</f>
        <v>300</v>
      </c>
    </row>
    <row r="76" spans="1:3" ht="25.5">
      <c r="A76" s="59" t="s">
        <v>99</v>
      </c>
      <c r="B76" s="65" t="s">
        <v>100</v>
      </c>
      <c r="C76" s="68">
        <f>IF([15]С2.3!E22&gt;0,[15]С2.3!E22,[15]С2.3!E14)</f>
        <v>61211</v>
      </c>
    </row>
    <row r="77" spans="1:3" ht="38.25">
      <c r="A77" s="59" t="s">
        <v>101</v>
      </c>
      <c r="B77" s="65" t="s">
        <v>102</v>
      </c>
      <c r="C77" s="68">
        <f>IF([15]С2.3!E23&gt;0,[15]С2.3!E23,[15]С2.3!E15)</f>
        <v>45675</v>
      </c>
    </row>
    <row r="78" spans="1:3" ht="30">
      <c r="A78" s="59" t="s">
        <v>103</v>
      </c>
      <c r="B78" s="53" t="s">
        <v>104</v>
      </c>
      <c r="C78" s="34">
        <f>[15]С2.1!E29</f>
        <v>9518.3274000000001</v>
      </c>
    </row>
    <row r="79" spans="1:3" ht="38.25">
      <c r="A79" s="59" t="s">
        <v>105</v>
      </c>
      <c r="B79" s="65" t="s">
        <v>106</v>
      </c>
      <c r="C79" s="52">
        <f>[15]С2.3!E25</f>
        <v>0</v>
      </c>
    </row>
    <row r="80" spans="1:3" ht="25.5">
      <c r="A80" s="59" t="s">
        <v>107</v>
      </c>
      <c r="B80" s="66" t="s">
        <v>108</v>
      </c>
      <c r="C80" s="67">
        <f>[15]С2.3!E12</f>
        <v>0.2</v>
      </c>
    </row>
    <row r="81" spans="1:3" ht="25.5">
      <c r="A81" s="59" t="s">
        <v>109</v>
      </c>
      <c r="B81" s="66" t="s">
        <v>98</v>
      </c>
      <c r="C81" s="62">
        <f>[15]С2.3!E13</f>
        <v>300</v>
      </c>
    </row>
    <row r="82" spans="1:3" ht="25.5">
      <c r="A82" s="59" t="s">
        <v>110</v>
      </c>
      <c r="B82" s="69" t="s">
        <v>111</v>
      </c>
      <c r="C82" s="68">
        <f>IF([15]С2.3!E26&gt;0,[15]С2.3!E26,[15]С2.3!E16)</f>
        <v>65637</v>
      </c>
    </row>
    <row r="83" spans="1:3" ht="38.25">
      <c r="A83" s="59" t="s">
        <v>112</v>
      </c>
      <c r="B83" s="69" t="s">
        <v>113</v>
      </c>
      <c r="C83" s="68">
        <f>IF([15]С2.3!E27&gt;0,[15]С2.3!E27,[15]С2.3!E17)</f>
        <v>31684</v>
      </c>
    </row>
    <row r="84" spans="1:3" ht="30">
      <c r="A84" s="59" t="s">
        <v>249</v>
      </c>
      <c r="B84" s="60" t="s">
        <v>250</v>
      </c>
      <c r="C84" s="68">
        <f>IF([15]С2.1!E19&gt;0,[15]С2.1!E19,[15]С2!F26)</f>
        <v>2892</v>
      </c>
    </row>
    <row r="85" spans="1:3" ht="17.25">
      <c r="A85" s="59" t="s">
        <v>114</v>
      </c>
      <c r="B85" s="33" t="s">
        <v>115</v>
      </c>
      <c r="C85" s="35">
        <f>[15]С2!F31</f>
        <v>9.5962865259740182E-2</v>
      </c>
    </row>
    <row r="86" spans="1:3" ht="30">
      <c r="A86" s="59" t="s">
        <v>116</v>
      </c>
      <c r="B86" s="53" t="s">
        <v>117</v>
      </c>
      <c r="C86" s="70">
        <f>[15]С2!F32</f>
        <v>8.4029304029304031E-2</v>
      </c>
    </row>
    <row r="87" spans="1:3" ht="17.25">
      <c r="A87" s="59" t="s">
        <v>118</v>
      </c>
      <c r="B87" s="71" t="s">
        <v>119</v>
      </c>
      <c r="C87" s="35">
        <f>[15]С2!F33</f>
        <v>0.13880000000000001</v>
      </c>
    </row>
    <row r="88" spans="1:3" s="63" customFormat="1" ht="18" thickBot="1">
      <c r="A88" s="72" t="s">
        <v>120</v>
      </c>
      <c r="B88" s="73" t="s">
        <v>121</v>
      </c>
      <c r="C88" s="74">
        <f>[15]С2!F34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[15]С3!F14</f>
        <v>4199.9055432306041</v>
      </c>
    </row>
    <row r="92" spans="1:3" s="63" customFormat="1" ht="42.75">
      <c r="A92" s="77" t="s">
        <v>126</v>
      </c>
      <c r="B92" s="53" t="s">
        <v>127</v>
      </c>
      <c r="C92" s="78">
        <f>[15]С3!F15</f>
        <v>0.2</v>
      </c>
    </row>
    <row r="93" spans="1:3" s="63" customFormat="1" ht="14.25">
      <c r="A93" s="77" t="s">
        <v>128</v>
      </c>
      <c r="B93" s="79" t="s">
        <v>129</v>
      </c>
      <c r="C93" s="62">
        <f>[15]С3!F18</f>
        <v>15</v>
      </c>
    </row>
    <row r="94" spans="1:3" s="63" customFormat="1" ht="17.25">
      <c r="A94" s="77" t="s">
        <v>130</v>
      </c>
      <c r="B94" s="33" t="s">
        <v>131</v>
      </c>
      <c r="C94" s="34">
        <f>[15]С3!F19</f>
        <v>2638.2577020926874</v>
      </c>
    </row>
    <row r="95" spans="1:3" s="63" customFormat="1" ht="55.5">
      <c r="A95" s="77" t="s">
        <v>132</v>
      </c>
      <c r="B95" s="53" t="s">
        <v>133</v>
      </c>
      <c r="C95" s="80">
        <f>[15]С3!F20</f>
        <v>2.1999999999999999E-2</v>
      </c>
    </row>
    <row r="96" spans="1:3" s="63" customFormat="1" ht="14.25">
      <c r="A96" s="77" t="s">
        <v>134</v>
      </c>
      <c r="B96" s="58" t="s">
        <v>80</v>
      </c>
      <c r="C96" s="62">
        <f>[15]С3!F21</f>
        <v>10</v>
      </c>
    </row>
    <row r="97" spans="1:3" s="63" customFormat="1" ht="17.25">
      <c r="A97" s="77" t="s">
        <v>135</v>
      </c>
      <c r="B97" s="33" t="s">
        <v>136</v>
      </c>
      <c r="C97" s="34">
        <f>[15]С3!F22</f>
        <v>0.42494601300691121</v>
      </c>
    </row>
    <row r="98" spans="1:3" s="63" customFormat="1" ht="55.5">
      <c r="A98" s="77" t="s">
        <v>137</v>
      </c>
      <c r="B98" s="53" t="s">
        <v>138</v>
      </c>
      <c r="C98" s="80">
        <f>[15]С3!F23</f>
        <v>3.0000000000000001E-3</v>
      </c>
    </row>
    <row r="99" spans="1:3" s="63" customFormat="1" ht="30.75" thickBot="1">
      <c r="A99" s="81" t="s">
        <v>139</v>
      </c>
      <c r="B99" s="82" t="s">
        <v>82</v>
      </c>
      <c r="C99" s="83">
        <f>[15]С3!F24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[15]С4!F16</f>
        <v>832.33500000000004</v>
      </c>
    </row>
    <row r="103" spans="1:3" ht="30">
      <c r="A103" s="59" t="s">
        <v>145</v>
      </c>
      <c r="B103" s="58" t="s">
        <v>252</v>
      </c>
      <c r="C103" s="34">
        <f>[15]С4!F17</f>
        <v>43385</v>
      </c>
    </row>
    <row r="104" spans="1:3" ht="17.25">
      <c r="A104" s="59" t="s">
        <v>147</v>
      </c>
      <c r="B104" s="58" t="s">
        <v>148</v>
      </c>
      <c r="C104" s="40">
        <f>[15]С4!F18</f>
        <v>1.4999999999999999E-2</v>
      </c>
    </row>
    <row r="105" spans="1:3" ht="30">
      <c r="A105" s="59" t="s">
        <v>149</v>
      </c>
      <c r="B105" s="58" t="s">
        <v>150</v>
      </c>
      <c r="C105" s="34">
        <f>[15]С4!F19</f>
        <v>12104</v>
      </c>
    </row>
    <row r="106" spans="1:3" ht="31.5">
      <c r="A106" s="59" t="s">
        <v>151</v>
      </c>
      <c r="B106" s="58" t="s">
        <v>152</v>
      </c>
      <c r="C106" s="40">
        <f>[15]С4!F20</f>
        <v>1.4999999999999999E-2</v>
      </c>
    </row>
    <row r="107" spans="1:3" ht="30">
      <c r="A107" s="59" t="s">
        <v>153</v>
      </c>
      <c r="B107" s="33" t="s">
        <v>253</v>
      </c>
      <c r="C107" s="34">
        <f>[15]С4!F21</f>
        <v>1221.9019409821399</v>
      </c>
    </row>
    <row r="108" spans="1:3" ht="45.6" customHeight="1">
      <c r="A108" s="59" t="s">
        <v>155</v>
      </c>
      <c r="B108" s="53" t="s">
        <v>156</v>
      </c>
      <c r="C108" s="85" t="str">
        <f>IF([15]С4.2!F8="да",[15]С4.2!D21,[15]С4.2!D15)</f>
        <v>АО "Новосибирскэнергосбыт"</v>
      </c>
    </row>
    <row r="109" spans="1:3" ht="68.25" customHeight="1">
      <c r="A109" s="59" t="s">
        <v>157</v>
      </c>
      <c r="B109" s="53" t="s">
        <v>158</v>
      </c>
      <c r="C109" s="34">
        <f>[15]С4!F22</f>
        <v>3.6112641666666665</v>
      </c>
    </row>
    <row r="110" spans="1:3" ht="30">
      <c r="A110" s="59" t="s">
        <v>159</v>
      </c>
      <c r="B110" s="58" t="s">
        <v>254</v>
      </c>
      <c r="C110" s="62">
        <f>[15]С4!F23</f>
        <v>110</v>
      </c>
    </row>
    <row r="111" spans="1:3" ht="14.25">
      <c r="A111" s="59" t="s">
        <v>161</v>
      </c>
      <c r="B111" s="53" t="s">
        <v>162</v>
      </c>
      <c r="C111" s="34">
        <f>[15]С4!F24</f>
        <v>8497.1999999999989</v>
      </c>
    </row>
    <row r="112" spans="1:3" ht="14.25">
      <c r="A112" s="59" t="s">
        <v>163</v>
      </c>
      <c r="B112" s="58" t="s">
        <v>164</v>
      </c>
      <c r="C112" s="40">
        <f>[15]С4!F25</f>
        <v>0.36199999999999999</v>
      </c>
    </row>
    <row r="113" spans="1:3" ht="17.25">
      <c r="A113" s="59" t="s">
        <v>165</v>
      </c>
      <c r="B113" s="33" t="s">
        <v>166</v>
      </c>
      <c r="C113" s="34">
        <f>[15]С4!F26</f>
        <v>30.754549999999998</v>
      </c>
    </row>
    <row r="114" spans="1:3" ht="25.5">
      <c r="A114" s="59" t="s">
        <v>167</v>
      </c>
      <c r="B114" s="53" t="s">
        <v>94</v>
      </c>
      <c r="C114" s="85">
        <f>[15]С4.3!E16</f>
        <v>0</v>
      </c>
    </row>
    <row r="115" spans="1:3" ht="25.5">
      <c r="A115" s="59" t="s">
        <v>168</v>
      </c>
      <c r="B115" s="53" t="s">
        <v>169</v>
      </c>
      <c r="C115" s="34">
        <f>[15]С4.3!E17</f>
        <v>15.47</v>
      </c>
    </row>
    <row r="116" spans="1:3" ht="38.25">
      <c r="A116" s="59" t="s">
        <v>170</v>
      </c>
      <c r="B116" s="53" t="s">
        <v>106</v>
      </c>
      <c r="C116" s="85">
        <f>[15]С4.3!E18</f>
        <v>0</v>
      </c>
    </row>
    <row r="117" spans="1:3">
      <c r="A117" s="59" t="s">
        <v>171</v>
      </c>
      <c r="B117" s="53" t="s">
        <v>172</v>
      </c>
      <c r="C117" s="34">
        <f>[15]С4.3!E19</f>
        <v>11.87</v>
      </c>
    </row>
    <row r="118" spans="1:3">
      <c r="A118" s="59" t="s">
        <v>173</v>
      </c>
      <c r="B118" s="58" t="s">
        <v>174</v>
      </c>
      <c r="C118" s="62">
        <f>[15]С4.3!E11</f>
        <v>1871</v>
      </c>
    </row>
    <row r="119" spans="1:3">
      <c r="A119" s="59" t="s">
        <v>175</v>
      </c>
      <c r="B119" s="58" t="s">
        <v>176</v>
      </c>
      <c r="C119" s="52">
        <f>[15]С4.3!E12</f>
        <v>61</v>
      </c>
    </row>
    <row r="120" spans="1:3">
      <c r="A120" s="59" t="s">
        <v>177</v>
      </c>
      <c r="B120" s="58" t="s">
        <v>178</v>
      </c>
      <c r="C120" s="52">
        <f>[15]С4.3!E13</f>
        <v>73</v>
      </c>
    </row>
    <row r="121" spans="1:3" ht="30">
      <c r="A121" s="59" t="s">
        <v>179</v>
      </c>
      <c r="B121" s="33" t="s">
        <v>255</v>
      </c>
      <c r="C121" s="34">
        <f>[15]С4!F27</f>
        <v>1296.7467102743137</v>
      </c>
    </row>
    <row r="122" spans="1:3" ht="25.5">
      <c r="A122" s="59" t="s">
        <v>181</v>
      </c>
      <c r="B122" s="53" t="s">
        <v>256</v>
      </c>
      <c r="C122" s="34">
        <f>[15]С4!F28</f>
        <v>995.96521526444985</v>
      </c>
    </row>
    <row r="123" spans="1:3" ht="42.75">
      <c r="A123" s="59" t="s">
        <v>183</v>
      </c>
      <c r="B123" s="53" t="s">
        <v>184</v>
      </c>
      <c r="C123" s="34">
        <f>[15]С4!F29</f>
        <v>300.78149500986387</v>
      </c>
    </row>
    <row r="124" spans="1:3" ht="30.75" thickBot="1">
      <c r="A124" s="72" t="s">
        <v>185</v>
      </c>
      <c r="B124" s="90" t="s">
        <v>186</v>
      </c>
      <c r="C124" s="83">
        <f>[15]С4!F30</f>
        <v>503.66082463782544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[15]С5!F17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IF([15]С6.1!E11="нет",[15]С6!F13,"")</f>
        <v/>
      </c>
    </row>
    <row r="131" spans="1:3" ht="42.75">
      <c r="A131" s="59" t="s">
        <v>204</v>
      </c>
      <c r="B131" s="86" t="s">
        <v>205</v>
      </c>
      <c r="C131" s="92" t="str">
        <f>IF([15]С6.1!E12="нет",[15]С6.1!E17,"")</f>
        <v/>
      </c>
    </row>
    <row r="132" spans="1:3" ht="68.25">
      <c r="A132" s="59" t="s">
        <v>206</v>
      </c>
      <c r="B132" s="91" t="s">
        <v>207</v>
      </c>
      <c r="C132" s="127" t="str">
        <f>IF([15]С6.1!E18="нет",[15]С6!F19,"")</f>
        <v/>
      </c>
    </row>
    <row r="133" spans="1:3" ht="55.5">
      <c r="A133" s="59" t="s">
        <v>208</v>
      </c>
      <c r="B133" s="86" t="s">
        <v>209</v>
      </c>
      <c r="C133" s="35" t="str">
        <f>IF([15]С6.1!E18="нет",[15]С6.1!E19,"")</f>
        <v/>
      </c>
    </row>
    <row r="134" spans="1:3" ht="61.5" customHeight="1">
      <c r="A134" s="59" t="s">
        <v>210</v>
      </c>
      <c r="B134" s="86" t="s">
        <v>257</v>
      </c>
      <c r="C134" s="35" t="str">
        <f>IF([15]С6.1!E18="нет",[15]С6.1!E22,"")</f>
        <v/>
      </c>
    </row>
    <row r="135" spans="1:3" ht="69" thickBot="1">
      <c r="A135" s="72" t="s">
        <v>212</v>
      </c>
      <c r="B135" s="98" t="s">
        <v>213</v>
      </c>
      <c r="C135" s="74" t="str">
        <f>IF([15]С6.1!E18="нет",[15]С6.1!E23,"")</f>
        <v/>
      </c>
    </row>
    <row r="136" spans="1:3" s="89" customFormat="1" ht="13.5" thickBot="1">
      <c r="A136" s="47"/>
      <c r="B136" s="75"/>
      <c r="C136" s="15"/>
    </row>
    <row r="137" spans="1:3" ht="15.75">
      <c r="A137" s="84" t="s">
        <v>214</v>
      </c>
      <c r="B137" s="99" t="s">
        <v>215</v>
      </c>
      <c r="C137" s="100">
        <f>[15]С2!F39</f>
        <v>21.531904799999996</v>
      </c>
    </row>
    <row r="138" spans="1:3" ht="14.25">
      <c r="A138" s="59" t="s">
        <v>216</v>
      </c>
      <c r="B138" s="58" t="s">
        <v>217</v>
      </c>
      <c r="C138" s="34">
        <f>[15]С2!F40</f>
        <v>7</v>
      </c>
    </row>
    <row r="139" spans="1:3" ht="17.25">
      <c r="A139" s="59" t="s">
        <v>218</v>
      </c>
      <c r="B139" s="58" t="s">
        <v>219</v>
      </c>
      <c r="C139" s="34">
        <f>[15]С2!F42</f>
        <v>0.97</v>
      </c>
    </row>
    <row r="140" spans="1:3" ht="15" thickBot="1">
      <c r="A140" s="72" t="s">
        <v>220</v>
      </c>
      <c r="B140" s="73" t="s">
        <v>221</v>
      </c>
      <c r="C140" s="46">
        <f>[15]С2!F44</f>
        <v>0.36199999999999999</v>
      </c>
    </row>
    <row r="141" spans="1:3" s="89" customFormat="1" ht="13.5" thickBot="1">
      <c r="A141" s="47"/>
      <c r="B141" s="75"/>
      <c r="C141" s="15"/>
    </row>
    <row r="142" spans="1:3" ht="17.25">
      <c r="A142" s="84" t="s">
        <v>222</v>
      </c>
      <c r="B142" s="103" t="s">
        <v>258</v>
      </c>
      <c r="C142" s="128">
        <f>[15]С2!F37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[15]С2.5!$E$11</f>
        <v>-2.9000000000000026E-2</v>
      </c>
    </row>
    <row r="146" spans="1:3">
      <c r="B146" s="131">
        <f>B145+1</f>
        <v>2021</v>
      </c>
      <c r="C146" s="133">
        <f>[15]С2.5!$F$11</f>
        <v>0.245</v>
      </c>
    </row>
    <row r="147" spans="1:3">
      <c r="B147" s="131">
        <f t="shared" ref="B147:B210" si="0">B146+1</f>
        <v>2022</v>
      </c>
      <c r="C147" s="134">
        <f>[15]С2.5!$G$11</f>
        <v>0.114</v>
      </c>
    </row>
    <row r="148" spans="1:3">
      <c r="B148" s="110">
        <f t="shared" si="0"/>
        <v>2023</v>
      </c>
      <c r="C148" s="135">
        <f>[15]С2.5!$H$11</f>
        <v>2.4E-2</v>
      </c>
    </row>
    <row r="149" spans="1:3" ht="13.5" thickBot="1">
      <c r="B149" s="110">
        <f t="shared" si="0"/>
        <v>2024</v>
      </c>
      <c r="C149" s="135">
        <f>[15]С2.5!$I$11</f>
        <v>8.5999999999999993E-2</v>
      </c>
    </row>
    <row r="150" spans="1:3" ht="13.5" hidden="1" thickBot="1">
      <c r="B150" s="110">
        <f t="shared" si="0"/>
        <v>2025</v>
      </c>
      <c r="C150" s="135">
        <f>[15]С2.5!$J$11</f>
        <v>0</v>
      </c>
    </row>
    <row r="151" spans="1:3" ht="13.5" hidden="1" thickBot="1">
      <c r="B151" s="110">
        <f t="shared" si="0"/>
        <v>2026</v>
      </c>
      <c r="C151" s="135">
        <f>[15]С2.5!$K$11</f>
        <v>0</v>
      </c>
    </row>
    <row r="152" spans="1:3" ht="13.5" hidden="1" thickBot="1">
      <c r="B152" s="110">
        <f t="shared" si="0"/>
        <v>2027</v>
      </c>
      <c r="C152" s="135">
        <f>[15]С2.5!$L$11</f>
        <v>0</v>
      </c>
    </row>
    <row r="153" spans="1:3" ht="13.5" hidden="1" thickBot="1">
      <c r="B153" s="110">
        <f t="shared" si="0"/>
        <v>2028</v>
      </c>
      <c r="C153" s="135">
        <f>[15]С2.5!$M$11</f>
        <v>0</v>
      </c>
    </row>
    <row r="154" spans="1:3" ht="13.5" hidden="1" thickBot="1">
      <c r="B154" s="110">
        <f t="shared" si="0"/>
        <v>2029</v>
      </c>
      <c r="C154" s="135">
        <f>[15]С2.5!$N$11</f>
        <v>0</v>
      </c>
    </row>
    <row r="155" spans="1:3" ht="13.5" hidden="1" thickBot="1">
      <c r="B155" s="110">
        <f t="shared" si="0"/>
        <v>2030</v>
      </c>
      <c r="C155" s="135">
        <f>[15]С2.5!$O$11</f>
        <v>0</v>
      </c>
    </row>
    <row r="156" spans="1:3" ht="13.5" hidden="1" thickBot="1">
      <c r="B156" s="110">
        <f t="shared" si="0"/>
        <v>2031</v>
      </c>
      <c r="C156" s="135">
        <f>[15]С2.5!$P$11</f>
        <v>0</v>
      </c>
    </row>
    <row r="157" spans="1:3" ht="13.5" hidden="1" thickBot="1">
      <c r="B157" s="110">
        <f t="shared" si="0"/>
        <v>2032</v>
      </c>
      <c r="C157" s="135">
        <f>[15]С2.5!$Q$11</f>
        <v>0</v>
      </c>
    </row>
    <row r="158" spans="1:3" ht="13.5" hidden="1" thickBot="1">
      <c r="B158" s="110">
        <f t="shared" si="0"/>
        <v>2033</v>
      </c>
      <c r="C158" s="135">
        <f>[15]С2.5!$R$11</f>
        <v>0</v>
      </c>
    </row>
    <row r="159" spans="1:3" ht="13.5" hidden="1" thickBot="1">
      <c r="B159" s="110">
        <f t="shared" si="0"/>
        <v>2034</v>
      </c>
      <c r="C159" s="135">
        <f>[15]С2.5!$S$11</f>
        <v>0</v>
      </c>
    </row>
    <row r="160" spans="1:3" ht="13.5" hidden="1" thickBot="1">
      <c r="B160" s="110">
        <f t="shared" si="0"/>
        <v>2035</v>
      </c>
      <c r="C160" s="135">
        <f>[15]С2.5!$T$11</f>
        <v>0</v>
      </c>
    </row>
    <row r="161" spans="2:3" ht="13.5" hidden="1" thickBot="1">
      <c r="B161" s="110">
        <f t="shared" si="0"/>
        <v>2036</v>
      </c>
      <c r="C161" s="135">
        <f>[15]С2.5!$U$11</f>
        <v>0</v>
      </c>
    </row>
    <row r="162" spans="2:3" ht="13.5" hidden="1" thickBot="1">
      <c r="B162" s="110">
        <f t="shared" si="0"/>
        <v>2037</v>
      </c>
      <c r="C162" s="135">
        <f>[15]С2.5!$V$11</f>
        <v>0</v>
      </c>
    </row>
    <row r="163" spans="2:3" ht="13.5" hidden="1" thickBot="1">
      <c r="B163" s="110">
        <f t="shared" si="0"/>
        <v>2038</v>
      </c>
      <c r="C163" s="135">
        <f>[15]С2.5!$W$11</f>
        <v>0</v>
      </c>
    </row>
    <row r="164" spans="2:3" ht="13.5" hidden="1" thickBot="1">
      <c r="B164" s="110">
        <f t="shared" si="0"/>
        <v>2039</v>
      </c>
      <c r="C164" s="135">
        <f>[15]С2.5!$X$11</f>
        <v>0</v>
      </c>
    </row>
    <row r="165" spans="2:3" ht="13.5" hidden="1" thickBot="1">
      <c r="B165" s="110">
        <f t="shared" si="0"/>
        <v>2040</v>
      </c>
      <c r="C165" s="135">
        <f>[15]С2.5!$Y$11</f>
        <v>0</v>
      </c>
    </row>
    <row r="166" spans="2:3" ht="13.5" hidden="1" thickBot="1">
      <c r="B166" s="110">
        <f t="shared" si="0"/>
        <v>2041</v>
      </c>
      <c r="C166" s="135">
        <f>[15]С2.5!$Z$11</f>
        <v>0</v>
      </c>
    </row>
    <row r="167" spans="2:3" ht="13.5" hidden="1" thickBot="1">
      <c r="B167" s="110">
        <f t="shared" si="0"/>
        <v>2042</v>
      </c>
      <c r="C167" s="135">
        <f>[15]С2.5!$AA$11</f>
        <v>0</v>
      </c>
    </row>
    <row r="168" spans="2:3" ht="13.5" hidden="1" thickBot="1">
      <c r="B168" s="110">
        <f t="shared" si="0"/>
        <v>2043</v>
      </c>
      <c r="C168" s="135">
        <f>[15]С2.5!$AB$11</f>
        <v>0</v>
      </c>
    </row>
    <row r="169" spans="2:3" ht="13.5" hidden="1" thickBot="1">
      <c r="B169" s="110">
        <f t="shared" si="0"/>
        <v>2044</v>
      </c>
      <c r="C169" s="135">
        <f>[15]С2.5!$AC$11</f>
        <v>0</v>
      </c>
    </row>
    <row r="170" spans="2:3" ht="13.5" hidden="1" thickBot="1">
      <c r="B170" s="110">
        <f t="shared" si="0"/>
        <v>2045</v>
      </c>
      <c r="C170" s="135">
        <f>[15]С2.5!$AD$11</f>
        <v>0</v>
      </c>
    </row>
    <row r="171" spans="2:3" ht="13.5" hidden="1" thickBot="1">
      <c r="B171" s="110">
        <f t="shared" si="0"/>
        <v>2046</v>
      </c>
      <c r="C171" s="135">
        <f>[15]С2.5!$AE$11</f>
        <v>0</v>
      </c>
    </row>
    <row r="172" spans="2:3" ht="13.5" hidden="1" thickBot="1">
      <c r="B172" s="110">
        <f t="shared" si="0"/>
        <v>2047</v>
      </c>
      <c r="C172" s="135">
        <f>[15]С2.5!$AF$11</f>
        <v>0</v>
      </c>
    </row>
    <row r="173" spans="2:3" ht="13.5" hidden="1" thickBot="1">
      <c r="B173" s="110">
        <f t="shared" si="0"/>
        <v>2048</v>
      </c>
      <c r="C173" s="135">
        <f>[15]С2.5!$AG$11</f>
        <v>0</v>
      </c>
    </row>
    <row r="174" spans="2:3" ht="13.5" hidden="1" thickBot="1">
      <c r="B174" s="110">
        <f t="shared" si="0"/>
        <v>2049</v>
      </c>
      <c r="C174" s="135">
        <f>[15]С2.5!$AH$11</f>
        <v>0</v>
      </c>
    </row>
    <row r="175" spans="2:3" ht="13.5" hidden="1" thickBot="1">
      <c r="B175" s="110">
        <f t="shared" si="0"/>
        <v>2050</v>
      </c>
      <c r="C175" s="135">
        <f>[15]С2.5!$AI$11</f>
        <v>0</v>
      </c>
    </row>
    <row r="176" spans="2:3" ht="13.5" hidden="1" thickBot="1">
      <c r="B176" s="110">
        <f t="shared" si="0"/>
        <v>2051</v>
      </c>
      <c r="C176" s="135">
        <f>[15]С2.5!$AJ$11</f>
        <v>0</v>
      </c>
    </row>
    <row r="177" spans="2:3" ht="13.5" hidden="1" thickBot="1">
      <c r="B177" s="110">
        <f t="shared" si="0"/>
        <v>2052</v>
      </c>
      <c r="C177" s="135">
        <f>[15]С2.5!$AK$11</f>
        <v>0</v>
      </c>
    </row>
    <row r="178" spans="2:3" ht="13.5" hidden="1" thickBot="1">
      <c r="B178" s="110">
        <f t="shared" si="0"/>
        <v>2053</v>
      </c>
      <c r="C178" s="135">
        <f>[15]С2.5!$AL$11</f>
        <v>0</v>
      </c>
    </row>
    <row r="179" spans="2:3" ht="13.5" hidden="1" thickBot="1">
      <c r="B179" s="110">
        <f t="shared" si="0"/>
        <v>2054</v>
      </c>
      <c r="C179" s="135">
        <f>[15]С2.5!$AM$11</f>
        <v>0</v>
      </c>
    </row>
    <row r="180" spans="2:3" ht="13.5" hidden="1" thickBot="1">
      <c r="B180" s="110">
        <f t="shared" si="0"/>
        <v>2055</v>
      </c>
      <c r="C180" s="135">
        <f>[15]С2.5!$AN$11</f>
        <v>0</v>
      </c>
    </row>
    <row r="181" spans="2:3" ht="13.5" hidden="1" thickBot="1">
      <c r="B181" s="110">
        <f t="shared" si="0"/>
        <v>2056</v>
      </c>
      <c r="C181" s="135">
        <f>[15]С2.5!$AO$11</f>
        <v>0</v>
      </c>
    </row>
    <row r="182" spans="2:3" ht="13.5" hidden="1" thickBot="1">
      <c r="B182" s="110">
        <f t="shared" si="0"/>
        <v>2057</v>
      </c>
      <c r="C182" s="135">
        <f>[15]С2.5!$AP$11</f>
        <v>0</v>
      </c>
    </row>
    <row r="183" spans="2:3" ht="13.5" hidden="1" thickBot="1">
      <c r="B183" s="110">
        <f t="shared" si="0"/>
        <v>2058</v>
      </c>
      <c r="C183" s="135">
        <f>[15]С2.5!$AQ$11</f>
        <v>0</v>
      </c>
    </row>
    <row r="184" spans="2:3" ht="13.5" hidden="1" thickBot="1">
      <c r="B184" s="110">
        <f t="shared" si="0"/>
        <v>2059</v>
      </c>
      <c r="C184" s="135">
        <f>[15]С2.5!$AR$11</f>
        <v>0</v>
      </c>
    </row>
    <row r="185" spans="2:3" ht="13.5" hidden="1" thickBot="1">
      <c r="B185" s="110">
        <f t="shared" si="0"/>
        <v>2060</v>
      </c>
      <c r="C185" s="135">
        <f>[15]С2.5!$AS$11</f>
        <v>0</v>
      </c>
    </row>
    <row r="186" spans="2:3" ht="13.5" hidden="1" thickBot="1">
      <c r="B186" s="110">
        <f t="shared" si="0"/>
        <v>2061</v>
      </c>
      <c r="C186" s="135">
        <f>[15]С2.5!$AT$11</f>
        <v>0</v>
      </c>
    </row>
    <row r="187" spans="2:3" ht="13.5" hidden="1" thickBot="1">
      <c r="B187" s="110">
        <f t="shared" si="0"/>
        <v>2062</v>
      </c>
      <c r="C187" s="135">
        <f>[15]С2.5!$AU$11</f>
        <v>0</v>
      </c>
    </row>
    <row r="188" spans="2:3" ht="13.5" hidden="1" thickBot="1">
      <c r="B188" s="110">
        <f t="shared" si="0"/>
        <v>2063</v>
      </c>
      <c r="C188" s="135">
        <f>[15]С2.5!$AV$11</f>
        <v>0</v>
      </c>
    </row>
    <row r="189" spans="2:3" ht="13.5" hidden="1" thickBot="1">
      <c r="B189" s="110">
        <f t="shared" si="0"/>
        <v>2064</v>
      </c>
      <c r="C189" s="135">
        <f>[15]С2.5!$AW$11</f>
        <v>0</v>
      </c>
    </row>
    <row r="190" spans="2:3" ht="13.5" hidden="1" thickBot="1">
      <c r="B190" s="110">
        <f t="shared" si="0"/>
        <v>2065</v>
      </c>
      <c r="C190" s="135">
        <f>[15]С2.5!$AX$11</f>
        <v>0</v>
      </c>
    </row>
    <row r="191" spans="2:3" ht="13.5" hidden="1" thickBot="1">
      <c r="B191" s="110">
        <f t="shared" si="0"/>
        <v>2066</v>
      </c>
      <c r="C191" s="135">
        <f>[15]С2.5!$AY$11</f>
        <v>0</v>
      </c>
    </row>
    <row r="192" spans="2:3" ht="13.5" hidden="1" thickBot="1">
      <c r="B192" s="110">
        <f t="shared" si="0"/>
        <v>2067</v>
      </c>
      <c r="C192" s="135">
        <f>[15]С2.5!$AZ$11</f>
        <v>0</v>
      </c>
    </row>
    <row r="193" spans="2:3" ht="13.5" hidden="1" thickBot="1">
      <c r="B193" s="110">
        <f t="shared" si="0"/>
        <v>2068</v>
      </c>
      <c r="C193" s="135">
        <f>[15]С2.5!$BA$11</f>
        <v>0</v>
      </c>
    </row>
    <row r="194" spans="2:3" ht="13.5" hidden="1" thickBot="1">
      <c r="B194" s="110">
        <f t="shared" si="0"/>
        <v>2069</v>
      </c>
      <c r="C194" s="135">
        <f>[15]С2.5!$BB$11</f>
        <v>0</v>
      </c>
    </row>
    <row r="195" spans="2:3" ht="13.5" hidden="1" thickBot="1">
      <c r="B195" s="110">
        <f t="shared" si="0"/>
        <v>2070</v>
      </c>
      <c r="C195" s="135">
        <f>[15]С2.5!$BC$11</f>
        <v>0</v>
      </c>
    </row>
    <row r="196" spans="2:3" ht="13.5" hidden="1" thickBot="1">
      <c r="B196" s="110">
        <f t="shared" si="0"/>
        <v>2071</v>
      </c>
      <c r="C196" s="135">
        <f>[15]С2.5!$BD$11</f>
        <v>0</v>
      </c>
    </row>
    <row r="197" spans="2:3" ht="13.5" hidden="1" thickBot="1">
      <c r="B197" s="110">
        <f t="shared" si="0"/>
        <v>2072</v>
      </c>
      <c r="C197" s="135">
        <f>[15]С2.5!$BE$11</f>
        <v>0</v>
      </c>
    </row>
    <row r="198" spans="2:3" ht="13.5" hidden="1" thickBot="1">
      <c r="B198" s="110">
        <f t="shared" si="0"/>
        <v>2073</v>
      </c>
      <c r="C198" s="135">
        <f>[15]С2.5!$BF$11</f>
        <v>0</v>
      </c>
    </row>
    <row r="199" spans="2:3" ht="13.5" hidden="1" thickBot="1">
      <c r="B199" s="110">
        <f t="shared" si="0"/>
        <v>2074</v>
      </c>
      <c r="C199" s="135">
        <f>[15]С2.5!$BG$11</f>
        <v>0</v>
      </c>
    </row>
    <row r="200" spans="2:3" ht="13.5" hidden="1" thickBot="1">
      <c r="B200" s="110">
        <f t="shared" si="0"/>
        <v>2075</v>
      </c>
      <c r="C200" s="135">
        <f>[15]С2.5!$BH$11</f>
        <v>0</v>
      </c>
    </row>
    <row r="201" spans="2:3" ht="13.5" hidden="1" thickBot="1">
      <c r="B201" s="110">
        <f t="shared" si="0"/>
        <v>2076</v>
      </c>
      <c r="C201" s="135">
        <f>[15]С2.5!$BI$11</f>
        <v>0</v>
      </c>
    </row>
    <row r="202" spans="2:3" ht="13.5" hidden="1" thickBot="1">
      <c r="B202" s="110">
        <f t="shared" si="0"/>
        <v>2077</v>
      </c>
      <c r="C202" s="135">
        <f>[15]С2.5!$BJ$11</f>
        <v>0</v>
      </c>
    </row>
    <row r="203" spans="2:3" ht="13.5" hidden="1" thickBot="1">
      <c r="B203" s="110">
        <f t="shared" si="0"/>
        <v>2078</v>
      </c>
      <c r="C203" s="135">
        <f>[15]С2.5!$BK$11</f>
        <v>0</v>
      </c>
    </row>
    <row r="204" spans="2:3" ht="13.5" hidden="1" thickBot="1">
      <c r="B204" s="110">
        <f t="shared" si="0"/>
        <v>2079</v>
      </c>
      <c r="C204" s="135">
        <f>[15]С2.5!$BL$11</f>
        <v>0</v>
      </c>
    </row>
    <row r="205" spans="2:3" ht="13.5" hidden="1" thickBot="1">
      <c r="B205" s="110">
        <f t="shared" si="0"/>
        <v>2080</v>
      </c>
      <c r="C205" s="135">
        <f>[15]С2.5!$BM$11</f>
        <v>0</v>
      </c>
    </row>
    <row r="206" spans="2:3" ht="13.5" hidden="1" thickBot="1">
      <c r="B206" s="110">
        <f t="shared" si="0"/>
        <v>2081</v>
      </c>
      <c r="C206" s="135">
        <f>[15]С2.5!$BN$11</f>
        <v>0</v>
      </c>
    </row>
    <row r="207" spans="2:3" ht="13.5" hidden="1" thickBot="1">
      <c r="B207" s="110">
        <f t="shared" si="0"/>
        <v>2082</v>
      </c>
      <c r="C207" s="135">
        <f>[15]С2.5!$BO$11</f>
        <v>0</v>
      </c>
    </row>
    <row r="208" spans="2:3" ht="13.5" hidden="1" thickBot="1">
      <c r="B208" s="110">
        <f t="shared" si="0"/>
        <v>2083</v>
      </c>
      <c r="C208" s="135">
        <f>[15]С2.5!$BP$11</f>
        <v>0</v>
      </c>
    </row>
    <row r="209" spans="2:3" ht="13.5" hidden="1" thickBot="1">
      <c r="B209" s="110">
        <f t="shared" si="0"/>
        <v>2084</v>
      </c>
      <c r="C209" s="135">
        <f>[15]С2.5!$BQ$11</f>
        <v>0</v>
      </c>
    </row>
    <row r="210" spans="2:3" ht="13.5" hidden="1" thickBot="1">
      <c r="B210" s="110">
        <f t="shared" si="0"/>
        <v>2085</v>
      </c>
      <c r="C210" s="135">
        <f>[15]С2.5!$BR$11</f>
        <v>0</v>
      </c>
    </row>
    <row r="211" spans="2:3" ht="13.5" hidden="1" thickBot="1">
      <c r="B211" s="110">
        <f t="shared" ref="B211:B224" si="1">B210+1</f>
        <v>2086</v>
      </c>
      <c r="C211" s="135">
        <f>[15]С2.5!$BS$11</f>
        <v>0</v>
      </c>
    </row>
    <row r="212" spans="2:3" ht="13.5" hidden="1" thickBot="1">
      <c r="B212" s="110">
        <f t="shared" si="1"/>
        <v>2087</v>
      </c>
      <c r="C212" s="135">
        <f>[15]С2.5!$BT$11</f>
        <v>0</v>
      </c>
    </row>
    <row r="213" spans="2:3" ht="13.5" hidden="1" thickBot="1">
      <c r="B213" s="110">
        <f t="shared" si="1"/>
        <v>2088</v>
      </c>
      <c r="C213" s="135">
        <f>[15]С2.5!$BU$11</f>
        <v>0</v>
      </c>
    </row>
    <row r="214" spans="2:3" ht="13.5" hidden="1" thickBot="1">
      <c r="B214" s="110">
        <f t="shared" si="1"/>
        <v>2089</v>
      </c>
      <c r="C214" s="135">
        <f>[15]С2.5!$BV$11</f>
        <v>0</v>
      </c>
    </row>
    <row r="215" spans="2:3" ht="13.5" hidden="1" thickBot="1">
      <c r="B215" s="110">
        <f t="shared" si="1"/>
        <v>2090</v>
      </c>
      <c r="C215" s="135">
        <f>[15]С2.5!$BW$11</f>
        <v>0</v>
      </c>
    </row>
    <row r="216" spans="2:3" ht="13.5" hidden="1" thickBot="1">
      <c r="B216" s="110">
        <f t="shared" si="1"/>
        <v>2091</v>
      </c>
      <c r="C216" s="135">
        <f>[15]С2.5!$BX$11</f>
        <v>0</v>
      </c>
    </row>
    <row r="217" spans="2:3" ht="13.5" hidden="1" thickBot="1">
      <c r="B217" s="110">
        <f t="shared" si="1"/>
        <v>2092</v>
      </c>
      <c r="C217" s="135">
        <f>[15]С2.5!$BY$11</f>
        <v>0</v>
      </c>
    </row>
    <row r="218" spans="2:3" ht="13.5" hidden="1" thickBot="1">
      <c r="B218" s="110">
        <f t="shared" si="1"/>
        <v>2093</v>
      </c>
      <c r="C218" s="135">
        <f>[15]С2.5!$BZ$11</f>
        <v>0</v>
      </c>
    </row>
    <row r="219" spans="2:3" ht="13.5" hidden="1" thickBot="1">
      <c r="B219" s="110">
        <f t="shared" si="1"/>
        <v>2094</v>
      </c>
      <c r="C219" s="135">
        <f>[15]С2.5!$CA$11</f>
        <v>0</v>
      </c>
    </row>
    <row r="220" spans="2:3" ht="13.5" hidden="1" thickBot="1">
      <c r="B220" s="110">
        <f t="shared" si="1"/>
        <v>2095</v>
      </c>
      <c r="C220" s="135">
        <f>[15]С2.5!$CB$11</f>
        <v>0</v>
      </c>
    </row>
    <row r="221" spans="2:3" ht="13.5" hidden="1" thickBot="1">
      <c r="B221" s="110">
        <f t="shared" si="1"/>
        <v>2096</v>
      </c>
      <c r="C221" s="135">
        <f>[15]С2.5!$CC$11</f>
        <v>0</v>
      </c>
    </row>
    <row r="222" spans="2:3" ht="13.5" hidden="1" thickBot="1">
      <c r="B222" s="110">
        <f t="shared" si="1"/>
        <v>2097</v>
      </c>
      <c r="C222" s="135">
        <f>[15]С2.5!$CD$11</f>
        <v>0</v>
      </c>
    </row>
    <row r="223" spans="2:3" ht="13.5" hidden="1" thickBot="1">
      <c r="B223" s="110">
        <f t="shared" si="1"/>
        <v>2098</v>
      </c>
      <c r="C223" s="135">
        <f>[15]С2.5!$CE$11</f>
        <v>0</v>
      </c>
    </row>
    <row r="224" spans="2:3" ht="13.5" hidden="1" thickBot="1">
      <c r="B224" s="110">
        <f t="shared" si="1"/>
        <v>2099</v>
      </c>
      <c r="C224" s="135">
        <f>[15]С2.5!$CF$11</f>
        <v>0</v>
      </c>
    </row>
    <row r="225" spans="2:3" ht="13.5" hidden="1" thickBot="1">
      <c r="B225" s="112">
        <f>B162+1</f>
        <v>2038</v>
      </c>
      <c r="C225" s="136" t="e">
        <f>[15]С2.5!#REF!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4" width="9.140625" style="2"/>
    <col min="155" max="236" width="0" style="2" hidden="1" customWidth="1"/>
    <col min="237" max="245" width="9.140625" style="2"/>
    <col min="246" max="246" width="3.710937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710937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710937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710937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710937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710937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710937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710937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710937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710937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710937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710937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710937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710937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710937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710937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710937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710937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710937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710937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710937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710937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710937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710937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710937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710937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710937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710937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710937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710937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710937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710937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710937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710937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710937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710937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710937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710937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710937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710937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710937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710937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710937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710937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710937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710937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710937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710937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710937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710937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710937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710937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710937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710937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710937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710937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710937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710937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710937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710937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710937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710937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710937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[16]И1!D13</f>
        <v>Субъект Российской Федерации</v>
      </c>
      <c r="C4" s="10" t="str">
        <f>[16]И1!E13</f>
        <v>Новосибирская область</v>
      </c>
    </row>
    <row r="5" spans="1:3" ht="15.95" customHeight="1">
      <c r="A5" s="8"/>
      <c r="B5" s="9" t="str">
        <f>[16]И1!D14</f>
        <v>Тип муниципального образования (выберите из списка)</v>
      </c>
      <c r="C5" s="10" t="str">
        <f>[16]И1!E14</f>
        <v xml:space="preserve">поселок Мичуринский, Новосибирский муниципальный район </v>
      </c>
    </row>
    <row r="6" spans="1:3">
      <c r="A6" s="8"/>
      <c r="B6" s="9" t="str">
        <f>IF([16]И1!E15="","",[16]И1!D15)</f>
        <v/>
      </c>
      <c r="C6" s="7" t="str">
        <f>IF([16]И1!E15="","",[16]И1!E15)</f>
        <v/>
      </c>
    </row>
    <row r="7" spans="1:3">
      <c r="A7" s="8"/>
      <c r="B7" s="9" t="str">
        <f>[16]И1!D16</f>
        <v>Код ОКТМО</v>
      </c>
      <c r="C7" s="11" t="str">
        <f>[16]И1!E16</f>
        <v>50640428101</v>
      </c>
    </row>
    <row r="8" spans="1:3">
      <c r="A8" s="8"/>
      <c r="B8" s="12" t="str">
        <f>[16]И1!D17</f>
        <v>Система теплоснабжения</v>
      </c>
      <c r="C8" s="13">
        <f>[16]И1!E17</f>
        <v>0</v>
      </c>
    </row>
    <row r="9" spans="1:3">
      <c r="A9" s="8"/>
      <c r="B9" s="9" t="str">
        <f>[16]И1!D8</f>
        <v>Период регулирования (i)-й</v>
      </c>
      <c r="C9" s="14">
        <f>[16]И1!E8</f>
        <v>2024</v>
      </c>
    </row>
    <row r="10" spans="1:3">
      <c r="A10" s="8"/>
      <c r="B10" s="9" t="str">
        <f>[16]И1!D9</f>
        <v>Период регулирования (i-1)-й</v>
      </c>
      <c r="C10" s="14">
        <f>[16]И1!E9</f>
        <v>2023</v>
      </c>
    </row>
    <row r="11" spans="1:3">
      <c r="A11" s="8"/>
      <c r="B11" s="9" t="str">
        <f>[16]И1!D10</f>
        <v>Период регулирования (i-2)-й</v>
      </c>
      <c r="C11" s="14">
        <f>[16]И1!E10</f>
        <v>2022</v>
      </c>
    </row>
    <row r="12" spans="1:3">
      <c r="A12" s="8"/>
      <c r="B12" s="9" t="str">
        <f>[16]И1!D11</f>
        <v>Базовый год (б)</v>
      </c>
      <c r="C12" s="14">
        <f>[16]И1!E11</f>
        <v>2019</v>
      </c>
    </row>
    <row r="13" spans="1:3">
      <c r="A13" s="8"/>
      <c r="B13" s="9" t="str">
        <f>[16]И1!D18</f>
        <v>Вид топлива, использование которого преобладает в системе теплоснабжения</v>
      </c>
      <c r="C13" s="15" t="str">
        <f>[16]И1!E18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2965.8763022190569</v>
      </c>
    </row>
    <row r="18" spans="1:3" ht="42.75">
      <c r="A18" s="22" t="s">
        <v>8</v>
      </c>
      <c r="B18" s="25" t="s">
        <v>9</v>
      </c>
      <c r="C18" s="26">
        <f>[16]С1!F12</f>
        <v>994.35037159416254</v>
      </c>
    </row>
    <row r="19" spans="1:3" ht="42.75">
      <c r="A19" s="22" t="s">
        <v>10</v>
      </c>
      <c r="B19" s="25" t="s">
        <v>11</v>
      </c>
      <c r="C19" s="26">
        <f>[16]С2!F12</f>
        <v>1337.1646821037446</v>
      </c>
    </row>
    <row r="20" spans="1:3" ht="30">
      <c r="A20" s="22" t="s">
        <v>12</v>
      </c>
      <c r="B20" s="25" t="s">
        <v>13</v>
      </c>
      <c r="C20" s="26">
        <f>[16]С3!F12</f>
        <v>317.6025648848447</v>
      </c>
    </row>
    <row r="21" spans="1:3" ht="42.75">
      <c r="A21" s="22" t="s">
        <v>14</v>
      </c>
      <c r="B21" s="25" t="s">
        <v>228</v>
      </c>
      <c r="C21" s="26">
        <f>[16]С4!F12</f>
        <v>258.60424633789228</v>
      </c>
    </row>
    <row r="22" spans="1:3" ht="33" customHeight="1">
      <c r="A22" s="22" t="s">
        <v>16</v>
      </c>
      <c r="B22" s="25" t="s">
        <v>229</v>
      </c>
      <c r="C22" s="26">
        <f>[16]С5!F12</f>
        <v>58.15443729841288</v>
      </c>
    </row>
    <row r="23" spans="1:3" ht="45.75" customHeight="1" thickBot="1">
      <c r="A23" s="27" t="s">
        <v>18</v>
      </c>
      <c r="B23" s="141" t="s">
        <v>230</v>
      </c>
      <c r="C23" s="28">
        <f>[16]С6!F12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[16]С1.1!E16</f>
        <v>7900</v>
      </c>
    </row>
    <row r="29" spans="1:3" ht="42.75">
      <c r="A29" s="22" t="s">
        <v>10</v>
      </c>
      <c r="B29" s="33" t="s">
        <v>232</v>
      </c>
      <c r="C29" s="34">
        <f>[16]С1.1!E32</f>
        <v>5751.37</v>
      </c>
    </row>
    <row r="30" spans="1:3" ht="38.25">
      <c r="A30" s="22" t="s">
        <v>233</v>
      </c>
      <c r="B30" s="33" t="s">
        <v>234</v>
      </c>
      <c r="C30" s="85" t="str">
        <f>[16]С1.1!E25</f>
        <v>ООО "Газпром газораспределение Томск"</v>
      </c>
    </row>
    <row r="31" spans="1:3" ht="38.25">
      <c r="A31" s="22" t="s">
        <v>235</v>
      </c>
      <c r="B31" s="33" t="str">
        <f>[16]С1.1!D26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[16]С1.1!E26</f>
        <v>4699.5</v>
      </c>
    </row>
    <row r="32" spans="1:3" ht="25.5">
      <c r="A32" s="22" t="s">
        <v>236</v>
      </c>
      <c r="B32" s="33" t="str">
        <f>[16]С1.1!D27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[16]С1.1!E27</f>
        <v>795.43</v>
      </c>
    </row>
    <row r="33" spans="1:3" ht="25.5">
      <c r="A33" s="22" t="s">
        <v>237</v>
      </c>
      <c r="B33" s="33" t="str">
        <f>[16]С1.1!D28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[16]С1.1!E28</f>
        <v>136.54</v>
      </c>
    </row>
    <row r="34" spans="1:3" ht="38.25">
      <c r="A34" s="22" t="s">
        <v>238</v>
      </c>
      <c r="B34" s="33" t="str">
        <f>[16]С1.1!D29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[16]С1.1!E29</f>
        <v>119.9</v>
      </c>
    </row>
    <row r="35" spans="1:3" ht="17.25">
      <c r="A35" s="22" t="s">
        <v>12</v>
      </c>
      <c r="B35" s="33" t="s">
        <v>23</v>
      </c>
      <c r="C35" s="35">
        <f>[16]С1.1!E20</f>
        <v>8.5000000000000006E-2</v>
      </c>
    </row>
    <row r="36" spans="1:3" ht="17.25">
      <c r="A36" s="22" t="s">
        <v>14</v>
      </c>
      <c r="B36" s="33" t="s">
        <v>24</v>
      </c>
      <c r="C36" s="35">
        <f>[16]С1.1!E21</f>
        <v>0.112</v>
      </c>
    </row>
    <row r="37" spans="1:3" ht="30">
      <c r="A37" s="22" t="s">
        <v>16</v>
      </c>
      <c r="B37" s="36" t="s">
        <v>239</v>
      </c>
      <c r="C37" s="121">
        <f>[16]С1!F13</f>
        <v>156.1</v>
      </c>
    </row>
    <row r="38" spans="1:3">
      <c r="A38" s="22" t="s">
        <v>18</v>
      </c>
      <c r="B38" s="36" t="s">
        <v>26</v>
      </c>
      <c r="C38" s="38">
        <f>[16]С1!F16</f>
        <v>7000</v>
      </c>
    </row>
    <row r="39" spans="1:3" ht="14.25">
      <c r="A39" s="122" t="s">
        <v>27</v>
      </c>
      <c r="B39" s="39" t="s">
        <v>240</v>
      </c>
      <c r="C39" s="40">
        <f>[16]С1!F17</f>
        <v>1.1285714285714286</v>
      </c>
    </row>
    <row r="40" spans="1:3" ht="15.75">
      <c r="A40" s="123" t="s">
        <v>29</v>
      </c>
      <c r="B40" s="42" t="s">
        <v>30</v>
      </c>
      <c r="C40" s="40">
        <f>[16]С1!F20</f>
        <v>22.307053372799995</v>
      </c>
    </row>
    <row r="41" spans="1:3" ht="15.75">
      <c r="A41" s="123" t="s">
        <v>31</v>
      </c>
      <c r="B41" s="43" t="s">
        <v>32</v>
      </c>
      <c r="C41" s="40">
        <f>[16]С1!F21</f>
        <v>21.531904799999996</v>
      </c>
    </row>
    <row r="42" spans="1:3" ht="14.25">
      <c r="A42" s="123" t="s">
        <v>33</v>
      </c>
      <c r="B42" s="44" t="s">
        <v>34</v>
      </c>
      <c r="C42" s="40">
        <f>[16]С1!F22</f>
        <v>1.036</v>
      </c>
    </row>
    <row r="43" spans="1:3" ht="53.25" thickBot="1">
      <c r="A43" s="27" t="s">
        <v>35</v>
      </c>
      <c r="B43" s="45" t="s">
        <v>36</v>
      </c>
      <c r="C43" s="46" t="str">
        <f>[16]С1!F23</f>
        <v>-</v>
      </c>
    </row>
    <row r="44" spans="1:3" ht="13.5" thickBot="1">
      <c r="A44" s="47"/>
      <c r="B44" s="75"/>
      <c r="C44" s="15"/>
    </row>
    <row r="45" spans="1:3" ht="30" customHeight="1">
      <c r="A45" s="50" t="s">
        <v>37</v>
      </c>
      <c r="B45" s="145" t="s">
        <v>38</v>
      </c>
      <c r="C45" s="145"/>
    </row>
    <row r="46" spans="1:3" ht="25.5">
      <c r="A46" s="22" t="s">
        <v>39</v>
      </c>
      <c r="B46" s="36" t="s">
        <v>40</v>
      </c>
      <c r="C46" s="51" t="str">
        <f>[16]С2.1!E12</f>
        <v>V</v>
      </c>
    </row>
    <row r="47" spans="1:3" ht="25.5">
      <c r="A47" s="22" t="s">
        <v>41</v>
      </c>
      <c r="B47" s="33" t="s">
        <v>42</v>
      </c>
      <c r="C47" s="51" t="str">
        <f>[16]С2.1!E13</f>
        <v>6 и менее баллов</v>
      </c>
    </row>
    <row r="48" spans="1:3" ht="25.5">
      <c r="A48" s="22" t="s">
        <v>43</v>
      </c>
      <c r="B48" s="33" t="s">
        <v>241</v>
      </c>
      <c r="C48" s="51" t="str">
        <f>[16]С2.1!E14</f>
        <v>от 200 до 500</v>
      </c>
    </row>
    <row r="49" spans="1:3" ht="25.5">
      <c r="A49" s="22" t="s">
        <v>45</v>
      </c>
      <c r="B49" s="33" t="s">
        <v>242</v>
      </c>
      <c r="C49" s="52" t="str">
        <f>[16]С2.1!E15</f>
        <v>нет</v>
      </c>
    </row>
    <row r="50" spans="1:3" ht="30">
      <c r="A50" s="22" t="s">
        <v>47</v>
      </c>
      <c r="B50" s="33" t="s">
        <v>48</v>
      </c>
      <c r="C50" s="34">
        <f>[16]С2!F18</f>
        <v>35106.652004551666</v>
      </c>
    </row>
    <row r="51" spans="1:3" ht="30">
      <c r="A51" s="22" t="s">
        <v>49</v>
      </c>
      <c r="B51" s="53" t="s">
        <v>50</v>
      </c>
      <c r="C51" s="34">
        <f>IF([16]С2!F19&gt;0,[16]С2!F19,[16]С2!F20)</f>
        <v>23441.524932855718</v>
      </c>
    </row>
    <row r="52" spans="1:3" ht="25.5">
      <c r="A52" s="22" t="s">
        <v>51</v>
      </c>
      <c r="B52" s="54" t="s">
        <v>52</v>
      </c>
      <c r="C52" s="34">
        <f>[16]С2.1!E20</f>
        <v>-37</v>
      </c>
    </row>
    <row r="53" spans="1:3" ht="25.5">
      <c r="A53" s="22" t="s">
        <v>53</v>
      </c>
      <c r="B53" s="54" t="s">
        <v>54</v>
      </c>
      <c r="C53" s="34" t="str">
        <f>[16]С2.1!E23</f>
        <v>нет</v>
      </c>
    </row>
    <row r="54" spans="1:3" ht="38.25">
      <c r="A54" s="22" t="s">
        <v>55</v>
      </c>
      <c r="B54" s="55" t="s">
        <v>56</v>
      </c>
      <c r="C54" s="34">
        <f>[16]С2.2!E10</f>
        <v>1287</v>
      </c>
    </row>
    <row r="55" spans="1:3" ht="25.5">
      <c r="A55" s="22" t="s">
        <v>57</v>
      </c>
      <c r="B55" s="56" t="s">
        <v>58</v>
      </c>
      <c r="C55" s="34">
        <f>[16]С2.2!E12</f>
        <v>5.97</v>
      </c>
    </row>
    <row r="56" spans="1:3" ht="52.5">
      <c r="A56" s="22" t="s">
        <v>59</v>
      </c>
      <c r="B56" s="57" t="s">
        <v>60</v>
      </c>
      <c r="C56" s="34">
        <f>[16]С2.2!E13</f>
        <v>1</v>
      </c>
    </row>
    <row r="57" spans="1:3" ht="27.75">
      <c r="A57" s="22" t="s">
        <v>61</v>
      </c>
      <c r="B57" s="56" t="s">
        <v>62</v>
      </c>
      <c r="C57" s="34">
        <f>[16]С2.2!E14</f>
        <v>12104</v>
      </c>
    </row>
    <row r="58" spans="1:3" ht="25.5">
      <c r="A58" s="22" t="s">
        <v>63</v>
      </c>
      <c r="B58" s="57" t="s">
        <v>64</v>
      </c>
      <c r="C58" s="35">
        <f>[16]С2.2!E15</f>
        <v>4.8000000000000001E-2</v>
      </c>
    </row>
    <row r="59" spans="1:3">
      <c r="A59" s="22" t="s">
        <v>65</v>
      </c>
      <c r="B59" s="57" t="s">
        <v>66</v>
      </c>
      <c r="C59" s="124">
        <f>[16]С2.2!E16</f>
        <v>1</v>
      </c>
    </row>
    <row r="60" spans="1:3" ht="15.75">
      <c r="A60" s="22" t="s">
        <v>67</v>
      </c>
      <c r="B60" s="58" t="s">
        <v>68</v>
      </c>
      <c r="C60" s="34">
        <f>[16]С2!F21</f>
        <v>1</v>
      </c>
    </row>
    <row r="61" spans="1:3" ht="30">
      <c r="A61" s="59" t="s">
        <v>69</v>
      </c>
      <c r="B61" s="33" t="s">
        <v>243</v>
      </c>
      <c r="C61" s="34">
        <f>[16]С2!F13</f>
        <v>105136.23090983224</v>
      </c>
    </row>
    <row r="62" spans="1:3" ht="30">
      <c r="A62" s="59" t="s">
        <v>71</v>
      </c>
      <c r="B62" s="60" t="s">
        <v>244</v>
      </c>
      <c r="C62" s="34">
        <f>[16]С2!F14</f>
        <v>64899</v>
      </c>
    </row>
    <row r="63" spans="1:3" ht="15.75">
      <c r="A63" s="59" t="s">
        <v>73</v>
      </c>
      <c r="B63" s="60" t="s">
        <v>74</v>
      </c>
      <c r="C63" s="40">
        <f>[16]С2!F15</f>
        <v>1.071</v>
      </c>
    </row>
    <row r="64" spans="1:3" ht="15.75">
      <c r="A64" s="59" t="s">
        <v>75</v>
      </c>
      <c r="B64" s="60" t="s">
        <v>76</v>
      </c>
      <c r="C64" s="125">
        <f>[16]С2!F16</f>
        <v>1</v>
      </c>
    </row>
    <row r="65" spans="1:3" ht="17.25">
      <c r="A65" s="59" t="s">
        <v>77</v>
      </c>
      <c r="B65" s="60" t="s">
        <v>78</v>
      </c>
      <c r="C65" s="126">
        <f>[16]С2!F17</f>
        <v>1.01</v>
      </c>
    </row>
    <row r="66" spans="1:3" s="63" customFormat="1" ht="14.25">
      <c r="A66" s="59" t="s">
        <v>79</v>
      </c>
      <c r="B66" s="61" t="s">
        <v>80</v>
      </c>
      <c r="C66" s="62">
        <f>[16]С2!F35</f>
        <v>10</v>
      </c>
    </row>
    <row r="67" spans="1:3" ht="30">
      <c r="A67" s="59" t="s">
        <v>81</v>
      </c>
      <c r="B67" s="64" t="s">
        <v>82</v>
      </c>
      <c r="C67" s="34">
        <f>[16]С2!F28</f>
        <v>141.64867100230373</v>
      </c>
    </row>
    <row r="68" spans="1:3" ht="17.25">
      <c r="A68" s="59" t="s">
        <v>83</v>
      </c>
      <c r="B68" s="53" t="s">
        <v>245</v>
      </c>
      <c r="C68" s="40">
        <f>[16]С2!F29</f>
        <v>0.18916419899999998</v>
      </c>
    </row>
    <row r="69" spans="1:3" ht="17.25">
      <c r="A69" s="59" t="s">
        <v>85</v>
      </c>
      <c r="B69" s="58" t="s">
        <v>246</v>
      </c>
      <c r="C69" s="62">
        <f>[16]С2!F30</f>
        <v>500</v>
      </c>
    </row>
    <row r="70" spans="1:3" ht="42.75">
      <c r="A70" s="59" t="s">
        <v>87</v>
      </c>
      <c r="B70" s="33" t="s">
        <v>247</v>
      </c>
      <c r="C70" s="34">
        <f>[16]С2!F22</f>
        <v>39638.324046481182</v>
      </c>
    </row>
    <row r="71" spans="1:3" ht="30">
      <c r="A71" s="59" t="s">
        <v>89</v>
      </c>
      <c r="B71" s="60" t="s">
        <v>248</v>
      </c>
      <c r="C71" s="34">
        <f>[16]С2!F23</f>
        <v>21</v>
      </c>
    </row>
    <row r="72" spans="1:3" ht="30">
      <c r="A72" s="59" t="s">
        <v>91</v>
      </c>
      <c r="B72" s="53" t="s">
        <v>92</v>
      </c>
      <c r="C72" s="34">
        <f>[16]С2.1!E28</f>
        <v>14036.09995</v>
      </c>
    </row>
    <row r="73" spans="1:3" ht="38.25">
      <c r="A73" s="59" t="s">
        <v>93</v>
      </c>
      <c r="B73" s="65" t="s">
        <v>94</v>
      </c>
      <c r="C73" s="52">
        <f>[16]С2.3!E21</f>
        <v>0</v>
      </c>
    </row>
    <row r="74" spans="1:3" ht="25.5">
      <c r="A74" s="59" t="s">
        <v>95</v>
      </c>
      <c r="B74" s="66" t="s">
        <v>96</v>
      </c>
      <c r="C74" s="67">
        <f>[16]С2.3!E11</f>
        <v>5.45</v>
      </c>
    </row>
    <row r="75" spans="1:3" ht="25.5">
      <c r="A75" s="59" t="s">
        <v>97</v>
      </c>
      <c r="B75" s="66" t="s">
        <v>98</v>
      </c>
      <c r="C75" s="62">
        <f>[16]С2.3!E13</f>
        <v>300</v>
      </c>
    </row>
    <row r="76" spans="1:3" ht="25.5">
      <c r="A76" s="59" t="s">
        <v>99</v>
      </c>
      <c r="B76" s="65" t="s">
        <v>100</v>
      </c>
      <c r="C76" s="68">
        <f>IF([16]С2.3!E22&gt;0,[16]С2.3!E22,[16]С2.3!E14)</f>
        <v>61211</v>
      </c>
    </row>
    <row r="77" spans="1:3" ht="38.25">
      <c r="A77" s="59" t="s">
        <v>101</v>
      </c>
      <c r="B77" s="65" t="s">
        <v>102</v>
      </c>
      <c r="C77" s="68">
        <f>IF([16]С2.3!E23&gt;0,[16]С2.3!E23,[16]С2.3!E15)</f>
        <v>45675</v>
      </c>
    </row>
    <row r="78" spans="1:3" ht="30">
      <c r="A78" s="59" t="s">
        <v>103</v>
      </c>
      <c r="B78" s="53" t="s">
        <v>104</v>
      </c>
      <c r="C78" s="34">
        <f>[16]С2.1!E29</f>
        <v>9518.3274000000001</v>
      </c>
    </row>
    <row r="79" spans="1:3" ht="38.25">
      <c r="A79" s="59" t="s">
        <v>105</v>
      </c>
      <c r="B79" s="65" t="s">
        <v>106</v>
      </c>
      <c r="C79" s="52">
        <f>[16]С2.3!E25</f>
        <v>0</v>
      </c>
    </row>
    <row r="80" spans="1:3" ht="25.5">
      <c r="A80" s="59" t="s">
        <v>107</v>
      </c>
      <c r="B80" s="66" t="s">
        <v>108</v>
      </c>
      <c r="C80" s="67">
        <f>[16]С2.3!E12</f>
        <v>0.2</v>
      </c>
    </row>
    <row r="81" spans="1:3" ht="25.5">
      <c r="A81" s="59" t="s">
        <v>109</v>
      </c>
      <c r="B81" s="66" t="s">
        <v>98</v>
      </c>
      <c r="C81" s="62">
        <f>[16]С2.3!E13</f>
        <v>300</v>
      </c>
    </row>
    <row r="82" spans="1:3" ht="25.5">
      <c r="A82" s="59" t="s">
        <v>110</v>
      </c>
      <c r="B82" s="69" t="s">
        <v>111</v>
      </c>
      <c r="C82" s="68">
        <f>IF([16]С2.3!E26&gt;0,[16]С2.3!E26,[16]С2.3!E16)</f>
        <v>65637</v>
      </c>
    </row>
    <row r="83" spans="1:3" ht="38.25">
      <c r="A83" s="59" t="s">
        <v>112</v>
      </c>
      <c r="B83" s="69" t="s">
        <v>113</v>
      </c>
      <c r="C83" s="68">
        <f>IF([16]С2.3!E27&gt;0,[16]С2.3!E27,[16]С2.3!E17)</f>
        <v>31684</v>
      </c>
    </row>
    <row r="84" spans="1:3" ht="30">
      <c r="A84" s="59" t="s">
        <v>249</v>
      </c>
      <c r="B84" s="60" t="s">
        <v>250</v>
      </c>
      <c r="C84" s="68">
        <f>IF([16]С2.1!E19&gt;0,[16]С2.1!E19,[16]С2!F26)</f>
        <v>2892</v>
      </c>
    </row>
    <row r="85" spans="1:3" ht="17.25">
      <c r="A85" s="59" t="s">
        <v>114</v>
      </c>
      <c r="B85" s="33" t="s">
        <v>115</v>
      </c>
      <c r="C85" s="35">
        <f>[16]С2!F31</f>
        <v>9.5962865259740182E-2</v>
      </c>
    </row>
    <row r="86" spans="1:3" ht="30">
      <c r="A86" s="59" t="s">
        <v>116</v>
      </c>
      <c r="B86" s="53" t="s">
        <v>117</v>
      </c>
      <c r="C86" s="70">
        <f>[16]С2!F32</f>
        <v>8.4029304029304031E-2</v>
      </c>
    </row>
    <row r="87" spans="1:3" ht="17.25">
      <c r="A87" s="59" t="s">
        <v>118</v>
      </c>
      <c r="B87" s="71" t="s">
        <v>119</v>
      </c>
      <c r="C87" s="35">
        <f>[16]С2!F33</f>
        <v>0.13880000000000001</v>
      </c>
    </row>
    <row r="88" spans="1:3" s="63" customFormat="1" ht="18" thickBot="1">
      <c r="A88" s="72" t="s">
        <v>120</v>
      </c>
      <c r="B88" s="73" t="s">
        <v>121</v>
      </c>
      <c r="C88" s="74">
        <f>[16]С2!F34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[16]С3!F14</f>
        <v>4199.9055432306041</v>
      </c>
    </row>
    <row r="92" spans="1:3" s="63" customFormat="1" ht="42.75">
      <c r="A92" s="77" t="s">
        <v>126</v>
      </c>
      <c r="B92" s="53" t="s">
        <v>127</v>
      </c>
      <c r="C92" s="78">
        <f>[16]С3!F15</f>
        <v>0.2</v>
      </c>
    </row>
    <row r="93" spans="1:3" s="63" customFormat="1" ht="14.25">
      <c r="A93" s="77" t="s">
        <v>128</v>
      </c>
      <c r="B93" s="79" t="s">
        <v>129</v>
      </c>
      <c r="C93" s="62">
        <f>[16]С3!F18</f>
        <v>15</v>
      </c>
    </row>
    <row r="94" spans="1:3" s="63" customFormat="1" ht="17.25">
      <c r="A94" s="77" t="s">
        <v>130</v>
      </c>
      <c r="B94" s="33" t="s">
        <v>131</v>
      </c>
      <c r="C94" s="34">
        <f>[16]С3!F19</f>
        <v>2638.2577020926874</v>
      </c>
    </row>
    <row r="95" spans="1:3" s="63" customFormat="1" ht="55.5">
      <c r="A95" s="77" t="s">
        <v>132</v>
      </c>
      <c r="B95" s="53" t="s">
        <v>133</v>
      </c>
      <c r="C95" s="80">
        <f>[16]С3!F20</f>
        <v>2.1999999999999999E-2</v>
      </c>
    </row>
    <row r="96" spans="1:3" s="63" customFormat="1" ht="14.25">
      <c r="A96" s="77" t="s">
        <v>134</v>
      </c>
      <c r="B96" s="58" t="s">
        <v>80</v>
      </c>
      <c r="C96" s="62">
        <f>[16]С3!F21</f>
        <v>10</v>
      </c>
    </row>
    <row r="97" spans="1:3" s="63" customFormat="1" ht="17.25">
      <c r="A97" s="77" t="s">
        <v>135</v>
      </c>
      <c r="B97" s="33" t="s">
        <v>136</v>
      </c>
      <c r="C97" s="34">
        <f>[16]С3!F22</f>
        <v>0.42494601300691121</v>
      </c>
    </row>
    <row r="98" spans="1:3" s="63" customFormat="1" ht="55.5">
      <c r="A98" s="77" t="s">
        <v>137</v>
      </c>
      <c r="B98" s="53" t="s">
        <v>138</v>
      </c>
      <c r="C98" s="80">
        <f>[16]С3!F23</f>
        <v>3.0000000000000001E-3</v>
      </c>
    </row>
    <row r="99" spans="1:3" s="63" customFormat="1" ht="30.75" thickBot="1">
      <c r="A99" s="81" t="s">
        <v>139</v>
      </c>
      <c r="B99" s="82" t="s">
        <v>82</v>
      </c>
      <c r="C99" s="83">
        <f>[16]С3!F24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[16]С4!F16</f>
        <v>832.33500000000004</v>
      </c>
    </row>
    <row r="103" spans="1:3" ht="30">
      <c r="A103" s="59" t="s">
        <v>145</v>
      </c>
      <c r="B103" s="58" t="s">
        <v>252</v>
      </c>
      <c r="C103" s="34">
        <f>[16]С4!F17</f>
        <v>43385</v>
      </c>
    </row>
    <row r="104" spans="1:3" ht="17.25">
      <c r="A104" s="59" t="s">
        <v>147</v>
      </c>
      <c r="B104" s="58" t="s">
        <v>148</v>
      </c>
      <c r="C104" s="40">
        <f>[16]С4!F18</f>
        <v>1.4999999999999999E-2</v>
      </c>
    </row>
    <row r="105" spans="1:3" ht="30">
      <c r="A105" s="59" t="s">
        <v>149</v>
      </c>
      <c r="B105" s="58" t="s">
        <v>150</v>
      </c>
      <c r="C105" s="34">
        <f>[16]С4!F19</f>
        <v>12104</v>
      </c>
    </row>
    <row r="106" spans="1:3" ht="31.5">
      <c r="A106" s="59" t="s">
        <v>151</v>
      </c>
      <c r="B106" s="58" t="s">
        <v>152</v>
      </c>
      <c r="C106" s="40">
        <f>[16]С4!F20</f>
        <v>1.4999999999999999E-2</v>
      </c>
    </row>
    <row r="107" spans="1:3" ht="30">
      <c r="A107" s="59" t="s">
        <v>153</v>
      </c>
      <c r="B107" s="33" t="s">
        <v>253</v>
      </c>
      <c r="C107" s="34">
        <f>[16]С4!F21</f>
        <v>1221.9019409821399</v>
      </c>
    </row>
    <row r="108" spans="1:3" ht="45.6" customHeight="1">
      <c r="A108" s="59" t="s">
        <v>155</v>
      </c>
      <c r="B108" s="53" t="s">
        <v>156</v>
      </c>
      <c r="C108" s="85" t="str">
        <f>IF([16]С4.2!F8="да",[16]С4.2!D21,[16]С4.2!D15)</f>
        <v>АО "Новосибирскэнергосбыт"</v>
      </c>
    </row>
    <row r="109" spans="1:3" ht="68.25" customHeight="1">
      <c r="A109" s="59" t="s">
        <v>157</v>
      </c>
      <c r="B109" s="53" t="s">
        <v>158</v>
      </c>
      <c r="C109" s="34">
        <f>[16]С4!F22</f>
        <v>3.6112641666666665</v>
      </c>
    </row>
    <row r="110" spans="1:3" ht="30">
      <c r="A110" s="59" t="s">
        <v>159</v>
      </c>
      <c r="B110" s="58" t="s">
        <v>254</v>
      </c>
      <c r="C110" s="62">
        <f>[16]С4!F23</f>
        <v>110</v>
      </c>
    </row>
    <row r="111" spans="1:3" ht="14.25">
      <c r="A111" s="59" t="s">
        <v>161</v>
      </c>
      <c r="B111" s="53" t="s">
        <v>162</v>
      </c>
      <c r="C111" s="34">
        <f>[16]С4!F24</f>
        <v>8497.1999999999989</v>
      </c>
    </row>
    <row r="112" spans="1:3" ht="14.25">
      <c r="A112" s="59" t="s">
        <v>163</v>
      </c>
      <c r="B112" s="58" t="s">
        <v>164</v>
      </c>
      <c r="C112" s="40">
        <f>[16]С4!F25</f>
        <v>0.36199999999999999</v>
      </c>
    </row>
    <row r="113" spans="1:3" ht="17.25">
      <c r="A113" s="59" t="s">
        <v>165</v>
      </c>
      <c r="B113" s="33" t="s">
        <v>166</v>
      </c>
      <c r="C113" s="34">
        <f>[16]С4!F26</f>
        <v>30.754549999999998</v>
      </c>
    </row>
    <row r="114" spans="1:3" ht="25.5">
      <c r="A114" s="59" t="s">
        <v>167</v>
      </c>
      <c r="B114" s="53" t="s">
        <v>94</v>
      </c>
      <c r="C114" s="85">
        <f>[16]С4.3!E16</f>
        <v>0</v>
      </c>
    </row>
    <row r="115" spans="1:3" ht="25.5">
      <c r="A115" s="59" t="s">
        <v>168</v>
      </c>
      <c r="B115" s="53" t="s">
        <v>169</v>
      </c>
      <c r="C115" s="34">
        <f>[16]С4.3!E17</f>
        <v>15.47</v>
      </c>
    </row>
    <row r="116" spans="1:3" ht="38.25">
      <c r="A116" s="59" t="s">
        <v>170</v>
      </c>
      <c r="B116" s="53" t="s">
        <v>106</v>
      </c>
      <c r="C116" s="85">
        <f>[16]С4.3!E18</f>
        <v>0</v>
      </c>
    </row>
    <row r="117" spans="1:3">
      <c r="A117" s="59" t="s">
        <v>171</v>
      </c>
      <c r="B117" s="53" t="s">
        <v>172</v>
      </c>
      <c r="C117" s="34">
        <f>[16]С4.3!E19</f>
        <v>11.87</v>
      </c>
    </row>
    <row r="118" spans="1:3">
      <c r="A118" s="59" t="s">
        <v>173</v>
      </c>
      <c r="B118" s="58" t="s">
        <v>174</v>
      </c>
      <c r="C118" s="62">
        <f>[16]С4.3!E11</f>
        <v>1871</v>
      </c>
    </row>
    <row r="119" spans="1:3">
      <c r="A119" s="59" t="s">
        <v>175</v>
      </c>
      <c r="B119" s="58" t="s">
        <v>176</v>
      </c>
      <c r="C119" s="52">
        <f>[16]С4.3!E12</f>
        <v>61</v>
      </c>
    </row>
    <row r="120" spans="1:3">
      <c r="A120" s="59" t="s">
        <v>177</v>
      </c>
      <c r="B120" s="58" t="s">
        <v>178</v>
      </c>
      <c r="C120" s="52">
        <f>[16]С4.3!E13</f>
        <v>73</v>
      </c>
    </row>
    <row r="121" spans="1:3" ht="30">
      <c r="A121" s="59" t="s">
        <v>179</v>
      </c>
      <c r="B121" s="33" t="s">
        <v>255</v>
      </c>
      <c r="C121" s="34">
        <f>[16]С4!F27</f>
        <v>1296.7467102743137</v>
      </c>
    </row>
    <row r="122" spans="1:3" ht="25.5">
      <c r="A122" s="59" t="s">
        <v>181</v>
      </c>
      <c r="B122" s="53" t="s">
        <v>256</v>
      </c>
      <c r="C122" s="34">
        <f>[16]С4!F28</f>
        <v>995.96521526444985</v>
      </c>
    </row>
    <row r="123" spans="1:3" ht="42.75">
      <c r="A123" s="59" t="s">
        <v>183</v>
      </c>
      <c r="B123" s="53" t="s">
        <v>184</v>
      </c>
      <c r="C123" s="34">
        <f>[16]С4!F29</f>
        <v>300.78149500986387</v>
      </c>
    </row>
    <row r="124" spans="1:3" ht="30.75" thickBot="1">
      <c r="A124" s="72" t="s">
        <v>185</v>
      </c>
      <c r="B124" s="90" t="s">
        <v>186</v>
      </c>
      <c r="C124" s="83">
        <f>[16]С4!F30</f>
        <v>503.66082463782544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[16]С5!F17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IF([16]С6.1!E11="нет",[16]С6!F13,"")</f>
        <v/>
      </c>
    </row>
    <row r="131" spans="1:3" ht="42.75">
      <c r="A131" s="59" t="s">
        <v>204</v>
      </c>
      <c r="B131" s="86" t="s">
        <v>205</v>
      </c>
      <c r="C131" s="92" t="str">
        <f>IF([16]С6.1!E12="нет",[16]С6.1!E17,"")</f>
        <v/>
      </c>
    </row>
    <row r="132" spans="1:3" ht="68.25">
      <c r="A132" s="59" t="s">
        <v>206</v>
      </c>
      <c r="B132" s="91" t="s">
        <v>207</v>
      </c>
      <c r="C132" s="127" t="str">
        <f>IF([16]С6.1!E18="нет",[16]С6!F19,"")</f>
        <v/>
      </c>
    </row>
    <row r="133" spans="1:3" ht="55.5">
      <c r="A133" s="59" t="s">
        <v>208</v>
      </c>
      <c r="B133" s="86" t="s">
        <v>209</v>
      </c>
      <c r="C133" s="35" t="str">
        <f>IF([16]С6.1!E18="нет",[16]С6.1!E19,"")</f>
        <v/>
      </c>
    </row>
    <row r="134" spans="1:3" ht="61.5" customHeight="1">
      <c r="A134" s="59" t="s">
        <v>210</v>
      </c>
      <c r="B134" s="86" t="s">
        <v>257</v>
      </c>
      <c r="C134" s="35" t="str">
        <f>IF([16]С6.1!E18="нет",[16]С6.1!E22,"")</f>
        <v/>
      </c>
    </row>
    <row r="135" spans="1:3" ht="69" thickBot="1">
      <c r="A135" s="72" t="s">
        <v>212</v>
      </c>
      <c r="B135" s="98" t="s">
        <v>213</v>
      </c>
      <c r="C135" s="74" t="str">
        <f>IF([16]С6.1!E18="нет",[16]С6.1!E23,"")</f>
        <v/>
      </c>
    </row>
    <row r="136" spans="1:3" s="89" customFormat="1" ht="13.5" thickBot="1">
      <c r="A136" s="47"/>
      <c r="B136" s="75"/>
      <c r="C136" s="15"/>
    </row>
    <row r="137" spans="1:3" ht="15.75">
      <c r="A137" s="84" t="s">
        <v>214</v>
      </c>
      <c r="B137" s="99" t="s">
        <v>215</v>
      </c>
      <c r="C137" s="100">
        <f>[16]С2!F39</f>
        <v>21.531904799999996</v>
      </c>
    </row>
    <row r="138" spans="1:3" ht="14.25">
      <c r="A138" s="59" t="s">
        <v>216</v>
      </c>
      <c r="B138" s="58" t="s">
        <v>217</v>
      </c>
      <c r="C138" s="34">
        <f>[16]С2!F40</f>
        <v>7</v>
      </c>
    </row>
    <row r="139" spans="1:3" ht="17.25">
      <c r="A139" s="59" t="s">
        <v>218</v>
      </c>
      <c r="B139" s="58" t="s">
        <v>219</v>
      </c>
      <c r="C139" s="34">
        <f>[16]С2!F42</f>
        <v>0.97</v>
      </c>
    </row>
    <row r="140" spans="1:3" ht="15" thickBot="1">
      <c r="A140" s="72" t="s">
        <v>220</v>
      </c>
      <c r="B140" s="73" t="s">
        <v>221</v>
      </c>
      <c r="C140" s="46">
        <f>[16]С2!F44</f>
        <v>0.36199999999999999</v>
      </c>
    </row>
    <row r="141" spans="1:3" s="89" customFormat="1" ht="13.5" thickBot="1">
      <c r="A141" s="47"/>
      <c r="B141" s="75"/>
      <c r="C141" s="15"/>
    </row>
    <row r="142" spans="1:3" ht="17.25">
      <c r="A142" s="84" t="s">
        <v>222</v>
      </c>
      <c r="B142" s="103" t="s">
        <v>258</v>
      </c>
      <c r="C142" s="128">
        <f>[16]С2!F37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[16]С2.5!$E$11</f>
        <v>-2.9000000000000026E-2</v>
      </c>
    </row>
    <row r="146" spans="1:3">
      <c r="B146" s="131">
        <f>B145+1</f>
        <v>2021</v>
      </c>
      <c r="C146" s="133">
        <f>[16]С2.5!$F$11</f>
        <v>0.245</v>
      </c>
    </row>
    <row r="147" spans="1:3">
      <c r="B147" s="131">
        <f t="shared" ref="B147:B210" si="0">B146+1</f>
        <v>2022</v>
      </c>
      <c r="C147" s="134">
        <f>[16]С2.5!$G$11</f>
        <v>0.114</v>
      </c>
    </row>
    <row r="148" spans="1:3">
      <c r="B148" s="110">
        <f t="shared" si="0"/>
        <v>2023</v>
      </c>
      <c r="C148" s="135">
        <f>[16]С2.5!$H$11</f>
        <v>2.4E-2</v>
      </c>
    </row>
    <row r="149" spans="1:3" ht="13.5" thickBot="1">
      <c r="B149" s="110">
        <f t="shared" si="0"/>
        <v>2024</v>
      </c>
      <c r="C149" s="135">
        <f>[16]С2.5!$I$11</f>
        <v>8.5999999999999993E-2</v>
      </c>
    </row>
    <row r="150" spans="1:3" ht="13.5" hidden="1" thickBot="1">
      <c r="B150" s="110">
        <f t="shared" si="0"/>
        <v>2025</v>
      </c>
      <c r="C150" s="135">
        <f>[16]С2.5!$J$11</f>
        <v>0</v>
      </c>
    </row>
    <row r="151" spans="1:3" ht="13.5" hidden="1" thickBot="1">
      <c r="B151" s="110">
        <f t="shared" si="0"/>
        <v>2026</v>
      </c>
      <c r="C151" s="135">
        <f>[16]С2.5!$K$11</f>
        <v>0</v>
      </c>
    </row>
    <row r="152" spans="1:3" ht="13.5" hidden="1" thickBot="1">
      <c r="B152" s="110">
        <f t="shared" si="0"/>
        <v>2027</v>
      </c>
      <c r="C152" s="135">
        <f>[16]С2.5!$L$11</f>
        <v>0</v>
      </c>
    </row>
    <row r="153" spans="1:3" ht="13.5" hidden="1" thickBot="1">
      <c r="B153" s="110">
        <f t="shared" si="0"/>
        <v>2028</v>
      </c>
      <c r="C153" s="135">
        <f>[16]С2.5!$M$11</f>
        <v>0</v>
      </c>
    </row>
    <row r="154" spans="1:3" ht="13.5" hidden="1" thickBot="1">
      <c r="B154" s="110">
        <f t="shared" si="0"/>
        <v>2029</v>
      </c>
      <c r="C154" s="135">
        <f>[16]С2.5!$N$11</f>
        <v>0</v>
      </c>
    </row>
    <row r="155" spans="1:3" ht="13.5" hidden="1" thickBot="1">
      <c r="B155" s="110">
        <f t="shared" si="0"/>
        <v>2030</v>
      </c>
      <c r="C155" s="135">
        <f>[16]С2.5!$O$11</f>
        <v>0</v>
      </c>
    </row>
    <row r="156" spans="1:3" ht="13.5" hidden="1" thickBot="1">
      <c r="B156" s="110">
        <f t="shared" si="0"/>
        <v>2031</v>
      </c>
      <c r="C156" s="135">
        <f>[16]С2.5!$P$11</f>
        <v>0</v>
      </c>
    </row>
    <row r="157" spans="1:3" ht="13.5" hidden="1" thickBot="1">
      <c r="B157" s="110">
        <f t="shared" si="0"/>
        <v>2032</v>
      </c>
      <c r="C157" s="135">
        <f>[16]С2.5!$Q$11</f>
        <v>0</v>
      </c>
    </row>
    <row r="158" spans="1:3" ht="13.5" hidden="1" thickBot="1">
      <c r="B158" s="110">
        <f t="shared" si="0"/>
        <v>2033</v>
      </c>
      <c r="C158" s="135">
        <f>[16]С2.5!$R$11</f>
        <v>0</v>
      </c>
    </row>
    <row r="159" spans="1:3" ht="13.5" hidden="1" thickBot="1">
      <c r="B159" s="110">
        <f t="shared" si="0"/>
        <v>2034</v>
      </c>
      <c r="C159" s="135">
        <f>[16]С2.5!$S$11</f>
        <v>0</v>
      </c>
    </row>
    <row r="160" spans="1:3" ht="13.5" hidden="1" thickBot="1">
      <c r="B160" s="110">
        <f t="shared" si="0"/>
        <v>2035</v>
      </c>
      <c r="C160" s="135">
        <f>[16]С2.5!$T$11</f>
        <v>0</v>
      </c>
    </row>
    <row r="161" spans="2:3" ht="13.5" hidden="1" thickBot="1">
      <c r="B161" s="110">
        <f t="shared" si="0"/>
        <v>2036</v>
      </c>
      <c r="C161" s="135">
        <f>[16]С2.5!$U$11</f>
        <v>0</v>
      </c>
    </row>
    <row r="162" spans="2:3" ht="13.5" hidden="1" thickBot="1">
      <c r="B162" s="110">
        <f t="shared" si="0"/>
        <v>2037</v>
      </c>
      <c r="C162" s="135">
        <f>[16]С2.5!$V$11</f>
        <v>0</v>
      </c>
    </row>
    <row r="163" spans="2:3" ht="13.5" hidden="1" thickBot="1">
      <c r="B163" s="110">
        <f t="shared" si="0"/>
        <v>2038</v>
      </c>
      <c r="C163" s="135">
        <f>[16]С2.5!$W$11</f>
        <v>0</v>
      </c>
    </row>
    <row r="164" spans="2:3" ht="13.5" hidden="1" thickBot="1">
      <c r="B164" s="110">
        <f t="shared" si="0"/>
        <v>2039</v>
      </c>
      <c r="C164" s="135">
        <f>[16]С2.5!$X$11</f>
        <v>0</v>
      </c>
    </row>
    <row r="165" spans="2:3" ht="13.5" hidden="1" thickBot="1">
      <c r="B165" s="110">
        <f t="shared" si="0"/>
        <v>2040</v>
      </c>
      <c r="C165" s="135">
        <f>[16]С2.5!$Y$11</f>
        <v>0</v>
      </c>
    </row>
    <row r="166" spans="2:3" ht="13.5" hidden="1" thickBot="1">
      <c r="B166" s="110">
        <f t="shared" si="0"/>
        <v>2041</v>
      </c>
      <c r="C166" s="135">
        <f>[16]С2.5!$Z$11</f>
        <v>0</v>
      </c>
    </row>
    <row r="167" spans="2:3" ht="13.5" hidden="1" thickBot="1">
      <c r="B167" s="110">
        <f t="shared" si="0"/>
        <v>2042</v>
      </c>
      <c r="C167" s="135">
        <f>[16]С2.5!$AA$11</f>
        <v>0</v>
      </c>
    </row>
    <row r="168" spans="2:3" ht="13.5" hidden="1" thickBot="1">
      <c r="B168" s="110">
        <f t="shared" si="0"/>
        <v>2043</v>
      </c>
      <c r="C168" s="135">
        <f>[16]С2.5!$AB$11</f>
        <v>0</v>
      </c>
    </row>
    <row r="169" spans="2:3" ht="13.5" hidden="1" thickBot="1">
      <c r="B169" s="110">
        <f t="shared" si="0"/>
        <v>2044</v>
      </c>
      <c r="C169" s="135">
        <f>[16]С2.5!$AC$11</f>
        <v>0</v>
      </c>
    </row>
    <row r="170" spans="2:3" ht="13.5" hidden="1" thickBot="1">
      <c r="B170" s="110">
        <f t="shared" si="0"/>
        <v>2045</v>
      </c>
      <c r="C170" s="135">
        <f>[16]С2.5!$AD$11</f>
        <v>0</v>
      </c>
    </row>
    <row r="171" spans="2:3" ht="13.5" hidden="1" thickBot="1">
      <c r="B171" s="110">
        <f t="shared" si="0"/>
        <v>2046</v>
      </c>
      <c r="C171" s="135">
        <f>[16]С2.5!$AE$11</f>
        <v>0</v>
      </c>
    </row>
    <row r="172" spans="2:3" ht="13.5" hidden="1" thickBot="1">
      <c r="B172" s="110">
        <f t="shared" si="0"/>
        <v>2047</v>
      </c>
      <c r="C172" s="135">
        <f>[16]С2.5!$AF$11</f>
        <v>0</v>
      </c>
    </row>
    <row r="173" spans="2:3" ht="13.5" hidden="1" thickBot="1">
      <c r="B173" s="110">
        <f t="shared" si="0"/>
        <v>2048</v>
      </c>
      <c r="C173" s="135">
        <f>[16]С2.5!$AG$11</f>
        <v>0</v>
      </c>
    </row>
    <row r="174" spans="2:3" ht="13.5" hidden="1" thickBot="1">
      <c r="B174" s="110">
        <f t="shared" si="0"/>
        <v>2049</v>
      </c>
      <c r="C174" s="135">
        <f>[16]С2.5!$AH$11</f>
        <v>0</v>
      </c>
    </row>
    <row r="175" spans="2:3" ht="13.5" hidden="1" thickBot="1">
      <c r="B175" s="110">
        <f t="shared" si="0"/>
        <v>2050</v>
      </c>
      <c r="C175" s="135">
        <f>[16]С2.5!$AI$11</f>
        <v>0</v>
      </c>
    </row>
    <row r="176" spans="2:3" ht="13.5" hidden="1" thickBot="1">
      <c r="B176" s="110">
        <f t="shared" si="0"/>
        <v>2051</v>
      </c>
      <c r="C176" s="135">
        <f>[16]С2.5!$AJ$11</f>
        <v>0</v>
      </c>
    </row>
    <row r="177" spans="2:3" ht="13.5" hidden="1" thickBot="1">
      <c r="B177" s="110">
        <f t="shared" si="0"/>
        <v>2052</v>
      </c>
      <c r="C177" s="135">
        <f>[16]С2.5!$AK$11</f>
        <v>0</v>
      </c>
    </row>
    <row r="178" spans="2:3" ht="13.5" hidden="1" thickBot="1">
      <c r="B178" s="110">
        <f t="shared" si="0"/>
        <v>2053</v>
      </c>
      <c r="C178" s="135">
        <f>[16]С2.5!$AL$11</f>
        <v>0</v>
      </c>
    </row>
    <row r="179" spans="2:3" ht="13.5" hidden="1" thickBot="1">
      <c r="B179" s="110">
        <f t="shared" si="0"/>
        <v>2054</v>
      </c>
      <c r="C179" s="135">
        <f>[16]С2.5!$AM$11</f>
        <v>0</v>
      </c>
    </row>
    <row r="180" spans="2:3" ht="13.5" hidden="1" thickBot="1">
      <c r="B180" s="110">
        <f t="shared" si="0"/>
        <v>2055</v>
      </c>
      <c r="C180" s="135">
        <f>[16]С2.5!$AN$11</f>
        <v>0</v>
      </c>
    </row>
    <row r="181" spans="2:3" ht="13.5" hidden="1" thickBot="1">
      <c r="B181" s="110">
        <f t="shared" si="0"/>
        <v>2056</v>
      </c>
      <c r="C181" s="135">
        <f>[16]С2.5!$AO$11</f>
        <v>0</v>
      </c>
    </row>
    <row r="182" spans="2:3" ht="13.5" hidden="1" thickBot="1">
      <c r="B182" s="110">
        <f t="shared" si="0"/>
        <v>2057</v>
      </c>
      <c r="C182" s="135">
        <f>[16]С2.5!$AP$11</f>
        <v>0</v>
      </c>
    </row>
    <row r="183" spans="2:3" ht="13.5" hidden="1" thickBot="1">
      <c r="B183" s="110">
        <f t="shared" si="0"/>
        <v>2058</v>
      </c>
      <c r="C183" s="135">
        <f>[16]С2.5!$AQ$11</f>
        <v>0</v>
      </c>
    </row>
    <row r="184" spans="2:3" ht="13.5" hidden="1" thickBot="1">
      <c r="B184" s="110">
        <f t="shared" si="0"/>
        <v>2059</v>
      </c>
      <c r="C184" s="135">
        <f>[16]С2.5!$AR$11</f>
        <v>0</v>
      </c>
    </row>
    <row r="185" spans="2:3" ht="13.5" hidden="1" thickBot="1">
      <c r="B185" s="110">
        <f t="shared" si="0"/>
        <v>2060</v>
      </c>
      <c r="C185" s="135">
        <f>[16]С2.5!$AS$11</f>
        <v>0</v>
      </c>
    </row>
    <row r="186" spans="2:3" ht="13.5" hidden="1" thickBot="1">
      <c r="B186" s="110">
        <f t="shared" si="0"/>
        <v>2061</v>
      </c>
      <c r="C186" s="135">
        <f>[16]С2.5!$AT$11</f>
        <v>0</v>
      </c>
    </row>
    <row r="187" spans="2:3" ht="13.5" hidden="1" thickBot="1">
      <c r="B187" s="110">
        <f t="shared" si="0"/>
        <v>2062</v>
      </c>
      <c r="C187" s="135">
        <f>[16]С2.5!$AU$11</f>
        <v>0</v>
      </c>
    </row>
    <row r="188" spans="2:3" ht="13.5" hidden="1" thickBot="1">
      <c r="B188" s="110">
        <f t="shared" si="0"/>
        <v>2063</v>
      </c>
      <c r="C188" s="135">
        <f>[16]С2.5!$AV$11</f>
        <v>0</v>
      </c>
    </row>
    <row r="189" spans="2:3" ht="13.5" hidden="1" thickBot="1">
      <c r="B189" s="110">
        <f t="shared" si="0"/>
        <v>2064</v>
      </c>
      <c r="C189" s="135">
        <f>[16]С2.5!$AW$11</f>
        <v>0</v>
      </c>
    </row>
    <row r="190" spans="2:3" ht="13.5" hidden="1" thickBot="1">
      <c r="B190" s="110">
        <f t="shared" si="0"/>
        <v>2065</v>
      </c>
      <c r="C190" s="135">
        <f>[16]С2.5!$AX$11</f>
        <v>0</v>
      </c>
    </row>
    <row r="191" spans="2:3" ht="13.5" hidden="1" thickBot="1">
      <c r="B191" s="110">
        <f t="shared" si="0"/>
        <v>2066</v>
      </c>
      <c r="C191" s="135">
        <f>[16]С2.5!$AY$11</f>
        <v>0</v>
      </c>
    </row>
    <row r="192" spans="2:3" ht="13.5" hidden="1" thickBot="1">
      <c r="B192" s="110">
        <f t="shared" si="0"/>
        <v>2067</v>
      </c>
      <c r="C192" s="135">
        <f>[16]С2.5!$AZ$11</f>
        <v>0</v>
      </c>
    </row>
    <row r="193" spans="2:3" ht="13.5" hidden="1" thickBot="1">
      <c r="B193" s="110">
        <f t="shared" si="0"/>
        <v>2068</v>
      </c>
      <c r="C193" s="135">
        <f>[16]С2.5!$BA$11</f>
        <v>0</v>
      </c>
    </row>
    <row r="194" spans="2:3" ht="13.5" hidden="1" thickBot="1">
      <c r="B194" s="110">
        <f t="shared" si="0"/>
        <v>2069</v>
      </c>
      <c r="C194" s="135">
        <f>[16]С2.5!$BB$11</f>
        <v>0</v>
      </c>
    </row>
    <row r="195" spans="2:3" ht="13.5" hidden="1" thickBot="1">
      <c r="B195" s="110">
        <f t="shared" si="0"/>
        <v>2070</v>
      </c>
      <c r="C195" s="135">
        <f>[16]С2.5!$BC$11</f>
        <v>0</v>
      </c>
    </row>
    <row r="196" spans="2:3" ht="13.5" hidden="1" thickBot="1">
      <c r="B196" s="110">
        <f t="shared" si="0"/>
        <v>2071</v>
      </c>
      <c r="C196" s="135">
        <f>[16]С2.5!$BD$11</f>
        <v>0</v>
      </c>
    </row>
    <row r="197" spans="2:3" ht="13.5" hidden="1" thickBot="1">
      <c r="B197" s="110">
        <f t="shared" si="0"/>
        <v>2072</v>
      </c>
      <c r="C197" s="135">
        <f>[16]С2.5!$BE$11</f>
        <v>0</v>
      </c>
    </row>
    <row r="198" spans="2:3" ht="13.5" hidden="1" thickBot="1">
      <c r="B198" s="110">
        <f t="shared" si="0"/>
        <v>2073</v>
      </c>
      <c r="C198" s="135">
        <f>[16]С2.5!$BF$11</f>
        <v>0</v>
      </c>
    </row>
    <row r="199" spans="2:3" ht="13.5" hidden="1" thickBot="1">
      <c r="B199" s="110">
        <f t="shared" si="0"/>
        <v>2074</v>
      </c>
      <c r="C199" s="135">
        <f>[16]С2.5!$BG$11</f>
        <v>0</v>
      </c>
    </row>
    <row r="200" spans="2:3" ht="13.5" hidden="1" thickBot="1">
      <c r="B200" s="110">
        <f t="shared" si="0"/>
        <v>2075</v>
      </c>
      <c r="C200" s="135">
        <f>[16]С2.5!$BH$11</f>
        <v>0</v>
      </c>
    </row>
    <row r="201" spans="2:3" ht="13.5" hidden="1" thickBot="1">
      <c r="B201" s="110">
        <f t="shared" si="0"/>
        <v>2076</v>
      </c>
      <c r="C201" s="135">
        <f>[16]С2.5!$BI$11</f>
        <v>0</v>
      </c>
    </row>
    <row r="202" spans="2:3" ht="13.5" hidden="1" thickBot="1">
      <c r="B202" s="110">
        <f t="shared" si="0"/>
        <v>2077</v>
      </c>
      <c r="C202" s="135">
        <f>[16]С2.5!$BJ$11</f>
        <v>0</v>
      </c>
    </row>
    <row r="203" spans="2:3" ht="13.5" hidden="1" thickBot="1">
      <c r="B203" s="110">
        <f t="shared" si="0"/>
        <v>2078</v>
      </c>
      <c r="C203" s="135">
        <f>[16]С2.5!$BK$11</f>
        <v>0</v>
      </c>
    </row>
    <row r="204" spans="2:3" ht="13.5" hidden="1" thickBot="1">
      <c r="B204" s="110">
        <f t="shared" si="0"/>
        <v>2079</v>
      </c>
      <c r="C204" s="135">
        <f>[16]С2.5!$BL$11</f>
        <v>0</v>
      </c>
    </row>
    <row r="205" spans="2:3" ht="13.5" hidden="1" thickBot="1">
      <c r="B205" s="110">
        <f t="shared" si="0"/>
        <v>2080</v>
      </c>
      <c r="C205" s="135">
        <f>[16]С2.5!$BM$11</f>
        <v>0</v>
      </c>
    </row>
    <row r="206" spans="2:3" ht="13.5" hidden="1" thickBot="1">
      <c r="B206" s="110">
        <f t="shared" si="0"/>
        <v>2081</v>
      </c>
      <c r="C206" s="135">
        <f>[16]С2.5!$BN$11</f>
        <v>0</v>
      </c>
    </row>
    <row r="207" spans="2:3" ht="13.5" hidden="1" thickBot="1">
      <c r="B207" s="110">
        <f t="shared" si="0"/>
        <v>2082</v>
      </c>
      <c r="C207" s="135">
        <f>[16]С2.5!$BO$11</f>
        <v>0</v>
      </c>
    </row>
    <row r="208" spans="2:3" ht="13.5" hidden="1" thickBot="1">
      <c r="B208" s="110">
        <f t="shared" si="0"/>
        <v>2083</v>
      </c>
      <c r="C208" s="135">
        <f>[16]С2.5!$BP$11</f>
        <v>0</v>
      </c>
    </row>
    <row r="209" spans="2:3" ht="13.5" hidden="1" thickBot="1">
      <c r="B209" s="110">
        <f t="shared" si="0"/>
        <v>2084</v>
      </c>
      <c r="C209" s="135">
        <f>[16]С2.5!$BQ$11</f>
        <v>0</v>
      </c>
    </row>
    <row r="210" spans="2:3" ht="13.5" hidden="1" thickBot="1">
      <c r="B210" s="110">
        <f t="shared" si="0"/>
        <v>2085</v>
      </c>
      <c r="C210" s="135">
        <f>[16]С2.5!$BR$11</f>
        <v>0</v>
      </c>
    </row>
    <row r="211" spans="2:3" ht="13.5" hidden="1" thickBot="1">
      <c r="B211" s="110">
        <f t="shared" ref="B211:B224" si="1">B210+1</f>
        <v>2086</v>
      </c>
      <c r="C211" s="135">
        <f>[16]С2.5!$BS$11</f>
        <v>0</v>
      </c>
    </row>
    <row r="212" spans="2:3" ht="13.5" hidden="1" thickBot="1">
      <c r="B212" s="110">
        <f t="shared" si="1"/>
        <v>2087</v>
      </c>
      <c r="C212" s="135">
        <f>[16]С2.5!$BT$11</f>
        <v>0</v>
      </c>
    </row>
    <row r="213" spans="2:3" ht="13.5" hidden="1" thickBot="1">
      <c r="B213" s="110">
        <f t="shared" si="1"/>
        <v>2088</v>
      </c>
      <c r="C213" s="135">
        <f>[16]С2.5!$BU$11</f>
        <v>0</v>
      </c>
    </row>
    <row r="214" spans="2:3" ht="13.5" hidden="1" thickBot="1">
      <c r="B214" s="110">
        <f t="shared" si="1"/>
        <v>2089</v>
      </c>
      <c r="C214" s="135">
        <f>[16]С2.5!$BV$11</f>
        <v>0</v>
      </c>
    </row>
    <row r="215" spans="2:3" ht="13.5" hidden="1" thickBot="1">
      <c r="B215" s="110">
        <f t="shared" si="1"/>
        <v>2090</v>
      </c>
      <c r="C215" s="135">
        <f>[16]С2.5!$BW$11</f>
        <v>0</v>
      </c>
    </row>
    <row r="216" spans="2:3" ht="13.5" hidden="1" thickBot="1">
      <c r="B216" s="110">
        <f t="shared" si="1"/>
        <v>2091</v>
      </c>
      <c r="C216" s="135">
        <f>[16]С2.5!$BX$11</f>
        <v>0</v>
      </c>
    </row>
    <row r="217" spans="2:3" ht="13.5" hidden="1" thickBot="1">
      <c r="B217" s="110">
        <f t="shared" si="1"/>
        <v>2092</v>
      </c>
      <c r="C217" s="135">
        <f>[16]С2.5!$BY$11</f>
        <v>0</v>
      </c>
    </row>
    <row r="218" spans="2:3" ht="13.5" hidden="1" thickBot="1">
      <c r="B218" s="110">
        <f t="shared" si="1"/>
        <v>2093</v>
      </c>
      <c r="C218" s="135">
        <f>[16]С2.5!$BZ$11</f>
        <v>0</v>
      </c>
    </row>
    <row r="219" spans="2:3" ht="13.5" hidden="1" thickBot="1">
      <c r="B219" s="110">
        <f t="shared" si="1"/>
        <v>2094</v>
      </c>
      <c r="C219" s="135">
        <f>[16]С2.5!$CA$11</f>
        <v>0</v>
      </c>
    </row>
    <row r="220" spans="2:3" ht="13.5" hidden="1" thickBot="1">
      <c r="B220" s="110">
        <f t="shared" si="1"/>
        <v>2095</v>
      </c>
      <c r="C220" s="135">
        <f>[16]С2.5!$CB$11</f>
        <v>0</v>
      </c>
    </row>
    <row r="221" spans="2:3" ht="13.5" hidden="1" thickBot="1">
      <c r="B221" s="110">
        <f t="shared" si="1"/>
        <v>2096</v>
      </c>
      <c r="C221" s="135">
        <f>[16]С2.5!$CC$11</f>
        <v>0</v>
      </c>
    </row>
    <row r="222" spans="2:3" ht="13.5" hidden="1" thickBot="1">
      <c r="B222" s="110">
        <f t="shared" si="1"/>
        <v>2097</v>
      </c>
      <c r="C222" s="135">
        <f>[16]С2.5!$CD$11</f>
        <v>0</v>
      </c>
    </row>
    <row r="223" spans="2:3" ht="13.5" hidden="1" thickBot="1">
      <c r="B223" s="110">
        <f t="shared" si="1"/>
        <v>2098</v>
      </c>
      <c r="C223" s="135">
        <f>[16]С2.5!$CE$11</f>
        <v>0</v>
      </c>
    </row>
    <row r="224" spans="2:3" ht="13.5" hidden="1" thickBot="1">
      <c r="B224" s="110">
        <f t="shared" si="1"/>
        <v>2099</v>
      </c>
      <c r="C224" s="135">
        <f>[16]С2.5!$CF$11</f>
        <v>0</v>
      </c>
    </row>
    <row r="225" spans="2:3" ht="13.5" hidden="1" thickBot="1">
      <c r="B225" s="112">
        <f>B162+1</f>
        <v>2038</v>
      </c>
      <c r="C225" s="136" t="e">
        <f>[16]С2.5!#REF!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1" width="9.140625" style="2"/>
    <col min="152" max="233" width="0" style="2" hidden="1" customWidth="1"/>
    <col min="234" max="242" width="9.140625" style="2"/>
    <col min="243" max="243" width="3.7109375" style="2" customWidth="1"/>
    <col min="244" max="244" width="96.85546875" style="2" customWidth="1"/>
    <col min="245" max="245" width="30.85546875" style="2" customWidth="1"/>
    <col min="246" max="246" width="12.5703125" style="2" customWidth="1"/>
    <col min="247" max="247" width="5.140625" style="2" customWidth="1"/>
    <col min="248" max="248" width="9.140625" style="2"/>
    <col min="249" max="249" width="4.85546875" style="2" customWidth="1"/>
    <col min="250" max="250" width="30.5703125" style="2" customWidth="1"/>
    <col min="251" max="251" width="33.85546875" style="2" customWidth="1"/>
    <col min="252" max="252" width="5.140625" style="2" customWidth="1"/>
    <col min="253" max="254" width="17.5703125" style="2" customWidth="1"/>
    <col min="255" max="498" width="9.140625" style="2"/>
    <col min="499" max="499" width="3.7109375" style="2" customWidth="1"/>
    <col min="500" max="500" width="96.85546875" style="2" customWidth="1"/>
    <col min="501" max="501" width="30.85546875" style="2" customWidth="1"/>
    <col min="502" max="502" width="12.5703125" style="2" customWidth="1"/>
    <col min="503" max="503" width="5.140625" style="2" customWidth="1"/>
    <col min="504" max="504" width="9.140625" style="2"/>
    <col min="505" max="505" width="4.85546875" style="2" customWidth="1"/>
    <col min="506" max="506" width="30.5703125" style="2" customWidth="1"/>
    <col min="507" max="507" width="33.85546875" style="2" customWidth="1"/>
    <col min="508" max="508" width="5.140625" style="2" customWidth="1"/>
    <col min="509" max="510" width="17.5703125" style="2" customWidth="1"/>
    <col min="511" max="754" width="9.140625" style="2"/>
    <col min="755" max="755" width="3.7109375" style="2" customWidth="1"/>
    <col min="756" max="756" width="96.85546875" style="2" customWidth="1"/>
    <col min="757" max="757" width="30.85546875" style="2" customWidth="1"/>
    <col min="758" max="758" width="12.5703125" style="2" customWidth="1"/>
    <col min="759" max="759" width="5.140625" style="2" customWidth="1"/>
    <col min="760" max="760" width="9.140625" style="2"/>
    <col min="761" max="761" width="4.85546875" style="2" customWidth="1"/>
    <col min="762" max="762" width="30.5703125" style="2" customWidth="1"/>
    <col min="763" max="763" width="33.85546875" style="2" customWidth="1"/>
    <col min="764" max="764" width="5.140625" style="2" customWidth="1"/>
    <col min="765" max="766" width="17.5703125" style="2" customWidth="1"/>
    <col min="767" max="1010" width="9.140625" style="2"/>
    <col min="1011" max="1011" width="3.7109375" style="2" customWidth="1"/>
    <col min="1012" max="1012" width="96.85546875" style="2" customWidth="1"/>
    <col min="1013" max="1013" width="30.85546875" style="2" customWidth="1"/>
    <col min="1014" max="1014" width="12.5703125" style="2" customWidth="1"/>
    <col min="1015" max="1015" width="5.140625" style="2" customWidth="1"/>
    <col min="1016" max="1016" width="9.140625" style="2"/>
    <col min="1017" max="1017" width="4.85546875" style="2" customWidth="1"/>
    <col min="1018" max="1018" width="30.5703125" style="2" customWidth="1"/>
    <col min="1019" max="1019" width="33.85546875" style="2" customWidth="1"/>
    <col min="1020" max="1020" width="5.140625" style="2" customWidth="1"/>
    <col min="1021" max="1022" width="17.5703125" style="2" customWidth="1"/>
    <col min="1023" max="1266" width="9.140625" style="2"/>
    <col min="1267" max="1267" width="3.7109375" style="2" customWidth="1"/>
    <col min="1268" max="1268" width="96.85546875" style="2" customWidth="1"/>
    <col min="1269" max="1269" width="30.85546875" style="2" customWidth="1"/>
    <col min="1270" max="1270" width="12.5703125" style="2" customWidth="1"/>
    <col min="1271" max="1271" width="5.140625" style="2" customWidth="1"/>
    <col min="1272" max="1272" width="9.140625" style="2"/>
    <col min="1273" max="1273" width="4.85546875" style="2" customWidth="1"/>
    <col min="1274" max="1274" width="30.5703125" style="2" customWidth="1"/>
    <col min="1275" max="1275" width="33.85546875" style="2" customWidth="1"/>
    <col min="1276" max="1276" width="5.140625" style="2" customWidth="1"/>
    <col min="1277" max="1278" width="17.5703125" style="2" customWidth="1"/>
    <col min="1279" max="1522" width="9.140625" style="2"/>
    <col min="1523" max="1523" width="3.7109375" style="2" customWidth="1"/>
    <col min="1524" max="1524" width="96.85546875" style="2" customWidth="1"/>
    <col min="1525" max="1525" width="30.85546875" style="2" customWidth="1"/>
    <col min="1526" max="1526" width="12.5703125" style="2" customWidth="1"/>
    <col min="1527" max="1527" width="5.140625" style="2" customWidth="1"/>
    <col min="1528" max="1528" width="9.140625" style="2"/>
    <col min="1529" max="1529" width="4.85546875" style="2" customWidth="1"/>
    <col min="1530" max="1530" width="30.5703125" style="2" customWidth="1"/>
    <col min="1531" max="1531" width="33.85546875" style="2" customWidth="1"/>
    <col min="1532" max="1532" width="5.140625" style="2" customWidth="1"/>
    <col min="1533" max="1534" width="17.5703125" style="2" customWidth="1"/>
    <col min="1535" max="1778" width="9.140625" style="2"/>
    <col min="1779" max="1779" width="3.7109375" style="2" customWidth="1"/>
    <col min="1780" max="1780" width="96.85546875" style="2" customWidth="1"/>
    <col min="1781" max="1781" width="30.85546875" style="2" customWidth="1"/>
    <col min="1782" max="1782" width="12.5703125" style="2" customWidth="1"/>
    <col min="1783" max="1783" width="5.140625" style="2" customWidth="1"/>
    <col min="1784" max="1784" width="9.140625" style="2"/>
    <col min="1785" max="1785" width="4.85546875" style="2" customWidth="1"/>
    <col min="1786" max="1786" width="30.5703125" style="2" customWidth="1"/>
    <col min="1787" max="1787" width="33.85546875" style="2" customWidth="1"/>
    <col min="1788" max="1788" width="5.140625" style="2" customWidth="1"/>
    <col min="1789" max="1790" width="17.5703125" style="2" customWidth="1"/>
    <col min="1791" max="2034" width="9.140625" style="2"/>
    <col min="2035" max="2035" width="3.7109375" style="2" customWidth="1"/>
    <col min="2036" max="2036" width="96.85546875" style="2" customWidth="1"/>
    <col min="2037" max="2037" width="30.85546875" style="2" customWidth="1"/>
    <col min="2038" max="2038" width="12.5703125" style="2" customWidth="1"/>
    <col min="2039" max="2039" width="5.140625" style="2" customWidth="1"/>
    <col min="2040" max="2040" width="9.140625" style="2"/>
    <col min="2041" max="2041" width="4.85546875" style="2" customWidth="1"/>
    <col min="2042" max="2042" width="30.5703125" style="2" customWidth="1"/>
    <col min="2043" max="2043" width="33.85546875" style="2" customWidth="1"/>
    <col min="2044" max="2044" width="5.140625" style="2" customWidth="1"/>
    <col min="2045" max="2046" width="17.5703125" style="2" customWidth="1"/>
    <col min="2047" max="2290" width="9.140625" style="2"/>
    <col min="2291" max="2291" width="3.7109375" style="2" customWidth="1"/>
    <col min="2292" max="2292" width="96.85546875" style="2" customWidth="1"/>
    <col min="2293" max="2293" width="30.85546875" style="2" customWidth="1"/>
    <col min="2294" max="2294" width="12.5703125" style="2" customWidth="1"/>
    <col min="2295" max="2295" width="5.140625" style="2" customWidth="1"/>
    <col min="2296" max="2296" width="9.140625" style="2"/>
    <col min="2297" max="2297" width="4.85546875" style="2" customWidth="1"/>
    <col min="2298" max="2298" width="30.5703125" style="2" customWidth="1"/>
    <col min="2299" max="2299" width="33.85546875" style="2" customWidth="1"/>
    <col min="2300" max="2300" width="5.140625" style="2" customWidth="1"/>
    <col min="2301" max="2302" width="17.5703125" style="2" customWidth="1"/>
    <col min="2303" max="2546" width="9.140625" style="2"/>
    <col min="2547" max="2547" width="3.7109375" style="2" customWidth="1"/>
    <col min="2548" max="2548" width="96.85546875" style="2" customWidth="1"/>
    <col min="2549" max="2549" width="30.85546875" style="2" customWidth="1"/>
    <col min="2550" max="2550" width="12.5703125" style="2" customWidth="1"/>
    <col min="2551" max="2551" width="5.140625" style="2" customWidth="1"/>
    <col min="2552" max="2552" width="9.140625" style="2"/>
    <col min="2553" max="2553" width="4.85546875" style="2" customWidth="1"/>
    <col min="2554" max="2554" width="30.5703125" style="2" customWidth="1"/>
    <col min="2555" max="2555" width="33.85546875" style="2" customWidth="1"/>
    <col min="2556" max="2556" width="5.140625" style="2" customWidth="1"/>
    <col min="2557" max="2558" width="17.5703125" style="2" customWidth="1"/>
    <col min="2559" max="2802" width="9.140625" style="2"/>
    <col min="2803" max="2803" width="3.7109375" style="2" customWidth="1"/>
    <col min="2804" max="2804" width="96.85546875" style="2" customWidth="1"/>
    <col min="2805" max="2805" width="30.85546875" style="2" customWidth="1"/>
    <col min="2806" max="2806" width="12.5703125" style="2" customWidth="1"/>
    <col min="2807" max="2807" width="5.140625" style="2" customWidth="1"/>
    <col min="2808" max="2808" width="9.140625" style="2"/>
    <col min="2809" max="2809" width="4.85546875" style="2" customWidth="1"/>
    <col min="2810" max="2810" width="30.5703125" style="2" customWidth="1"/>
    <col min="2811" max="2811" width="33.85546875" style="2" customWidth="1"/>
    <col min="2812" max="2812" width="5.140625" style="2" customWidth="1"/>
    <col min="2813" max="2814" width="17.5703125" style="2" customWidth="1"/>
    <col min="2815" max="3058" width="9.140625" style="2"/>
    <col min="3059" max="3059" width="3.7109375" style="2" customWidth="1"/>
    <col min="3060" max="3060" width="96.85546875" style="2" customWidth="1"/>
    <col min="3061" max="3061" width="30.85546875" style="2" customWidth="1"/>
    <col min="3062" max="3062" width="12.5703125" style="2" customWidth="1"/>
    <col min="3063" max="3063" width="5.140625" style="2" customWidth="1"/>
    <col min="3064" max="3064" width="9.140625" style="2"/>
    <col min="3065" max="3065" width="4.85546875" style="2" customWidth="1"/>
    <col min="3066" max="3066" width="30.5703125" style="2" customWidth="1"/>
    <col min="3067" max="3067" width="33.85546875" style="2" customWidth="1"/>
    <col min="3068" max="3068" width="5.140625" style="2" customWidth="1"/>
    <col min="3069" max="3070" width="17.5703125" style="2" customWidth="1"/>
    <col min="3071" max="3314" width="9.140625" style="2"/>
    <col min="3315" max="3315" width="3.7109375" style="2" customWidth="1"/>
    <col min="3316" max="3316" width="96.85546875" style="2" customWidth="1"/>
    <col min="3317" max="3317" width="30.85546875" style="2" customWidth="1"/>
    <col min="3318" max="3318" width="12.5703125" style="2" customWidth="1"/>
    <col min="3319" max="3319" width="5.140625" style="2" customWidth="1"/>
    <col min="3320" max="3320" width="9.140625" style="2"/>
    <col min="3321" max="3321" width="4.85546875" style="2" customWidth="1"/>
    <col min="3322" max="3322" width="30.5703125" style="2" customWidth="1"/>
    <col min="3323" max="3323" width="33.85546875" style="2" customWidth="1"/>
    <col min="3324" max="3324" width="5.140625" style="2" customWidth="1"/>
    <col min="3325" max="3326" width="17.5703125" style="2" customWidth="1"/>
    <col min="3327" max="3570" width="9.140625" style="2"/>
    <col min="3571" max="3571" width="3.7109375" style="2" customWidth="1"/>
    <col min="3572" max="3572" width="96.85546875" style="2" customWidth="1"/>
    <col min="3573" max="3573" width="30.85546875" style="2" customWidth="1"/>
    <col min="3574" max="3574" width="12.5703125" style="2" customWidth="1"/>
    <col min="3575" max="3575" width="5.140625" style="2" customWidth="1"/>
    <col min="3576" max="3576" width="9.140625" style="2"/>
    <col min="3577" max="3577" width="4.85546875" style="2" customWidth="1"/>
    <col min="3578" max="3578" width="30.5703125" style="2" customWidth="1"/>
    <col min="3579" max="3579" width="33.85546875" style="2" customWidth="1"/>
    <col min="3580" max="3580" width="5.140625" style="2" customWidth="1"/>
    <col min="3581" max="3582" width="17.5703125" style="2" customWidth="1"/>
    <col min="3583" max="3826" width="9.140625" style="2"/>
    <col min="3827" max="3827" width="3.7109375" style="2" customWidth="1"/>
    <col min="3828" max="3828" width="96.85546875" style="2" customWidth="1"/>
    <col min="3829" max="3829" width="30.85546875" style="2" customWidth="1"/>
    <col min="3830" max="3830" width="12.5703125" style="2" customWidth="1"/>
    <col min="3831" max="3831" width="5.140625" style="2" customWidth="1"/>
    <col min="3832" max="3832" width="9.140625" style="2"/>
    <col min="3833" max="3833" width="4.85546875" style="2" customWidth="1"/>
    <col min="3834" max="3834" width="30.5703125" style="2" customWidth="1"/>
    <col min="3835" max="3835" width="33.85546875" style="2" customWidth="1"/>
    <col min="3836" max="3836" width="5.140625" style="2" customWidth="1"/>
    <col min="3837" max="3838" width="17.5703125" style="2" customWidth="1"/>
    <col min="3839" max="4082" width="9.140625" style="2"/>
    <col min="4083" max="4083" width="3.7109375" style="2" customWidth="1"/>
    <col min="4084" max="4084" width="96.85546875" style="2" customWidth="1"/>
    <col min="4085" max="4085" width="30.85546875" style="2" customWidth="1"/>
    <col min="4086" max="4086" width="12.5703125" style="2" customWidth="1"/>
    <col min="4087" max="4087" width="5.140625" style="2" customWidth="1"/>
    <col min="4088" max="4088" width="9.140625" style="2"/>
    <col min="4089" max="4089" width="4.85546875" style="2" customWidth="1"/>
    <col min="4090" max="4090" width="30.5703125" style="2" customWidth="1"/>
    <col min="4091" max="4091" width="33.85546875" style="2" customWidth="1"/>
    <col min="4092" max="4092" width="5.140625" style="2" customWidth="1"/>
    <col min="4093" max="4094" width="17.5703125" style="2" customWidth="1"/>
    <col min="4095" max="4338" width="9.140625" style="2"/>
    <col min="4339" max="4339" width="3.7109375" style="2" customWidth="1"/>
    <col min="4340" max="4340" width="96.85546875" style="2" customWidth="1"/>
    <col min="4341" max="4341" width="30.85546875" style="2" customWidth="1"/>
    <col min="4342" max="4342" width="12.5703125" style="2" customWidth="1"/>
    <col min="4343" max="4343" width="5.140625" style="2" customWidth="1"/>
    <col min="4344" max="4344" width="9.140625" style="2"/>
    <col min="4345" max="4345" width="4.85546875" style="2" customWidth="1"/>
    <col min="4346" max="4346" width="30.5703125" style="2" customWidth="1"/>
    <col min="4347" max="4347" width="33.85546875" style="2" customWidth="1"/>
    <col min="4348" max="4348" width="5.140625" style="2" customWidth="1"/>
    <col min="4349" max="4350" width="17.5703125" style="2" customWidth="1"/>
    <col min="4351" max="4594" width="9.140625" style="2"/>
    <col min="4595" max="4595" width="3.7109375" style="2" customWidth="1"/>
    <col min="4596" max="4596" width="96.85546875" style="2" customWidth="1"/>
    <col min="4597" max="4597" width="30.85546875" style="2" customWidth="1"/>
    <col min="4598" max="4598" width="12.5703125" style="2" customWidth="1"/>
    <col min="4599" max="4599" width="5.140625" style="2" customWidth="1"/>
    <col min="4600" max="4600" width="9.140625" style="2"/>
    <col min="4601" max="4601" width="4.85546875" style="2" customWidth="1"/>
    <col min="4602" max="4602" width="30.5703125" style="2" customWidth="1"/>
    <col min="4603" max="4603" width="33.85546875" style="2" customWidth="1"/>
    <col min="4604" max="4604" width="5.140625" style="2" customWidth="1"/>
    <col min="4605" max="4606" width="17.5703125" style="2" customWidth="1"/>
    <col min="4607" max="4850" width="9.140625" style="2"/>
    <col min="4851" max="4851" width="3.7109375" style="2" customWidth="1"/>
    <col min="4852" max="4852" width="96.85546875" style="2" customWidth="1"/>
    <col min="4853" max="4853" width="30.85546875" style="2" customWidth="1"/>
    <col min="4854" max="4854" width="12.5703125" style="2" customWidth="1"/>
    <col min="4855" max="4855" width="5.140625" style="2" customWidth="1"/>
    <col min="4856" max="4856" width="9.140625" style="2"/>
    <col min="4857" max="4857" width="4.85546875" style="2" customWidth="1"/>
    <col min="4858" max="4858" width="30.5703125" style="2" customWidth="1"/>
    <col min="4859" max="4859" width="33.85546875" style="2" customWidth="1"/>
    <col min="4860" max="4860" width="5.140625" style="2" customWidth="1"/>
    <col min="4861" max="4862" width="17.5703125" style="2" customWidth="1"/>
    <col min="4863" max="5106" width="9.140625" style="2"/>
    <col min="5107" max="5107" width="3.7109375" style="2" customWidth="1"/>
    <col min="5108" max="5108" width="96.85546875" style="2" customWidth="1"/>
    <col min="5109" max="5109" width="30.85546875" style="2" customWidth="1"/>
    <col min="5110" max="5110" width="12.5703125" style="2" customWidth="1"/>
    <col min="5111" max="5111" width="5.140625" style="2" customWidth="1"/>
    <col min="5112" max="5112" width="9.140625" style="2"/>
    <col min="5113" max="5113" width="4.85546875" style="2" customWidth="1"/>
    <col min="5114" max="5114" width="30.5703125" style="2" customWidth="1"/>
    <col min="5115" max="5115" width="33.85546875" style="2" customWidth="1"/>
    <col min="5116" max="5116" width="5.140625" style="2" customWidth="1"/>
    <col min="5117" max="5118" width="17.5703125" style="2" customWidth="1"/>
    <col min="5119" max="5362" width="9.140625" style="2"/>
    <col min="5363" max="5363" width="3.7109375" style="2" customWidth="1"/>
    <col min="5364" max="5364" width="96.85546875" style="2" customWidth="1"/>
    <col min="5365" max="5365" width="30.85546875" style="2" customWidth="1"/>
    <col min="5366" max="5366" width="12.5703125" style="2" customWidth="1"/>
    <col min="5367" max="5367" width="5.140625" style="2" customWidth="1"/>
    <col min="5368" max="5368" width="9.140625" style="2"/>
    <col min="5369" max="5369" width="4.85546875" style="2" customWidth="1"/>
    <col min="5370" max="5370" width="30.5703125" style="2" customWidth="1"/>
    <col min="5371" max="5371" width="33.85546875" style="2" customWidth="1"/>
    <col min="5372" max="5372" width="5.140625" style="2" customWidth="1"/>
    <col min="5373" max="5374" width="17.5703125" style="2" customWidth="1"/>
    <col min="5375" max="5618" width="9.140625" style="2"/>
    <col min="5619" max="5619" width="3.7109375" style="2" customWidth="1"/>
    <col min="5620" max="5620" width="96.85546875" style="2" customWidth="1"/>
    <col min="5621" max="5621" width="30.85546875" style="2" customWidth="1"/>
    <col min="5622" max="5622" width="12.5703125" style="2" customWidth="1"/>
    <col min="5623" max="5623" width="5.140625" style="2" customWidth="1"/>
    <col min="5624" max="5624" width="9.140625" style="2"/>
    <col min="5625" max="5625" width="4.85546875" style="2" customWidth="1"/>
    <col min="5626" max="5626" width="30.5703125" style="2" customWidth="1"/>
    <col min="5627" max="5627" width="33.85546875" style="2" customWidth="1"/>
    <col min="5628" max="5628" width="5.140625" style="2" customWidth="1"/>
    <col min="5629" max="5630" width="17.5703125" style="2" customWidth="1"/>
    <col min="5631" max="5874" width="9.140625" style="2"/>
    <col min="5875" max="5875" width="3.7109375" style="2" customWidth="1"/>
    <col min="5876" max="5876" width="96.85546875" style="2" customWidth="1"/>
    <col min="5877" max="5877" width="30.85546875" style="2" customWidth="1"/>
    <col min="5878" max="5878" width="12.5703125" style="2" customWidth="1"/>
    <col min="5879" max="5879" width="5.140625" style="2" customWidth="1"/>
    <col min="5880" max="5880" width="9.140625" style="2"/>
    <col min="5881" max="5881" width="4.85546875" style="2" customWidth="1"/>
    <col min="5882" max="5882" width="30.5703125" style="2" customWidth="1"/>
    <col min="5883" max="5883" width="33.85546875" style="2" customWidth="1"/>
    <col min="5884" max="5884" width="5.140625" style="2" customWidth="1"/>
    <col min="5885" max="5886" width="17.5703125" style="2" customWidth="1"/>
    <col min="5887" max="6130" width="9.140625" style="2"/>
    <col min="6131" max="6131" width="3.7109375" style="2" customWidth="1"/>
    <col min="6132" max="6132" width="96.85546875" style="2" customWidth="1"/>
    <col min="6133" max="6133" width="30.85546875" style="2" customWidth="1"/>
    <col min="6134" max="6134" width="12.5703125" style="2" customWidth="1"/>
    <col min="6135" max="6135" width="5.140625" style="2" customWidth="1"/>
    <col min="6136" max="6136" width="9.140625" style="2"/>
    <col min="6137" max="6137" width="4.85546875" style="2" customWidth="1"/>
    <col min="6138" max="6138" width="30.5703125" style="2" customWidth="1"/>
    <col min="6139" max="6139" width="33.85546875" style="2" customWidth="1"/>
    <col min="6140" max="6140" width="5.140625" style="2" customWidth="1"/>
    <col min="6141" max="6142" width="17.5703125" style="2" customWidth="1"/>
    <col min="6143" max="6386" width="9.140625" style="2"/>
    <col min="6387" max="6387" width="3.7109375" style="2" customWidth="1"/>
    <col min="6388" max="6388" width="96.85546875" style="2" customWidth="1"/>
    <col min="6389" max="6389" width="30.85546875" style="2" customWidth="1"/>
    <col min="6390" max="6390" width="12.5703125" style="2" customWidth="1"/>
    <col min="6391" max="6391" width="5.140625" style="2" customWidth="1"/>
    <col min="6392" max="6392" width="9.140625" style="2"/>
    <col min="6393" max="6393" width="4.85546875" style="2" customWidth="1"/>
    <col min="6394" max="6394" width="30.5703125" style="2" customWidth="1"/>
    <col min="6395" max="6395" width="33.85546875" style="2" customWidth="1"/>
    <col min="6396" max="6396" width="5.140625" style="2" customWidth="1"/>
    <col min="6397" max="6398" width="17.5703125" style="2" customWidth="1"/>
    <col min="6399" max="6642" width="9.140625" style="2"/>
    <col min="6643" max="6643" width="3.7109375" style="2" customWidth="1"/>
    <col min="6644" max="6644" width="96.85546875" style="2" customWidth="1"/>
    <col min="6645" max="6645" width="30.85546875" style="2" customWidth="1"/>
    <col min="6646" max="6646" width="12.5703125" style="2" customWidth="1"/>
    <col min="6647" max="6647" width="5.140625" style="2" customWidth="1"/>
    <col min="6648" max="6648" width="9.140625" style="2"/>
    <col min="6649" max="6649" width="4.85546875" style="2" customWidth="1"/>
    <col min="6650" max="6650" width="30.5703125" style="2" customWidth="1"/>
    <col min="6651" max="6651" width="33.85546875" style="2" customWidth="1"/>
    <col min="6652" max="6652" width="5.140625" style="2" customWidth="1"/>
    <col min="6653" max="6654" width="17.5703125" style="2" customWidth="1"/>
    <col min="6655" max="6898" width="9.140625" style="2"/>
    <col min="6899" max="6899" width="3.7109375" style="2" customWidth="1"/>
    <col min="6900" max="6900" width="96.85546875" style="2" customWidth="1"/>
    <col min="6901" max="6901" width="30.85546875" style="2" customWidth="1"/>
    <col min="6902" max="6902" width="12.5703125" style="2" customWidth="1"/>
    <col min="6903" max="6903" width="5.140625" style="2" customWidth="1"/>
    <col min="6904" max="6904" width="9.140625" style="2"/>
    <col min="6905" max="6905" width="4.85546875" style="2" customWidth="1"/>
    <col min="6906" max="6906" width="30.5703125" style="2" customWidth="1"/>
    <col min="6907" max="6907" width="33.85546875" style="2" customWidth="1"/>
    <col min="6908" max="6908" width="5.140625" style="2" customWidth="1"/>
    <col min="6909" max="6910" width="17.5703125" style="2" customWidth="1"/>
    <col min="6911" max="7154" width="9.140625" style="2"/>
    <col min="7155" max="7155" width="3.7109375" style="2" customWidth="1"/>
    <col min="7156" max="7156" width="96.85546875" style="2" customWidth="1"/>
    <col min="7157" max="7157" width="30.85546875" style="2" customWidth="1"/>
    <col min="7158" max="7158" width="12.5703125" style="2" customWidth="1"/>
    <col min="7159" max="7159" width="5.140625" style="2" customWidth="1"/>
    <col min="7160" max="7160" width="9.140625" style="2"/>
    <col min="7161" max="7161" width="4.85546875" style="2" customWidth="1"/>
    <col min="7162" max="7162" width="30.5703125" style="2" customWidth="1"/>
    <col min="7163" max="7163" width="33.85546875" style="2" customWidth="1"/>
    <col min="7164" max="7164" width="5.140625" style="2" customWidth="1"/>
    <col min="7165" max="7166" width="17.5703125" style="2" customWidth="1"/>
    <col min="7167" max="7410" width="9.140625" style="2"/>
    <col min="7411" max="7411" width="3.7109375" style="2" customWidth="1"/>
    <col min="7412" max="7412" width="96.85546875" style="2" customWidth="1"/>
    <col min="7413" max="7413" width="30.85546875" style="2" customWidth="1"/>
    <col min="7414" max="7414" width="12.5703125" style="2" customWidth="1"/>
    <col min="7415" max="7415" width="5.140625" style="2" customWidth="1"/>
    <col min="7416" max="7416" width="9.140625" style="2"/>
    <col min="7417" max="7417" width="4.85546875" style="2" customWidth="1"/>
    <col min="7418" max="7418" width="30.5703125" style="2" customWidth="1"/>
    <col min="7419" max="7419" width="33.85546875" style="2" customWidth="1"/>
    <col min="7420" max="7420" width="5.140625" style="2" customWidth="1"/>
    <col min="7421" max="7422" width="17.5703125" style="2" customWidth="1"/>
    <col min="7423" max="7666" width="9.140625" style="2"/>
    <col min="7667" max="7667" width="3.7109375" style="2" customWidth="1"/>
    <col min="7668" max="7668" width="96.85546875" style="2" customWidth="1"/>
    <col min="7669" max="7669" width="30.85546875" style="2" customWidth="1"/>
    <col min="7670" max="7670" width="12.5703125" style="2" customWidth="1"/>
    <col min="7671" max="7671" width="5.140625" style="2" customWidth="1"/>
    <col min="7672" max="7672" width="9.140625" style="2"/>
    <col min="7673" max="7673" width="4.85546875" style="2" customWidth="1"/>
    <col min="7674" max="7674" width="30.5703125" style="2" customWidth="1"/>
    <col min="7675" max="7675" width="33.85546875" style="2" customWidth="1"/>
    <col min="7676" max="7676" width="5.140625" style="2" customWidth="1"/>
    <col min="7677" max="7678" width="17.5703125" style="2" customWidth="1"/>
    <col min="7679" max="7922" width="9.140625" style="2"/>
    <col min="7923" max="7923" width="3.7109375" style="2" customWidth="1"/>
    <col min="7924" max="7924" width="96.85546875" style="2" customWidth="1"/>
    <col min="7925" max="7925" width="30.85546875" style="2" customWidth="1"/>
    <col min="7926" max="7926" width="12.5703125" style="2" customWidth="1"/>
    <col min="7927" max="7927" width="5.140625" style="2" customWidth="1"/>
    <col min="7928" max="7928" width="9.140625" style="2"/>
    <col min="7929" max="7929" width="4.85546875" style="2" customWidth="1"/>
    <col min="7930" max="7930" width="30.5703125" style="2" customWidth="1"/>
    <col min="7931" max="7931" width="33.85546875" style="2" customWidth="1"/>
    <col min="7932" max="7932" width="5.140625" style="2" customWidth="1"/>
    <col min="7933" max="7934" width="17.5703125" style="2" customWidth="1"/>
    <col min="7935" max="8178" width="9.140625" style="2"/>
    <col min="8179" max="8179" width="3.7109375" style="2" customWidth="1"/>
    <col min="8180" max="8180" width="96.85546875" style="2" customWidth="1"/>
    <col min="8181" max="8181" width="30.85546875" style="2" customWidth="1"/>
    <col min="8182" max="8182" width="12.5703125" style="2" customWidth="1"/>
    <col min="8183" max="8183" width="5.140625" style="2" customWidth="1"/>
    <col min="8184" max="8184" width="9.140625" style="2"/>
    <col min="8185" max="8185" width="4.85546875" style="2" customWidth="1"/>
    <col min="8186" max="8186" width="30.5703125" style="2" customWidth="1"/>
    <col min="8187" max="8187" width="33.85546875" style="2" customWidth="1"/>
    <col min="8188" max="8188" width="5.140625" style="2" customWidth="1"/>
    <col min="8189" max="8190" width="17.5703125" style="2" customWidth="1"/>
    <col min="8191" max="8434" width="9.140625" style="2"/>
    <col min="8435" max="8435" width="3.7109375" style="2" customWidth="1"/>
    <col min="8436" max="8436" width="96.85546875" style="2" customWidth="1"/>
    <col min="8437" max="8437" width="30.85546875" style="2" customWidth="1"/>
    <col min="8438" max="8438" width="12.5703125" style="2" customWidth="1"/>
    <col min="8439" max="8439" width="5.140625" style="2" customWidth="1"/>
    <col min="8440" max="8440" width="9.140625" style="2"/>
    <col min="8441" max="8441" width="4.85546875" style="2" customWidth="1"/>
    <col min="8442" max="8442" width="30.5703125" style="2" customWidth="1"/>
    <col min="8443" max="8443" width="33.85546875" style="2" customWidth="1"/>
    <col min="8444" max="8444" width="5.140625" style="2" customWidth="1"/>
    <col min="8445" max="8446" width="17.5703125" style="2" customWidth="1"/>
    <col min="8447" max="8690" width="9.140625" style="2"/>
    <col min="8691" max="8691" width="3.7109375" style="2" customWidth="1"/>
    <col min="8692" max="8692" width="96.85546875" style="2" customWidth="1"/>
    <col min="8693" max="8693" width="30.85546875" style="2" customWidth="1"/>
    <col min="8694" max="8694" width="12.5703125" style="2" customWidth="1"/>
    <col min="8695" max="8695" width="5.140625" style="2" customWidth="1"/>
    <col min="8696" max="8696" width="9.140625" style="2"/>
    <col min="8697" max="8697" width="4.85546875" style="2" customWidth="1"/>
    <col min="8698" max="8698" width="30.5703125" style="2" customWidth="1"/>
    <col min="8699" max="8699" width="33.85546875" style="2" customWidth="1"/>
    <col min="8700" max="8700" width="5.140625" style="2" customWidth="1"/>
    <col min="8701" max="8702" width="17.5703125" style="2" customWidth="1"/>
    <col min="8703" max="8946" width="9.140625" style="2"/>
    <col min="8947" max="8947" width="3.7109375" style="2" customWidth="1"/>
    <col min="8948" max="8948" width="96.85546875" style="2" customWidth="1"/>
    <col min="8949" max="8949" width="30.85546875" style="2" customWidth="1"/>
    <col min="8950" max="8950" width="12.5703125" style="2" customWidth="1"/>
    <col min="8951" max="8951" width="5.140625" style="2" customWidth="1"/>
    <col min="8952" max="8952" width="9.140625" style="2"/>
    <col min="8953" max="8953" width="4.85546875" style="2" customWidth="1"/>
    <col min="8954" max="8954" width="30.5703125" style="2" customWidth="1"/>
    <col min="8955" max="8955" width="33.85546875" style="2" customWidth="1"/>
    <col min="8956" max="8956" width="5.140625" style="2" customWidth="1"/>
    <col min="8957" max="8958" width="17.5703125" style="2" customWidth="1"/>
    <col min="8959" max="9202" width="9.140625" style="2"/>
    <col min="9203" max="9203" width="3.7109375" style="2" customWidth="1"/>
    <col min="9204" max="9204" width="96.85546875" style="2" customWidth="1"/>
    <col min="9205" max="9205" width="30.85546875" style="2" customWidth="1"/>
    <col min="9206" max="9206" width="12.5703125" style="2" customWidth="1"/>
    <col min="9207" max="9207" width="5.140625" style="2" customWidth="1"/>
    <col min="9208" max="9208" width="9.140625" style="2"/>
    <col min="9209" max="9209" width="4.85546875" style="2" customWidth="1"/>
    <col min="9210" max="9210" width="30.5703125" style="2" customWidth="1"/>
    <col min="9211" max="9211" width="33.85546875" style="2" customWidth="1"/>
    <col min="9212" max="9212" width="5.140625" style="2" customWidth="1"/>
    <col min="9213" max="9214" width="17.5703125" style="2" customWidth="1"/>
    <col min="9215" max="9458" width="9.140625" style="2"/>
    <col min="9459" max="9459" width="3.7109375" style="2" customWidth="1"/>
    <col min="9460" max="9460" width="96.85546875" style="2" customWidth="1"/>
    <col min="9461" max="9461" width="30.85546875" style="2" customWidth="1"/>
    <col min="9462" max="9462" width="12.5703125" style="2" customWidth="1"/>
    <col min="9463" max="9463" width="5.140625" style="2" customWidth="1"/>
    <col min="9464" max="9464" width="9.140625" style="2"/>
    <col min="9465" max="9465" width="4.85546875" style="2" customWidth="1"/>
    <col min="9466" max="9466" width="30.5703125" style="2" customWidth="1"/>
    <col min="9467" max="9467" width="33.85546875" style="2" customWidth="1"/>
    <col min="9468" max="9468" width="5.140625" style="2" customWidth="1"/>
    <col min="9469" max="9470" width="17.5703125" style="2" customWidth="1"/>
    <col min="9471" max="9714" width="9.140625" style="2"/>
    <col min="9715" max="9715" width="3.7109375" style="2" customWidth="1"/>
    <col min="9716" max="9716" width="96.85546875" style="2" customWidth="1"/>
    <col min="9717" max="9717" width="30.85546875" style="2" customWidth="1"/>
    <col min="9718" max="9718" width="12.5703125" style="2" customWidth="1"/>
    <col min="9719" max="9719" width="5.140625" style="2" customWidth="1"/>
    <col min="9720" max="9720" width="9.140625" style="2"/>
    <col min="9721" max="9721" width="4.85546875" style="2" customWidth="1"/>
    <col min="9722" max="9722" width="30.5703125" style="2" customWidth="1"/>
    <col min="9723" max="9723" width="33.85546875" style="2" customWidth="1"/>
    <col min="9724" max="9724" width="5.140625" style="2" customWidth="1"/>
    <col min="9725" max="9726" width="17.5703125" style="2" customWidth="1"/>
    <col min="9727" max="9970" width="9.140625" style="2"/>
    <col min="9971" max="9971" width="3.7109375" style="2" customWidth="1"/>
    <col min="9972" max="9972" width="96.85546875" style="2" customWidth="1"/>
    <col min="9973" max="9973" width="30.85546875" style="2" customWidth="1"/>
    <col min="9974" max="9974" width="12.5703125" style="2" customWidth="1"/>
    <col min="9975" max="9975" width="5.140625" style="2" customWidth="1"/>
    <col min="9976" max="9976" width="9.140625" style="2"/>
    <col min="9977" max="9977" width="4.85546875" style="2" customWidth="1"/>
    <col min="9978" max="9978" width="30.5703125" style="2" customWidth="1"/>
    <col min="9979" max="9979" width="33.85546875" style="2" customWidth="1"/>
    <col min="9980" max="9980" width="5.140625" style="2" customWidth="1"/>
    <col min="9981" max="9982" width="17.5703125" style="2" customWidth="1"/>
    <col min="9983" max="10226" width="9.140625" style="2"/>
    <col min="10227" max="10227" width="3.7109375" style="2" customWidth="1"/>
    <col min="10228" max="10228" width="96.85546875" style="2" customWidth="1"/>
    <col min="10229" max="10229" width="30.85546875" style="2" customWidth="1"/>
    <col min="10230" max="10230" width="12.5703125" style="2" customWidth="1"/>
    <col min="10231" max="10231" width="5.140625" style="2" customWidth="1"/>
    <col min="10232" max="10232" width="9.140625" style="2"/>
    <col min="10233" max="10233" width="4.85546875" style="2" customWidth="1"/>
    <col min="10234" max="10234" width="30.5703125" style="2" customWidth="1"/>
    <col min="10235" max="10235" width="33.85546875" style="2" customWidth="1"/>
    <col min="10236" max="10236" width="5.140625" style="2" customWidth="1"/>
    <col min="10237" max="10238" width="17.5703125" style="2" customWidth="1"/>
    <col min="10239" max="10482" width="9.140625" style="2"/>
    <col min="10483" max="10483" width="3.7109375" style="2" customWidth="1"/>
    <col min="10484" max="10484" width="96.85546875" style="2" customWidth="1"/>
    <col min="10485" max="10485" width="30.85546875" style="2" customWidth="1"/>
    <col min="10486" max="10486" width="12.5703125" style="2" customWidth="1"/>
    <col min="10487" max="10487" width="5.140625" style="2" customWidth="1"/>
    <col min="10488" max="10488" width="9.140625" style="2"/>
    <col min="10489" max="10489" width="4.85546875" style="2" customWidth="1"/>
    <col min="10490" max="10490" width="30.5703125" style="2" customWidth="1"/>
    <col min="10491" max="10491" width="33.85546875" style="2" customWidth="1"/>
    <col min="10492" max="10492" width="5.140625" style="2" customWidth="1"/>
    <col min="10493" max="10494" width="17.5703125" style="2" customWidth="1"/>
    <col min="10495" max="10738" width="9.140625" style="2"/>
    <col min="10739" max="10739" width="3.7109375" style="2" customWidth="1"/>
    <col min="10740" max="10740" width="96.85546875" style="2" customWidth="1"/>
    <col min="10741" max="10741" width="30.85546875" style="2" customWidth="1"/>
    <col min="10742" max="10742" width="12.5703125" style="2" customWidth="1"/>
    <col min="10743" max="10743" width="5.140625" style="2" customWidth="1"/>
    <col min="10744" max="10744" width="9.140625" style="2"/>
    <col min="10745" max="10745" width="4.85546875" style="2" customWidth="1"/>
    <col min="10746" max="10746" width="30.5703125" style="2" customWidth="1"/>
    <col min="10747" max="10747" width="33.85546875" style="2" customWidth="1"/>
    <col min="10748" max="10748" width="5.140625" style="2" customWidth="1"/>
    <col min="10749" max="10750" width="17.5703125" style="2" customWidth="1"/>
    <col min="10751" max="10994" width="9.140625" style="2"/>
    <col min="10995" max="10995" width="3.7109375" style="2" customWidth="1"/>
    <col min="10996" max="10996" width="96.85546875" style="2" customWidth="1"/>
    <col min="10997" max="10997" width="30.85546875" style="2" customWidth="1"/>
    <col min="10998" max="10998" width="12.5703125" style="2" customWidth="1"/>
    <col min="10999" max="10999" width="5.140625" style="2" customWidth="1"/>
    <col min="11000" max="11000" width="9.140625" style="2"/>
    <col min="11001" max="11001" width="4.85546875" style="2" customWidth="1"/>
    <col min="11002" max="11002" width="30.5703125" style="2" customWidth="1"/>
    <col min="11003" max="11003" width="33.85546875" style="2" customWidth="1"/>
    <col min="11004" max="11004" width="5.140625" style="2" customWidth="1"/>
    <col min="11005" max="11006" width="17.5703125" style="2" customWidth="1"/>
    <col min="11007" max="11250" width="9.140625" style="2"/>
    <col min="11251" max="11251" width="3.7109375" style="2" customWidth="1"/>
    <col min="11252" max="11252" width="96.85546875" style="2" customWidth="1"/>
    <col min="11253" max="11253" width="30.85546875" style="2" customWidth="1"/>
    <col min="11254" max="11254" width="12.5703125" style="2" customWidth="1"/>
    <col min="11255" max="11255" width="5.140625" style="2" customWidth="1"/>
    <col min="11256" max="11256" width="9.140625" style="2"/>
    <col min="11257" max="11257" width="4.85546875" style="2" customWidth="1"/>
    <col min="11258" max="11258" width="30.5703125" style="2" customWidth="1"/>
    <col min="11259" max="11259" width="33.85546875" style="2" customWidth="1"/>
    <col min="11260" max="11260" width="5.140625" style="2" customWidth="1"/>
    <col min="11261" max="11262" width="17.5703125" style="2" customWidth="1"/>
    <col min="11263" max="11506" width="9.140625" style="2"/>
    <col min="11507" max="11507" width="3.7109375" style="2" customWidth="1"/>
    <col min="11508" max="11508" width="96.85546875" style="2" customWidth="1"/>
    <col min="11509" max="11509" width="30.85546875" style="2" customWidth="1"/>
    <col min="11510" max="11510" width="12.5703125" style="2" customWidth="1"/>
    <col min="11511" max="11511" width="5.140625" style="2" customWidth="1"/>
    <col min="11512" max="11512" width="9.140625" style="2"/>
    <col min="11513" max="11513" width="4.85546875" style="2" customWidth="1"/>
    <col min="11514" max="11514" width="30.5703125" style="2" customWidth="1"/>
    <col min="11515" max="11515" width="33.85546875" style="2" customWidth="1"/>
    <col min="11516" max="11516" width="5.140625" style="2" customWidth="1"/>
    <col min="11517" max="11518" width="17.5703125" style="2" customWidth="1"/>
    <col min="11519" max="11762" width="9.140625" style="2"/>
    <col min="11763" max="11763" width="3.7109375" style="2" customWidth="1"/>
    <col min="11764" max="11764" width="96.85546875" style="2" customWidth="1"/>
    <col min="11765" max="11765" width="30.85546875" style="2" customWidth="1"/>
    <col min="11766" max="11766" width="12.5703125" style="2" customWidth="1"/>
    <col min="11767" max="11767" width="5.140625" style="2" customWidth="1"/>
    <col min="11768" max="11768" width="9.140625" style="2"/>
    <col min="11769" max="11769" width="4.85546875" style="2" customWidth="1"/>
    <col min="11770" max="11770" width="30.5703125" style="2" customWidth="1"/>
    <col min="11771" max="11771" width="33.85546875" style="2" customWidth="1"/>
    <col min="11772" max="11772" width="5.140625" style="2" customWidth="1"/>
    <col min="11773" max="11774" width="17.5703125" style="2" customWidth="1"/>
    <col min="11775" max="12018" width="9.140625" style="2"/>
    <col min="12019" max="12019" width="3.7109375" style="2" customWidth="1"/>
    <col min="12020" max="12020" width="96.85546875" style="2" customWidth="1"/>
    <col min="12021" max="12021" width="30.85546875" style="2" customWidth="1"/>
    <col min="12022" max="12022" width="12.5703125" style="2" customWidth="1"/>
    <col min="12023" max="12023" width="5.140625" style="2" customWidth="1"/>
    <col min="12024" max="12024" width="9.140625" style="2"/>
    <col min="12025" max="12025" width="4.85546875" style="2" customWidth="1"/>
    <col min="12026" max="12026" width="30.5703125" style="2" customWidth="1"/>
    <col min="12027" max="12027" width="33.85546875" style="2" customWidth="1"/>
    <col min="12028" max="12028" width="5.140625" style="2" customWidth="1"/>
    <col min="12029" max="12030" width="17.5703125" style="2" customWidth="1"/>
    <col min="12031" max="12274" width="9.140625" style="2"/>
    <col min="12275" max="12275" width="3.7109375" style="2" customWidth="1"/>
    <col min="12276" max="12276" width="96.85546875" style="2" customWidth="1"/>
    <col min="12277" max="12277" width="30.85546875" style="2" customWidth="1"/>
    <col min="12278" max="12278" width="12.5703125" style="2" customWidth="1"/>
    <col min="12279" max="12279" width="5.140625" style="2" customWidth="1"/>
    <col min="12280" max="12280" width="9.140625" style="2"/>
    <col min="12281" max="12281" width="4.85546875" style="2" customWidth="1"/>
    <col min="12282" max="12282" width="30.5703125" style="2" customWidth="1"/>
    <col min="12283" max="12283" width="33.85546875" style="2" customWidth="1"/>
    <col min="12284" max="12284" width="5.140625" style="2" customWidth="1"/>
    <col min="12285" max="12286" width="17.5703125" style="2" customWidth="1"/>
    <col min="12287" max="12530" width="9.140625" style="2"/>
    <col min="12531" max="12531" width="3.7109375" style="2" customWidth="1"/>
    <col min="12532" max="12532" width="96.85546875" style="2" customWidth="1"/>
    <col min="12533" max="12533" width="30.85546875" style="2" customWidth="1"/>
    <col min="12534" max="12534" width="12.5703125" style="2" customWidth="1"/>
    <col min="12535" max="12535" width="5.140625" style="2" customWidth="1"/>
    <col min="12536" max="12536" width="9.140625" style="2"/>
    <col min="12537" max="12537" width="4.85546875" style="2" customWidth="1"/>
    <col min="12538" max="12538" width="30.5703125" style="2" customWidth="1"/>
    <col min="12539" max="12539" width="33.85546875" style="2" customWidth="1"/>
    <col min="12540" max="12540" width="5.140625" style="2" customWidth="1"/>
    <col min="12541" max="12542" width="17.5703125" style="2" customWidth="1"/>
    <col min="12543" max="12786" width="9.140625" style="2"/>
    <col min="12787" max="12787" width="3.7109375" style="2" customWidth="1"/>
    <col min="12788" max="12788" width="96.85546875" style="2" customWidth="1"/>
    <col min="12789" max="12789" width="30.85546875" style="2" customWidth="1"/>
    <col min="12790" max="12790" width="12.5703125" style="2" customWidth="1"/>
    <col min="12791" max="12791" width="5.140625" style="2" customWidth="1"/>
    <col min="12792" max="12792" width="9.140625" style="2"/>
    <col min="12793" max="12793" width="4.85546875" style="2" customWidth="1"/>
    <col min="12794" max="12794" width="30.5703125" style="2" customWidth="1"/>
    <col min="12795" max="12795" width="33.85546875" style="2" customWidth="1"/>
    <col min="12796" max="12796" width="5.140625" style="2" customWidth="1"/>
    <col min="12797" max="12798" width="17.5703125" style="2" customWidth="1"/>
    <col min="12799" max="13042" width="9.140625" style="2"/>
    <col min="13043" max="13043" width="3.7109375" style="2" customWidth="1"/>
    <col min="13044" max="13044" width="96.85546875" style="2" customWidth="1"/>
    <col min="13045" max="13045" width="30.85546875" style="2" customWidth="1"/>
    <col min="13046" max="13046" width="12.5703125" style="2" customWidth="1"/>
    <col min="13047" max="13047" width="5.140625" style="2" customWidth="1"/>
    <col min="13048" max="13048" width="9.140625" style="2"/>
    <col min="13049" max="13049" width="4.85546875" style="2" customWidth="1"/>
    <col min="13050" max="13050" width="30.5703125" style="2" customWidth="1"/>
    <col min="13051" max="13051" width="33.85546875" style="2" customWidth="1"/>
    <col min="13052" max="13052" width="5.140625" style="2" customWidth="1"/>
    <col min="13053" max="13054" width="17.5703125" style="2" customWidth="1"/>
    <col min="13055" max="13298" width="9.140625" style="2"/>
    <col min="13299" max="13299" width="3.7109375" style="2" customWidth="1"/>
    <col min="13300" max="13300" width="96.85546875" style="2" customWidth="1"/>
    <col min="13301" max="13301" width="30.85546875" style="2" customWidth="1"/>
    <col min="13302" max="13302" width="12.5703125" style="2" customWidth="1"/>
    <col min="13303" max="13303" width="5.140625" style="2" customWidth="1"/>
    <col min="13304" max="13304" width="9.140625" style="2"/>
    <col min="13305" max="13305" width="4.85546875" style="2" customWidth="1"/>
    <col min="13306" max="13306" width="30.5703125" style="2" customWidth="1"/>
    <col min="13307" max="13307" width="33.85546875" style="2" customWidth="1"/>
    <col min="13308" max="13308" width="5.140625" style="2" customWidth="1"/>
    <col min="13309" max="13310" width="17.5703125" style="2" customWidth="1"/>
    <col min="13311" max="13554" width="9.140625" style="2"/>
    <col min="13555" max="13555" width="3.7109375" style="2" customWidth="1"/>
    <col min="13556" max="13556" width="96.85546875" style="2" customWidth="1"/>
    <col min="13557" max="13557" width="30.85546875" style="2" customWidth="1"/>
    <col min="13558" max="13558" width="12.5703125" style="2" customWidth="1"/>
    <col min="13559" max="13559" width="5.140625" style="2" customWidth="1"/>
    <col min="13560" max="13560" width="9.140625" style="2"/>
    <col min="13561" max="13561" width="4.85546875" style="2" customWidth="1"/>
    <col min="13562" max="13562" width="30.5703125" style="2" customWidth="1"/>
    <col min="13563" max="13563" width="33.85546875" style="2" customWidth="1"/>
    <col min="13564" max="13564" width="5.140625" style="2" customWidth="1"/>
    <col min="13565" max="13566" width="17.5703125" style="2" customWidth="1"/>
    <col min="13567" max="13810" width="9.140625" style="2"/>
    <col min="13811" max="13811" width="3.7109375" style="2" customWidth="1"/>
    <col min="13812" max="13812" width="96.85546875" style="2" customWidth="1"/>
    <col min="13813" max="13813" width="30.85546875" style="2" customWidth="1"/>
    <col min="13814" max="13814" width="12.5703125" style="2" customWidth="1"/>
    <col min="13815" max="13815" width="5.140625" style="2" customWidth="1"/>
    <col min="13816" max="13816" width="9.140625" style="2"/>
    <col min="13817" max="13817" width="4.85546875" style="2" customWidth="1"/>
    <col min="13818" max="13818" width="30.5703125" style="2" customWidth="1"/>
    <col min="13819" max="13819" width="33.85546875" style="2" customWidth="1"/>
    <col min="13820" max="13820" width="5.140625" style="2" customWidth="1"/>
    <col min="13821" max="13822" width="17.5703125" style="2" customWidth="1"/>
    <col min="13823" max="14066" width="9.140625" style="2"/>
    <col min="14067" max="14067" width="3.7109375" style="2" customWidth="1"/>
    <col min="14068" max="14068" width="96.85546875" style="2" customWidth="1"/>
    <col min="14069" max="14069" width="30.85546875" style="2" customWidth="1"/>
    <col min="14070" max="14070" width="12.5703125" style="2" customWidth="1"/>
    <col min="14071" max="14071" width="5.140625" style="2" customWidth="1"/>
    <col min="14072" max="14072" width="9.140625" style="2"/>
    <col min="14073" max="14073" width="4.85546875" style="2" customWidth="1"/>
    <col min="14074" max="14074" width="30.5703125" style="2" customWidth="1"/>
    <col min="14075" max="14075" width="33.85546875" style="2" customWidth="1"/>
    <col min="14076" max="14076" width="5.140625" style="2" customWidth="1"/>
    <col min="14077" max="14078" width="17.5703125" style="2" customWidth="1"/>
    <col min="14079" max="14322" width="9.140625" style="2"/>
    <col min="14323" max="14323" width="3.7109375" style="2" customWidth="1"/>
    <col min="14324" max="14324" width="96.85546875" style="2" customWidth="1"/>
    <col min="14325" max="14325" width="30.85546875" style="2" customWidth="1"/>
    <col min="14326" max="14326" width="12.5703125" style="2" customWidth="1"/>
    <col min="14327" max="14327" width="5.140625" style="2" customWidth="1"/>
    <col min="14328" max="14328" width="9.140625" style="2"/>
    <col min="14329" max="14329" width="4.85546875" style="2" customWidth="1"/>
    <col min="14330" max="14330" width="30.5703125" style="2" customWidth="1"/>
    <col min="14331" max="14331" width="33.85546875" style="2" customWidth="1"/>
    <col min="14332" max="14332" width="5.140625" style="2" customWidth="1"/>
    <col min="14333" max="14334" width="17.5703125" style="2" customWidth="1"/>
    <col min="14335" max="14578" width="9.140625" style="2"/>
    <col min="14579" max="14579" width="3.7109375" style="2" customWidth="1"/>
    <col min="14580" max="14580" width="96.85546875" style="2" customWidth="1"/>
    <col min="14581" max="14581" width="30.85546875" style="2" customWidth="1"/>
    <col min="14582" max="14582" width="12.5703125" style="2" customWidth="1"/>
    <col min="14583" max="14583" width="5.140625" style="2" customWidth="1"/>
    <col min="14584" max="14584" width="9.140625" style="2"/>
    <col min="14585" max="14585" width="4.85546875" style="2" customWidth="1"/>
    <col min="14586" max="14586" width="30.5703125" style="2" customWidth="1"/>
    <col min="14587" max="14587" width="33.85546875" style="2" customWidth="1"/>
    <col min="14588" max="14588" width="5.140625" style="2" customWidth="1"/>
    <col min="14589" max="14590" width="17.5703125" style="2" customWidth="1"/>
    <col min="14591" max="14834" width="9.140625" style="2"/>
    <col min="14835" max="14835" width="3.7109375" style="2" customWidth="1"/>
    <col min="14836" max="14836" width="96.85546875" style="2" customWidth="1"/>
    <col min="14837" max="14837" width="30.85546875" style="2" customWidth="1"/>
    <col min="14838" max="14838" width="12.5703125" style="2" customWidth="1"/>
    <col min="14839" max="14839" width="5.140625" style="2" customWidth="1"/>
    <col min="14840" max="14840" width="9.140625" style="2"/>
    <col min="14841" max="14841" width="4.85546875" style="2" customWidth="1"/>
    <col min="14842" max="14842" width="30.5703125" style="2" customWidth="1"/>
    <col min="14843" max="14843" width="33.85546875" style="2" customWidth="1"/>
    <col min="14844" max="14844" width="5.140625" style="2" customWidth="1"/>
    <col min="14845" max="14846" width="17.5703125" style="2" customWidth="1"/>
    <col min="14847" max="15090" width="9.140625" style="2"/>
    <col min="15091" max="15091" width="3.7109375" style="2" customWidth="1"/>
    <col min="15092" max="15092" width="96.85546875" style="2" customWidth="1"/>
    <col min="15093" max="15093" width="30.85546875" style="2" customWidth="1"/>
    <col min="15094" max="15094" width="12.5703125" style="2" customWidth="1"/>
    <col min="15095" max="15095" width="5.140625" style="2" customWidth="1"/>
    <col min="15096" max="15096" width="9.140625" style="2"/>
    <col min="15097" max="15097" width="4.85546875" style="2" customWidth="1"/>
    <col min="15098" max="15098" width="30.5703125" style="2" customWidth="1"/>
    <col min="15099" max="15099" width="33.85546875" style="2" customWidth="1"/>
    <col min="15100" max="15100" width="5.140625" style="2" customWidth="1"/>
    <col min="15101" max="15102" width="17.5703125" style="2" customWidth="1"/>
    <col min="15103" max="15346" width="9.140625" style="2"/>
    <col min="15347" max="15347" width="3.7109375" style="2" customWidth="1"/>
    <col min="15348" max="15348" width="96.85546875" style="2" customWidth="1"/>
    <col min="15349" max="15349" width="30.85546875" style="2" customWidth="1"/>
    <col min="15350" max="15350" width="12.5703125" style="2" customWidth="1"/>
    <col min="15351" max="15351" width="5.140625" style="2" customWidth="1"/>
    <col min="15352" max="15352" width="9.140625" style="2"/>
    <col min="15353" max="15353" width="4.85546875" style="2" customWidth="1"/>
    <col min="15354" max="15354" width="30.5703125" style="2" customWidth="1"/>
    <col min="15355" max="15355" width="33.85546875" style="2" customWidth="1"/>
    <col min="15356" max="15356" width="5.140625" style="2" customWidth="1"/>
    <col min="15357" max="15358" width="17.5703125" style="2" customWidth="1"/>
    <col min="15359" max="15602" width="9.140625" style="2"/>
    <col min="15603" max="15603" width="3.7109375" style="2" customWidth="1"/>
    <col min="15604" max="15604" width="96.85546875" style="2" customWidth="1"/>
    <col min="15605" max="15605" width="30.85546875" style="2" customWidth="1"/>
    <col min="15606" max="15606" width="12.5703125" style="2" customWidth="1"/>
    <col min="15607" max="15607" width="5.140625" style="2" customWidth="1"/>
    <col min="15608" max="15608" width="9.140625" style="2"/>
    <col min="15609" max="15609" width="4.85546875" style="2" customWidth="1"/>
    <col min="15610" max="15610" width="30.5703125" style="2" customWidth="1"/>
    <col min="15611" max="15611" width="33.85546875" style="2" customWidth="1"/>
    <col min="15612" max="15612" width="5.140625" style="2" customWidth="1"/>
    <col min="15613" max="15614" width="17.5703125" style="2" customWidth="1"/>
    <col min="15615" max="15858" width="9.140625" style="2"/>
    <col min="15859" max="15859" width="3.7109375" style="2" customWidth="1"/>
    <col min="15860" max="15860" width="96.85546875" style="2" customWidth="1"/>
    <col min="15861" max="15861" width="30.85546875" style="2" customWidth="1"/>
    <col min="15862" max="15862" width="12.5703125" style="2" customWidth="1"/>
    <col min="15863" max="15863" width="5.140625" style="2" customWidth="1"/>
    <col min="15864" max="15864" width="9.140625" style="2"/>
    <col min="15865" max="15865" width="4.85546875" style="2" customWidth="1"/>
    <col min="15866" max="15866" width="30.5703125" style="2" customWidth="1"/>
    <col min="15867" max="15867" width="33.85546875" style="2" customWidth="1"/>
    <col min="15868" max="15868" width="5.140625" style="2" customWidth="1"/>
    <col min="15869" max="15870" width="17.5703125" style="2" customWidth="1"/>
    <col min="15871" max="16114" width="9.140625" style="2"/>
    <col min="16115" max="16115" width="3.7109375" style="2" customWidth="1"/>
    <col min="16116" max="16116" width="96.85546875" style="2" customWidth="1"/>
    <col min="16117" max="16117" width="30.85546875" style="2" customWidth="1"/>
    <col min="16118" max="16118" width="12.5703125" style="2" customWidth="1"/>
    <col min="16119" max="16119" width="5.140625" style="2" customWidth="1"/>
    <col min="16120" max="16120" width="9.140625" style="2"/>
    <col min="16121" max="16121" width="4.85546875" style="2" customWidth="1"/>
    <col min="16122" max="16122" width="30.5703125" style="2" customWidth="1"/>
    <col min="16123" max="16123" width="33.85546875" style="2" customWidth="1"/>
    <col min="16124" max="16124" width="5.140625" style="2" customWidth="1"/>
    <col min="16125" max="16126" width="17.5703125" style="2" customWidth="1"/>
    <col min="16127"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[17]И1!D13</f>
        <v>Субъект Российской Федерации</v>
      </c>
      <c r="C4" s="10" t="str">
        <f>[17]И1!E13</f>
        <v>Новосибирская область</v>
      </c>
    </row>
    <row r="5" spans="1:3" ht="15.95" customHeight="1">
      <c r="A5" s="8"/>
      <c r="B5" s="9" t="str">
        <f>[17]И1!D14</f>
        <v>Тип муниципального образования (выберите из списка)</v>
      </c>
      <c r="C5" s="10" t="str">
        <f>[17]И1!E14</f>
        <v xml:space="preserve">село Ленинское, Новосибирский муниципальный район </v>
      </c>
    </row>
    <row r="6" spans="1:3">
      <c r="A6" s="8"/>
      <c r="B6" s="9" t="str">
        <f>IF([17]И1!E15="","",[17]И1!D15)</f>
        <v/>
      </c>
      <c r="C6" s="7" t="str">
        <f>IF([17]И1!E15="","",[17]И1!E15)</f>
        <v/>
      </c>
    </row>
    <row r="7" spans="1:3">
      <c r="A7" s="8"/>
      <c r="B7" s="9" t="str">
        <f>[17]И1!D16</f>
        <v>Код ОКТМО</v>
      </c>
      <c r="C7" s="11" t="str">
        <f>[17]И1!E16</f>
        <v>50640429101</v>
      </c>
    </row>
    <row r="8" spans="1:3">
      <c r="A8" s="8"/>
      <c r="B8" s="12" t="str">
        <f>[17]И1!D17</f>
        <v>Система теплоснабжения</v>
      </c>
      <c r="C8" s="13">
        <f>[17]И1!E17</f>
        <v>0</v>
      </c>
    </row>
    <row r="9" spans="1:3">
      <c r="A9" s="8"/>
      <c r="B9" s="9" t="str">
        <f>[17]И1!D8</f>
        <v>Период регулирования (i)-й</v>
      </c>
      <c r="C9" s="14">
        <f>[17]И1!E8</f>
        <v>2024</v>
      </c>
    </row>
    <row r="10" spans="1:3">
      <c r="A10" s="8"/>
      <c r="B10" s="9" t="str">
        <f>[17]И1!D9</f>
        <v>Период регулирования (i-1)-й</v>
      </c>
      <c r="C10" s="14">
        <f>[17]И1!E9</f>
        <v>2023</v>
      </c>
    </row>
    <row r="11" spans="1:3">
      <c r="A11" s="8"/>
      <c r="B11" s="9" t="str">
        <f>[17]И1!D10</f>
        <v>Период регулирования (i-2)-й</v>
      </c>
      <c r="C11" s="14">
        <f>[17]И1!E10</f>
        <v>2022</v>
      </c>
    </row>
    <row r="12" spans="1:3">
      <c r="A12" s="8"/>
      <c r="B12" s="9" t="str">
        <f>[17]И1!D11</f>
        <v>Базовый год (б)</v>
      </c>
      <c r="C12" s="14">
        <f>[17]И1!E11</f>
        <v>2019</v>
      </c>
    </row>
    <row r="13" spans="1:3">
      <c r="A13" s="8"/>
      <c r="B13" s="9" t="str">
        <f>[17]И1!D18</f>
        <v>Вид топлива, использование которого преобладает в системе теплоснабжения</v>
      </c>
      <c r="C13" s="15" t="str">
        <f>[17]И1!E18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2965.9828021719627</v>
      </c>
    </row>
    <row r="18" spans="1:3" ht="42.75">
      <c r="A18" s="22" t="s">
        <v>8</v>
      </c>
      <c r="B18" s="25" t="s">
        <v>9</v>
      </c>
      <c r="C18" s="26">
        <f>[17]С1!F12</f>
        <v>994.35037159416254</v>
      </c>
    </row>
    <row r="19" spans="1:3" ht="42.75">
      <c r="A19" s="22" t="s">
        <v>10</v>
      </c>
      <c r="B19" s="25" t="s">
        <v>11</v>
      </c>
      <c r="C19" s="26">
        <f>[17]С2!F12</f>
        <v>1337.1646821037446</v>
      </c>
    </row>
    <row r="20" spans="1:3" ht="30">
      <c r="A20" s="22" t="s">
        <v>12</v>
      </c>
      <c r="B20" s="25" t="s">
        <v>13</v>
      </c>
      <c r="C20" s="26">
        <f>[17]С3!F12</f>
        <v>317.6025648848447</v>
      </c>
    </row>
    <row r="21" spans="1:3" ht="42.75">
      <c r="A21" s="22" t="s">
        <v>14</v>
      </c>
      <c r="B21" s="25" t="s">
        <v>228</v>
      </c>
      <c r="C21" s="26">
        <f>[17]С4!F12</f>
        <v>258.70865805642745</v>
      </c>
    </row>
    <row r="22" spans="1:3" ht="33" customHeight="1">
      <c r="A22" s="22" t="s">
        <v>16</v>
      </c>
      <c r="B22" s="25" t="s">
        <v>229</v>
      </c>
      <c r="C22" s="26">
        <f>[17]С5!F12</f>
        <v>58.156525532783583</v>
      </c>
    </row>
    <row r="23" spans="1:3" ht="45.75" customHeight="1" thickBot="1">
      <c r="A23" s="27" t="s">
        <v>18</v>
      </c>
      <c r="B23" s="141" t="s">
        <v>230</v>
      </c>
      <c r="C23" s="28">
        <f>[17]С6!F12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[17]С1.1!E16</f>
        <v>7900</v>
      </c>
    </row>
    <row r="29" spans="1:3" ht="42.75">
      <c r="A29" s="22" t="s">
        <v>10</v>
      </c>
      <c r="B29" s="33" t="s">
        <v>232</v>
      </c>
      <c r="C29" s="34">
        <f>[17]С1.1!E32</f>
        <v>5751.37</v>
      </c>
    </row>
    <row r="30" spans="1:3" ht="38.25">
      <c r="A30" s="22" t="s">
        <v>233</v>
      </c>
      <c r="B30" s="33" t="s">
        <v>234</v>
      </c>
      <c r="C30" s="85" t="str">
        <f>[17]С1.1!E25</f>
        <v>ООО "Газпром газораспределение Томск"</v>
      </c>
    </row>
    <row r="31" spans="1:3" ht="38.25">
      <c r="A31" s="22" t="s">
        <v>235</v>
      </c>
      <c r="B31" s="33" t="str">
        <f>[17]С1.1!D26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[17]С1.1!E26</f>
        <v>4699.5</v>
      </c>
    </row>
    <row r="32" spans="1:3" ht="25.5">
      <c r="A32" s="22" t="s">
        <v>236</v>
      </c>
      <c r="B32" s="33" t="str">
        <f>[17]С1.1!D27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[17]С1.1!E27</f>
        <v>795.43</v>
      </c>
    </row>
    <row r="33" spans="1:3" ht="25.5">
      <c r="A33" s="22" t="s">
        <v>237</v>
      </c>
      <c r="B33" s="33" t="str">
        <f>[17]С1.1!D28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[17]С1.1!E28</f>
        <v>136.54</v>
      </c>
    </row>
    <row r="34" spans="1:3" ht="38.25">
      <c r="A34" s="22" t="s">
        <v>238</v>
      </c>
      <c r="B34" s="33" t="str">
        <f>[17]С1.1!D29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[17]С1.1!E29</f>
        <v>119.9</v>
      </c>
    </row>
    <row r="35" spans="1:3" ht="17.25">
      <c r="A35" s="22" t="s">
        <v>12</v>
      </c>
      <c r="B35" s="33" t="s">
        <v>23</v>
      </c>
      <c r="C35" s="35">
        <f>[17]С1.1!E20</f>
        <v>8.5000000000000006E-2</v>
      </c>
    </row>
    <row r="36" spans="1:3" ht="17.25">
      <c r="A36" s="22" t="s">
        <v>14</v>
      </c>
      <c r="B36" s="33" t="s">
        <v>24</v>
      </c>
      <c r="C36" s="35">
        <f>[17]С1.1!E21</f>
        <v>0.112</v>
      </c>
    </row>
    <row r="37" spans="1:3" ht="30">
      <c r="A37" s="22" t="s">
        <v>16</v>
      </c>
      <c r="B37" s="36" t="s">
        <v>239</v>
      </c>
      <c r="C37" s="121">
        <f>[17]С1!F13</f>
        <v>156.1</v>
      </c>
    </row>
    <row r="38" spans="1:3">
      <c r="A38" s="22" t="s">
        <v>18</v>
      </c>
      <c r="B38" s="36" t="s">
        <v>26</v>
      </c>
      <c r="C38" s="38">
        <f>[17]С1!F16</f>
        <v>7000</v>
      </c>
    </row>
    <row r="39" spans="1:3" ht="14.25">
      <c r="A39" s="122" t="s">
        <v>27</v>
      </c>
      <c r="B39" s="39" t="s">
        <v>240</v>
      </c>
      <c r="C39" s="40">
        <f>[17]С1!F17</f>
        <v>1.1285714285714286</v>
      </c>
    </row>
    <row r="40" spans="1:3" ht="15.75">
      <c r="A40" s="123" t="s">
        <v>29</v>
      </c>
      <c r="B40" s="42" t="s">
        <v>30</v>
      </c>
      <c r="C40" s="40">
        <f>[17]С1!F20</f>
        <v>22.307053372799995</v>
      </c>
    </row>
    <row r="41" spans="1:3" ht="15.75">
      <c r="A41" s="123" t="s">
        <v>31</v>
      </c>
      <c r="B41" s="43" t="s">
        <v>32</v>
      </c>
      <c r="C41" s="40">
        <f>[17]С1!F21</f>
        <v>21.531904799999996</v>
      </c>
    </row>
    <row r="42" spans="1:3" ht="14.25">
      <c r="A42" s="123" t="s">
        <v>33</v>
      </c>
      <c r="B42" s="44" t="s">
        <v>34</v>
      </c>
      <c r="C42" s="40">
        <f>[17]С1!F22</f>
        <v>1.036</v>
      </c>
    </row>
    <row r="43" spans="1:3" ht="53.25" thickBot="1">
      <c r="A43" s="27" t="s">
        <v>35</v>
      </c>
      <c r="B43" s="45" t="s">
        <v>36</v>
      </c>
      <c r="C43" s="46" t="str">
        <f>[17]С1!F23</f>
        <v>-</v>
      </c>
    </row>
    <row r="44" spans="1:3" ht="13.5" thickBot="1">
      <c r="A44" s="47"/>
      <c r="B44" s="75"/>
      <c r="C44" s="15"/>
    </row>
    <row r="45" spans="1:3" ht="30" customHeight="1">
      <c r="A45" s="50" t="s">
        <v>37</v>
      </c>
      <c r="B45" s="145" t="s">
        <v>38</v>
      </c>
      <c r="C45" s="145"/>
    </row>
    <row r="46" spans="1:3" ht="25.5">
      <c r="A46" s="22" t="s">
        <v>39</v>
      </c>
      <c r="B46" s="36" t="s">
        <v>40</v>
      </c>
      <c r="C46" s="51" t="str">
        <f>[17]С2.1!E12</f>
        <v>V</v>
      </c>
    </row>
    <row r="47" spans="1:3" ht="25.5">
      <c r="A47" s="22" t="s">
        <v>41</v>
      </c>
      <c r="B47" s="33" t="s">
        <v>42</v>
      </c>
      <c r="C47" s="51" t="str">
        <f>[17]С2.1!E13</f>
        <v>6 и менее баллов</v>
      </c>
    </row>
    <row r="48" spans="1:3" ht="25.5">
      <c r="A48" s="22" t="s">
        <v>43</v>
      </c>
      <c r="B48" s="33" t="s">
        <v>241</v>
      </c>
      <c r="C48" s="51" t="str">
        <f>[17]С2.1!E14</f>
        <v>от 200 до 500</v>
      </c>
    </row>
    <row r="49" spans="1:3" ht="25.5">
      <c r="A49" s="22" t="s">
        <v>45</v>
      </c>
      <c r="B49" s="33" t="s">
        <v>242</v>
      </c>
      <c r="C49" s="52" t="str">
        <f>[17]С2.1!E15</f>
        <v>нет</v>
      </c>
    </row>
    <row r="50" spans="1:3" ht="30">
      <c r="A50" s="22" t="s">
        <v>47</v>
      </c>
      <c r="B50" s="33" t="s">
        <v>48</v>
      </c>
      <c r="C50" s="34">
        <f>[17]С2!F18</f>
        <v>35106.652004551666</v>
      </c>
    </row>
    <row r="51" spans="1:3" ht="30">
      <c r="A51" s="22" t="s">
        <v>49</v>
      </c>
      <c r="B51" s="53" t="s">
        <v>50</v>
      </c>
      <c r="C51" s="34">
        <f>IF([17]С2!F19&gt;0,[17]С2!F19,[17]С2!F20)</f>
        <v>23441.524932855718</v>
      </c>
    </row>
    <row r="52" spans="1:3" ht="25.5">
      <c r="A52" s="22" t="s">
        <v>51</v>
      </c>
      <c r="B52" s="54" t="s">
        <v>52</v>
      </c>
      <c r="C52" s="34">
        <f>[17]С2.1!E20</f>
        <v>-37</v>
      </c>
    </row>
    <row r="53" spans="1:3" ht="25.5">
      <c r="A53" s="22" t="s">
        <v>53</v>
      </c>
      <c r="B53" s="54" t="s">
        <v>54</v>
      </c>
      <c r="C53" s="34" t="str">
        <f>[17]С2.1!E23</f>
        <v>нет</v>
      </c>
    </row>
    <row r="54" spans="1:3" ht="38.25">
      <c r="A54" s="22" t="s">
        <v>55</v>
      </c>
      <c r="B54" s="55" t="s">
        <v>56</v>
      </c>
      <c r="C54" s="34">
        <f>[17]С2.2!E10</f>
        <v>1287</v>
      </c>
    </row>
    <row r="55" spans="1:3" ht="25.5">
      <c r="A55" s="22" t="s">
        <v>57</v>
      </c>
      <c r="B55" s="56" t="s">
        <v>58</v>
      </c>
      <c r="C55" s="34">
        <f>[17]С2.2!E12</f>
        <v>5.97</v>
      </c>
    </row>
    <row r="56" spans="1:3" ht="52.5">
      <c r="A56" s="22" t="s">
        <v>59</v>
      </c>
      <c r="B56" s="57" t="s">
        <v>60</v>
      </c>
      <c r="C56" s="34">
        <f>[17]С2.2!E13</f>
        <v>1</v>
      </c>
    </row>
    <row r="57" spans="1:3" ht="27.75">
      <c r="A57" s="22" t="s">
        <v>61</v>
      </c>
      <c r="B57" s="56" t="s">
        <v>62</v>
      </c>
      <c r="C57" s="34">
        <f>[17]С2.2!E14</f>
        <v>12104</v>
      </c>
    </row>
    <row r="58" spans="1:3" ht="25.5">
      <c r="A58" s="22" t="s">
        <v>63</v>
      </c>
      <c r="B58" s="57" t="s">
        <v>64</v>
      </c>
      <c r="C58" s="35">
        <f>[17]С2.2!E15</f>
        <v>4.8000000000000001E-2</v>
      </c>
    </row>
    <row r="59" spans="1:3">
      <c r="A59" s="22" t="s">
        <v>65</v>
      </c>
      <c r="B59" s="57" t="s">
        <v>66</v>
      </c>
      <c r="C59" s="124">
        <f>[17]С2.2!E16</f>
        <v>1</v>
      </c>
    </row>
    <row r="60" spans="1:3" ht="15.75">
      <c r="A60" s="22" t="s">
        <v>67</v>
      </c>
      <c r="B60" s="58" t="s">
        <v>68</v>
      </c>
      <c r="C60" s="34">
        <f>[17]С2!F21</f>
        <v>1</v>
      </c>
    </row>
    <row r="61" spans="1:3" ht="30">
      <c r="A61" s="59" t="s">
        <v>69</v>
      </c>
      <c r="B61" s="33" t="s">
        <v>243</v>
      </c>
      <c r="C61" s="34">
        <f>[17]С2!F13</f>
        <v>105136.23090983224</v>
      </c>
    </row>
    <row r="62" spans="1:3" ht="30">
      <c r="A62" s="59" t="s">
        <v>71</v>
      </c>
      <c r="B62" s="60" t="s">
        <v>244</v>
      </c>
      <c r="C62" s="34">
        <f>[17]С2!F14</f>
        <v>64899</v>
      </c>
    </row>
    <row r="63" spans="1:3" ht="15.75">
      <c r="A63" s="59" t="s">
        <v>73</v>
      </c>
      <c r="B63" s="60" t="s">
        <v>74</v>
      </c>
      <c r="C63" s="40">
        <f>[17]С2!F15</f>
        <v>1.071</v>
      </c>
    </row>
    <row r="64" spans="1:3" ht="15.75">
      <c r="A64" s="59" t="s">
        <v>75</v>
      </c>
      <c r="B64" s="60" t="s">
        <v>76</v>
      </c>
      <c r="C64" s="125">
        <f>[17]С2!F16</f>
        <v>1</v>
      </c>
    </row>
    <row r="65" spans="1:3" ht="17.25">
      <c r="A65" s="59" t="s">
        <v>77</v>
      </c>
      <c r="B65" s="60" t="s">
        <v>78</v>
      </c>
      <c r="C65" s="126">
        <f>[17]С2!F17</f>
        <v>1.01</v>
      </c>
    </row>
    <row r="66" spans="1:3" s="63" customFormat="1" ht="14.25">
      <c r="A66" s="59" t="s">
        <v>79</v>
      </c>
      <c r="B66" s="61" t="s">
        <v>80</v>
      </c>
      <c r="C66" s="62">
        <f>[17]С2!F35</f>
        <v>10</v>
      </c>
    </row>
    <row r="67" spans="1:3" ht="30">
      <c r="A67" s="59" t="s">
        <v>81</v>
      </c>
      <c r="B67" s="64" t="s">
        <v>82</v>
      </c>
      <c r="C67" s="34">
        <f>[17]С2!F28</f>
        <v>141.64867100230373</v>
      </c>
    </row>
    <row r="68" spans="1:3" ht="17.25">
      <c r="A68" s="59" t="s">
        <v>83</v>
      </c>
      <c r="B68" s="53" t="s">
        <v>245</v>
      </c>
      <c r="C68" s="40">
        <f>[17]С2!F29</f>
        <v>0.18916419899999998</v>
      </c>
    </row>
    <row r="69" spans="1:3" ht="17.25">
      <c r="A69" s="59" t="s">
        <v>85</v>
      </c>
      <c r="B69" s="58" t="s">
        <v>246</v>
      </c>
      <c r="C69" s="62">
        <f>[17]С2!F30</f>
        <v>500</v>
      </c>
    </row>
    <row r="70" spans="1:3" ht="42.75">
      <c r="A70" s="59" t="s">
        <v>87</v>
      </c>
      <c r="B70" s="33" t="s">
        <v>247</v>
      </c>
      <c r="C70" s="34">
        <f>[17]С2!F22</f>
        <v>39638.324046481182</v>
      </c>
    </row>
    <row r="71" spans="1:3" ht="30">
      <c r="A71" s="59" t="s">
        <v>89</v>
      </c>
      <c r="B71" s="60" t="s">
        <v>248</v>
      </c>
      <c r="C71" s="34">
        <f>[17]С2!F23</f>
        <v>21</v>
      </c>
    </row>
    <row r="72" spans="1:3" ht="30">
      <c r="A72" s="59" t="s">
        <v>91</v>
      </c>
      <c r="B72" s="53" t="s">
        <v>92</v>
      </c>
      <c r="C72" s="34">
        <f>[17]С2.1!E28</f>
        <v>14036.09995</v>
      </c>
    </row>
    <row r="73" spans="1:3" ht="38.25">
      <c r="A73" s="59" t="s">
        <v>93</v>
      </c>
      <c r="B73" s="65" t="s">
        <v>94</v>
      </c>
      <c r="C73" s="52">
        <f>[17]С2.3!E21</f>
        <v>0</v>
      </c>
    </row>
    <row r="74" spans="1:3" ht="25.5">
      <c r="A74" s="59" t="s">
        <v>95</v>
      </c>
      <c r="B74" s="66" t="s">
        <v>96</v>
      </c>
      <c r="C74" s="67">
        <f>[17]С2.3!E11</f>
        <v>5.45</v>
      </c>
    </row>
    <row r="75" spans="1:3" ht="25.5">
      <c r="A75" s="59" t="s">
        <v>97</v>
      </c>
      <c r="B75" s="66" t="s">
        <v>98</v>
      </c>
      <c r="C75" s="62">
        <f>[17]С2.3!E13</f>
        <v>300</v>
      </c>
    </row>
    <row r="76" spans="1:3" ht="25.5">
      <c r="A76" s="59" t="s">
        <v>99</v>
      </c>
      <c r="B76" s="65" t="s">
        <v>100</v>
      </c>
      <c r="C76" s="68">
        <f>IF([17]С2.3!E22&gt;0,[17]С2.3!E22,[17]С2.3!E14)</f>
        <v>61211</v>
      </c>
    </row>
    <row r="77" spans="1:3" ht="38.25">
      <c r="A77" s="59" t="s">
        <v>101</v>
      </c>
      <c r="B77" s="65" t="s">
        <v>102</v>
      </c>
      <c r="C77" s="68">
        <f>IF([17]С2.3!E23&gt;0,[17]С2.3!E23,[17]С2.3!E15)</f>
        <v>45675</v>
      </c>
    </row>
    <row r="78" spans="1:3" ht="30">
      <c r="A78" s="59" t="s">
        <v>103</v>
      </c>
      <c r="B78" s="53" t="s">
        <v>104</v>
      </c>
      <c r="C78" s="34">
        <f>[17]С2.1!E29</f>
        <v>9518.3274000000001</v>
      </c>
    </row>
    <row r="79" spans="1:3" ht="38.25">
      <c r="A79" s="59" t="s">
        <v>105</v>
      </c>
      <c r="B79" s="65" t="s">
        <v>106</v>
      </c>
      <c r="C79" s="52">
        <f>[17]С2.3!E25</f>
        <v>0</v>
      </c>
    </row>
    <row r="80" spans="1:3" ht="25.5">
      <c r="A80" s="59" t="s">
        <v>107</v>
      </c>
      <c r="B80" s="66" t="s">
        <v>108</v>
      </c>
      <c r="C80" s="67">
        <f>[17]С2.3!E12</f>
        <v>0.2</v>
      </c>
    </row>
    <row r="81" spans="1:3" ht="25.5">
      <c r="A81" s="59" t="s">
        <v>109</v>
      </c>
      <c r="B81" s="66" t="s">
        <v>98</v>
      </c>
      <c r="C81" s="62">
        <f>[17]С2.3!E13</f>
        <v>300</v>
      </c>
    </row>
    <row r="82" spans="1:3" ht="25.5">
      <c r="A82" s="59" t="s">
        <v>110</v>
      </c>
      <c r="B82" s="69" t="s">
        <v>111</v>
      </c>
      <c r="C82" s="68">
        <f>IF([17]С2.3!E26&gt;0,[17]С2.3!E26,[17]С2.3!E16)</f>
        <v>65637</v>
      </c>
    </row>
    <row r="83" spans="1:3" ht="38.25">
      <c r="A83" s="59" t="s">
        <v>112</v>
      </c>
      <c r="B83" s="69" t="s">
        <v>113</v>
      </c>
      <c r="C83" s="68">
        <f>IF([17]С2.3!E27&gt;0,[17]С2.3!E27,[17]С2.3!E17)</f>
        <v>31684</v>
      </c>
    </row>
    <row r="84" spans="1:3" ht="30">
      <c r="A84" s="59" t="s">
        <v>249</v>
      </c>
      <c r="B84" s="60" t="s">
        <v>250</v>
      </c>
      <c r="C84" s="68">
        <f>IF([17]С2.1!E19&gt;0,[17]С2.1!E19,[17]С2!F26)</f>
        <v>2892</v>
      </c>
    </row>
    <row r="85" spans="1:3" ht="17.25">
      <c r="A85" s="59" t="s">
        <v>114</v>
      </c>
      <c r="B85" s="33" t="s">
        <v>115</v>
      </c>
      <c r="C85" s="35">
        <f>[17]С2!F31</f>
        <v>9.5962865259740182E-2</v>
      </c>
    </row>
    <row r="86" spans="1:3" ht="30">
      <c r="A86" s="59" t="s">
        <v>116</v>
      </c>
      <c r="B86" s="53" t="s">
        <v>117</v>
      </c>
      <c r="C86" s="70">
        <f>[17]С2!F32</f>
        <v>8.4029304029304031E-2</v>
      </c>
    </row>
    <row r="87" spans="1:3" ht="17.25">
      <c r="A87" s="59" t="s">
        <v>118</v>
      </c>
      <c r="B87" s="71" t="s">
        <v>119</v>
      </c>
      <c r="C87" s="35">
        <f>[17]С2!F33</f>
        <v>0.13880000000000001</v>
      </c>
    </row>
    <row r="88" spans="1:3" s="63" customFormat="1" ht="18" thickBot="1">
      <c r="A88" s="72" t="s">
        <v>120</v>
      </c>
      <c r="B88" s="73" t="s">
        <v>121</v>
      </c>
      <c r="C88" s="74">
        <f>[17]С2!F34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[17]С3!F14</f>
        <v>4199.9055432306041</v>
      </c>
    </row>
    <row r="92" spans="1:3" s="63" customFormat="1" ht="42.75">
      <c r="A92" s="77" t="s">
        <v>126</v>
      </c>
      <c r="B92" s="53" t="s">
        <v>127</v>
      </c>
      <c r="C92" s="78">
        <f>[17]С3!F15</f>
        <v>0.2</v>
      </c>
    </row>
    <row r="93" spans="1:3" s="63" customFormat="1" ht="14.25">
      <c r="A93" s="77" t="s">
        <v>128</v>
      </c>
      <c r="B93" s="79" t="s">
        <v>129</v>
      </c>
      <c r="C93" s="62">
        <f>[17]С3!F18</f>
        <v>15</v>
      </c>
    </row>
    <row r="94" spans="1:3" s="63" customFormat="1" ht="17.25">
      <c r="A94" s="77" t="s">
        <v>130</v>
      </c>
      <c r="B94" s="33" t="s">
        <v>131</v>
      </c>
      <c r="C94" s="34">
        <f>[17]С3!F19</f>
        <v>2638.2577020926874</v>
      </c>
    </row>
    <row r="95" spans="1:3" s="63" customFormat="1" ht="55.5">
      <c r="A95" s="77" t="s">
        <v>132</v>
      </c>
      <c r="B95" s="53" t="s">
        <v>133</v>
      </c>
      <c r="C95" s="80">
        <f>[17]С3!F20</f>
        <v>2.1999999999999999E-2</v>
      </c>
    </row>
    <row r="96" spans="1:3" s="63" customFormat="1" ht="14.25">
      <c r="A96" s="77" t="s">
        <v>134</v>
      </c>
      <c r="B96" s="58" t="s">
        <v>80</v>
      </c>
      <c r="C96" s="62">
        <f>[17]С3!F21</f>
        <v>10</v>
      </c>
    </row>
    <row r="97" spans="1:3" s="63" customFormat="1" ht="17.25">
      <c r="A97" s="77" t="s">
        <v>135</v>
      </c>
      <c r="B97" s="33" t="s">
        <v>136</v>
      </c>
      <c r="C97" s="34">
        <f>[17]С3!F22</f>
        <v>0.42494601300691121</v>
      </c>
    </row>
    <row r="98" spans="1:3" s="63" customFormat="1" ht="55.5">
      <c r="A98" s="77" t="s">
        <v>137</v>
      </c>
      <c r="B98" s="53" t="s">
        <v>138</v>
      </c>
      <c r="C98" s="80">
        <f>[17]С3!F23</f>
        <v>3.0000000000000001E-3</v>
      </c>
    </row>
    <row r="99" spans="1:3" s="63" customFormat="1" ht="30.75" thickBot="1">
      <c r="A99" s="81" t="s">
        <v>139</v>
      </c>
      <c r="B99" s="82" t="s">
        <v>82</v>
      </c>
      <c r="C99" s="83">
        <f>[17]С3!F24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[17]С4!F16</f>
        <v>832.33500000000004</v>
      </c>
    </row>
    <row r="103" spans="1:3" ht="30">
      <c r="A103" s="59" t="s">
        <v>145</v>
      </c>
      <c r="B103" s="58" t="s">
        <v>252</v>
      </c>
      <c r="C103" s="34">
        <f>[17]С4!F17</f>
        <v>43385</v>
      </c>
    </row>
    <row r="104" spans="1:3" ht="17.25">
      <c r="A104" s="59" t="s">
        <v>147</v>
      </c>
      <c r="B104" s="58" t="s">
        <v>148</v>
      </c>
      <c r="C104" s="40">
        <f>[17]С4!F18</f>
        <v>1.4999999999999999E-2</v>
      </c>
    </row>
    <row r="105" spans="1:3" ht="30">
      <c r="A105" s="59" t="s">
        <v>149</v>
      </c>
      <c r="B105" s="58" t="s">
        <v>150</v>
      </c>
      <c r="C105" s="34">
        <f>[17]С4!F19</f>
        <v>12104</v>
      </c>
    </row>
    <row r="106" spans="1:3" ht="31.5">
      <c r="A106" s="59" t="s">
        <v>151</v>
      </c>
      <c r="B106" s="58" t="s">
        <v>152</v>
      </c>
      <c r="C106" s="40">
        <f>[17]С4!F20</f>
        <v>1.4999999999999999E-2</v>
      </c>
    </row>
    <row r="107" spans="1:3" ht="30">
      <c r="A107" s="59" t="s">
        <v>153</v>
      </c>
      <c r="B107" s="33" t="s">
        <v>253</v>
      </c>
      <c r="C107" s="34">
        <f>[17]С4!F21</f>
        <v>1221.9019409821399</v>
      </c>
    </row>
    <row r="108" spans="1:3" ht="45.6" customHeight="1">
      <c r="A108" s="59" t="s">
        <v>155</v>
      </c>
      <c r="B108" s="53" t="s">
        <v>156</v>
      </c>
      <c r="C108" s="85" t="str">
        <f>IF([17]С4.2!F8="да",[17]С4.2!D21,[17]С4.2!D15)</f>
        <v>АО "Новосибирскэнергосбыт"</v>
      </c>
    </row>
    <row r="109" spans="1:3" ht="68.25" customHeight="1">
      <c r="A109" s="59" t="s">
        <v>157</v>
      </c>
      <c r="B109" s="53" t="s">
        <v>158</v>
      </c>
      <c r="C109" s="34">
        <f>[17]С4!F22</f>
        <v>3.6112641666666665</v>
      </c>
    </row>
    <row r="110" spans="1:3" ht="30">
      <c r="A110" s="59" t="s">
        <v>159</v>
      </c>
      <c r="B110" s="58" t="s">
        <v>254</v>
      </c>
      <c r="C110" s="62">
        <f>[17]С4!F23</f>
        <v>110</v>
      </c>
    </row>
    <row r="111" spans="1:3" ht="14.25">
      <c r="A111" s="59" t="s">
        <v>161</v>
      </c>
      <c r="B111" s="53" t="s">
        <v>162</v>
      </c>
      <c r="C111" s="34">
        <f>[17]С4!F24</f>
        <v>8497.1999999999989</v>
      </c>
    </row>
    <row r="112" spans="1:3" ht="14.25">
      <c r="A112" s="59" t="s">
        <v>163</v>
      </c>
      <c r="B112" s="58" t="s">
        <v>164</v>
      </c>
      <c r="C112" s="40">
        <f>[17]С4!F25</f>
        <v>0.36199999999999999</v>
      </c>
    </row>
    <row r="113" spans="1:3" ht="17.25">
      <c r="A113" s="59" t="s">
        <v>165</v>
      </c>
      <c r="B113" s="33" t="s">
        <v>166</v>
      </c>
      <c r="C113" s="34">
        <f>[17]С4!F26</f>
        <v>32.184229999999999</v>
      </c>
    </row>
    <row r="114" spans="1:3" ht="25.5">
      <c r="A114" s="59" t="s">
        <v>167</v>
      </c>
      <c r="B114" s="53" t="s">
        <v>94</v>
      </c>
      <c r="C114" s="85">
        <f>[17]С4.3!E16</f>
        <v>0</v>
      </c>
    </row>
    <row r="115" spans="1:3" ht="25.5">
      <c r="A115" s="59" t="s">
        <v>168</v>
      </c>
      <c r="B115" s="53" t="s">
        <v>169</v>
      </c>
      <c r="C115" s="34">
        <f>[17]С4.3!E17</f>
        <v>16.21</v>
      </c>
    </row>
    <row r="116" spans="1:3" ht="38.25">
      <c r="A116" s="59" t="s">
        <v>170</v>
      </c>
      <c r="B116" s="53" t="s">
        <v>106</v>
      </c>
      <c r="C116" s="85">
        <f>[17]С4.3!E18</f>
        <v>0</v>
      </c>
    </row>
    <row r="117" spans="1:3">
      <c r="A117" s="59" t="s">
        <v>171</v>
      </c>
      <c r="B117" s="53" t="s">
        <v>172</v>
      </c>
      <c r="C117" s="34">
        <f>[17]С4.3!E19</f>
        <v>11.87</v>
      </c>
    </row>
    <row r="118" spans="1:3">
      <c r="A118" s="59" t="s">
        <v>173</v>
      </c>
      <c r="B118" s="58" t="s">
        <v>174</v>
      </c>
      <c r="C118" s="62">
        <f>[17]С4.3!E11</f>
        <v>1871</v>
      </c>
    </row>
    <row r="119" spans="1:3">
      <c r="A119" s="59" t="s">
        <v>175</v>
      </c>
      <c r="B119" s="58" t="s">
        <v>176</v>
      </c>
      <c r="C119" s="52">
        <f>[17]С4.3!E12</f>
        <v>61</v>
      </c>
    </row>
    <row r="120" spans="1:3">
      <c r="A120" s="59" t="s">
        <v>177</v>
      </c>
      <c r="B120" s="58" t="s">
        <v>178</v>
      </c>
      <c r="C120" s="52">
        <f>[17]С4.3!E13</f>
        <v>73</v>
      </c>
    </row>
    <row r="121" spans="1:3" ht="30">
      <c r="A121" s="59" t="s">
        <v>179</v>
      </c>
      <c r="B121" s="33" t="s">
        <v>255</v>
      </c>
      <c r="C121" s="34">
        <f>[17]С4!F27</f>
        <v>1296.7467102743137</v>
      </c>
    </row>
    <row r="122" spans="1:3" ht="25.5">
      <c r="A122" s="59" t="s">
        <v>181</v>
      </c>
      <c r="B122" s="53" t="s">
        <v>256</v>
      </c>
      <c r="C122" s="34">
        <f>[17]С4!F28</f>
        <v>995.96521526444985</v>
      </c>
    </row>
    <row r="123" spans="1:3" ht="42.75">
      <c r="A123" s="59" t="s">
        <v>183</v>
      </c>
      <c r="B123" s="53" t="s">
        <v>184</v>
      </c>
      <c r="C123" s="34">
        <f>[17]С4!F29</f>
        <v>300.78149500986387</v>
      </c>
    </row>
    <row r="124" spans="1:3" ht="30.75" thickBot="1">
      <c r="A124" s="72" t="s">
        <v>185</v>
      </c>
      <c r="B124" s="90" t="s">
        <v>186</v>
      </c>
      <c r="C124" s="83">
        <f>[17]С4!F30</f>
        <v>503.76788097989714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[17]С5!F17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IF([17]С6.1!E11="нет",[17]С6!F13,"")</f>
        <v/>
      </c>
    </row>
    <row r="131" spans="1:3" ht="42.75">
      <c r="A131" s="59" t="s">
        <v>204</v>
      </c>
      <c r="B131" s="86" t="s">
        <v>205</v>
      </c>
      <c r="C131" s="92" t="str">
        <f>IF([17]С6.1!E12="нет",[17]С6.1!E17,"")</f>
        <v/>
      </c>
    </row>
    <row r="132" spans="1:3" ht="68.25">
      <c r="A132" s="59" t="s">
        <v>206</v>
      </c>
      <c r="B132" s="91" t="s">
        <v>207</v>
      </c>
      <c r="C132" s="127" t="str">
        <f>IF([17]С6.1!E18="нет",[17]С6!F19,"")</f>
        <v/>
      </c>
    </row>
    <row r="133" spans="1:3" ht="55.5">
      <c r="A133" s="59" t="s">
        <v>208</v>
      </c>
      <c r="B133" s="86" t="s">
        <v>209</v>
      </c>
      <c r="C133" s="35" t="str">
        <f>IF([17]С6.1!E18="нет",[17]С6.1!E19,"")</f>
        <v/>
      </c>
    </row>
    <row r="134" spans="1:3" ht="61.5" customHeight="1">
      <c r="A134" s="59" t="s">
        <v>210</v>
      </c>
      <c r="B134" s="86" t="s">
        <v>257</v>
      </c>
      <c r="C134" s="35" t="str">
        <f>IF([17]С6.1!E18="нет",[17]С6.1!E22,"")</f>
        <v/>
      </c>
    </row>
    <row r="135" spans="1:3" ht="69" thickBot="1">
      <c r="A135" s="72" t="s">
        <v>212</v>
      </c>
      <c r="B135" s="98" t="s">
        <v>213</v>
      </c>
      <c r="C135" s="74" t="str">
        <f>IF([17]С6.1!E18="нет",[17]С6.1!E23,"")</f>
        <v/>
      </c>
    </row>
    <row r="136" spans="1:3" s="89" customFormat="1" ht="13.5" thickBot="1">
      <c r="A136" s="47"/>
      <c r="B136" s="75"/>
      <c r="C136" s="15"/>
    </row>
    <row r="137" spans="1:3" ht="15.75">
      <c r="A137" s="84" t="s">
        <v>214</v>
      </c>
      <c r="B137" s="99" t="s">
        <v>215</v>
      </c>
      <c r="C137" s="100">
        <f>[17]С2!F39</f>
        <v>21.531904799999996</v>
      </c>
    </row>
    <row r="138" spans="1:3" ht="14.25">
      <c r="A138" s="59" t="s">
        <v>216</v>
      </c>
      <c r="B138" s="58" t="s">
        <v>217</v>
      </c>
      <c r="C138" s="34">
        <f>[17]С2!F40</f>
        <v>7</v>
      </c>
    </row>
    <row r="139" spans="1:3" ht="17.25">
      <c r="A139" s="59" t="s">
        <v>218</v>
      </c>
      <c r="B139" s="58" t="s">
        <v>219</v>
      </c>
      <c r="C139" s="34">
        <f>[17]С2!F42</f>
        <v>0.97</v>
      </c>
    </row>
    <row r="140" spans="1:3" ht="15" thickBot="1">
      <c r="A140" s="72" t="s">
        <v>220</v>
      </c>
      <c r="B140" s="73" t="s">
        <v>221</v>
      </c>
      <c r="C140" s="46">
        <f>[17]С2!F44</f>
        <v>0.36199999999999999</v>
      </c>
    </row>
    <row r="141" spans="1:3" s="89" customFormat="1" ht="13.5" thickBot="1">
      <c r="A141" s="47"/>
      <c r="B141" s="75"/>
      <c r="C141" s="15"/>
    </row>
    <row r="142" spans="1:3" ht="17.25">
      <c r="A142" s="84" t="s">
        <v>222</v>
      </c>
      <c r="B142" s="103" t="s">
        <v>258</v>
      </c>
      <c r="C142" s="128">
        <f>[17]С2!F37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[17]С2.5!$E$11</f>
        <v>-2.9000000000000026E-2</v>
      </c>
    </row>
    <row r="146" spans="1:3">
      <c r="B146" s="131">
        <f>B145+1</f>
        <v>2021</v>
      </c>
      <c r="C146" s="133">
        <f>[17]С2.5!$F$11</f>
        <v>0.245</v>
      </c>
    </row>
    <row r="147" spans="1:3">
      <c r="B147" s="131">
        <f t="shared" ref="B147:B210" si="0">B146+1</f>
        <v>2022</v>
      </c>
      <c r="C147" s="134">
        <f>[17]С2.5!$G$11</f>
        <v>0.114</v>
      </c>
    </row>
    <row r="148" spans="1:3">
      <c r="B148" s="110">
        <f t="shared" si="0"/>
        <v>2023</v>
      </c>
      <c r="C148" s="135">
        <f>[17]С2.5!$H$11</f>
        <v>2.4E-2</v>
      </c>
    </row>
    <row r="149" spans="1:3" ht="13.5" thickBot="1">
      <c r="B149" s="110">
        <f t="shared" si="0"/>
        <v>2024</v>
      </c>
      <c r="C149" s="135">
        <f>[17]С2.5!$I$11</f>
        <v>8.5999999999999993E-2</v>
      </c>
    </row>
    <row r="150" spans="1:3" ht="13.5" hidden="1" thickBot="1">
      <c r="B150" s="110">
        <f t="shared" si="0"/>
        <v>2025</v>
      </c>
      <c r="C150" s="135">
        <f>[17]С2.5!$J$11</f>
        <v>0</v>
      </c>
    </row>
    <row r="151" spans="1:3" ht="13.5" hidden="1" thickBot="1">
      <c r="B151" s="110">
        <f t="shared" si="0"/>
        <v>2026</v>
      </c>
      <c r="C151" s="135">
        <f>[17]С2.5!$K$11</f>
        <v>0</v>
      </c>
    </row>
    <row r="152" spans="1:3" ht="13.5" hidden="1" thickBot="1">
      <c r="B152" s="110">
        <f t="shared" si="0"/>
        <v>2027</v>
      </c>
      <c r="C152" s="135">
        <f>[17]С2.5!$L$11</f>
        <v>0</v>
      </c>
    </row>
    <row r="153" spans="1:3" ht="13.5" hidden="1" thickBot="1">
      <c r="B153" s="110">
        <f t="shared" si="0"/>
        <v>2028</v>
      </c>
      <c r="C153" s="135">
        <f>[17]С2.5!$M$11</f>
        <v>0</v>
      </c>
    </row>
    <row r="154" spans="1:3" ht="13.5" hidden="1" thickBot="1">
      <c r="B154" s="110">
        <f t="shared" si="0"/>
        <v>2029</v>
      </c>
      <c r="C154" s="135">
        <f>[17]С2.5!$N$11</f>
        <v>0</v>
      </c>
    </row>
    <row r="155" spans="1:3" ht="13.5" hidden="1" thickBot="1">
      <c r="B155" s="110">
        <f t="shared" si="0"/>
        <v>2030</v>
      </c>
      <c r="C155" s="135">
        <f>[17]С2.5!$O$11</f>
        <v>0</v>
      </c>
    </row>
    <row r="156" spans="1:3" ht="13.5" hidden="1" thickBot="1">
      <c r="B156" s="110">
        <f t="shared" si="0"/>
        <v>2031</v>
      </c>
      <c r="C156" s="135">
        <f>[17]С2.5!$P$11</f>
        <v>0</v>
      </c>
    </row>
    <row r="157" spans="1:3" ht="13.5" hidden="1" thickBot="1">
      <c r="B157" s="110">
        <f t="shared" si="0"/>
        <v>2032</v>
      </c>
      <c r="C157" s="135">
        <f>[17]С2.5!$Q$11</f>
        <v>0</v>
      </c>
    </row>
    <row r="158" spans="1:3" ht="13.5" hidden="1" thickBot="1">
      <c r="B158" s="110">
        <f t="shared" si="0"/>
        <v>2033</v>
      </c>
      <c r="C158" s="135">
        <f>[17]С2.5!$R$11</f>
        <v>0</v>
      </c>
    </row>
    <row r="159" spans="1:3" ht="13.5" hidden="1" thickBot="1">
      <c r="B159" s="110">
        <f t="shared" si="0"/>
        <v>2034</v>
      </c>
      <c r="C159" s="135">
        <f>[17]С2.5!$S$11</f>
        <v>0</v>
      </c>
    </row>
    <row r="160" spans="1:3" ht="13.5" hidden="1" thickBot="1">
      <c r="B160" s="110">
        <f t="shared" si="0"/>
        <v>2035</v>
      </c>
      <c r="C160" s="135">
        <f>[17]С2.5!$T$11</f>
        <v>0</v>
      </c>
    </row>
    <row r="161" spans="2:3" ht="13.5" hidden="1" thickBot="1">
      <c r="B161" s="110">
        <f t="shared" si="0"/>
        <v>2036</v>
      </c>
      <c r="C161" s="135">
        <f>[17]С2.5!$U$11</f>
        <v>0</v>
      </c>
    </row>
    <row r="162" spans="2:3" ht="13.5" hidden="1" thickBot="1">
      <c r="B162" s="110">
        <f t="shared" si="0"/>
        <v>2037</v>
      </c>
      <c r="C162" s="135">
        <f>[17]С2.5!$V$11</f>
        <v>0</v>
      </c>
    </row>
    <row r="163" spans="2:3" ht="13.5" hidden="1" thickBot="1">
      <c r="B163" s="110">
        <f t="shared" si="0"/>
        <v>2038</v>
      </c>
      <c r="C163" s="135">
        <f>[17]С2.5!$W$11</f>
        <v>0</v>
      </c>
    </row>
    <row r="164" spans="2:3" ht="13.5" hidden="1" thickBot="1">
      <c r="B164" s="110">
        <f t="shared" si="0"/>
        <v>2039</v>
      </c>
      <c r="C164" s="135">
        <f>[17]С2.5!$X$11</f>
        <v>0</v>
      </c>
    </row>
    <row r="165" spans="2:3" ht="13.5" hidden="1" thickBot="1">
      <c r="B165" s="110">
        <f t="shared" si="0"/>
        <v>2040</v>
      </c>
      <c r="C165" s="135">
        <f>[17]С2.5!$Y$11</f>
        <v>0</v>
      </c>
    </row>
    <row r="166" spans="2:3" ht="13.5" hidden="1" thickBot="1">
      <c r="B166" s="110">
        <f t="shared" si="0"/>
        <v>2041</v>
      </c>
      <c r="C166" s="135">
        <f>[17]С2.5!$Z$11</f>
        <v>0</v>
      </c>
    </row>
    <row r="167" spans="2:3" ht="13.5" hidden="1" thickBot="1">
      <c r="B167" s="110">
        <f t="shared" si="0"/>
        <v>2042</v>
      </c>
      <c r="C167" s="135">
        <f>[17]С2.5!$AA$11</f>
        <v>0</v>
      </c>
    </row>
    <row r="168" spans="2:3" ht="13.5" hidden="1" thickBot="1">
      <c r="B168" s="110">
        <f t="shared" si="0"/>
        <v>2043</v>
      </c>
      <c r="C168" s="135">
        <f>[17]С2.5!$AB$11</f>
        <v>0</v>
      </c>
    </row>
    <row r="169" spans="2:3" ht="13.5" hidden="1" thickBot="1">
      <c r="B169" s="110">
        <f t="shared" si="0"/>
        <v>2044</v>
      </c>
      <c r="C169" s="135">
        <f>[17]С2.5!$AC$11</f>
        <v>0</v>
      </c>
    </row>
    <row r="170" spans="2:3" ht="13.5" hidden="1" thickBot="1">
      <c r="B170" s="110">
        <f t="shared" si="0"/>
        <v>2045</v>
      </c>
      <c r="C170" s="135">
        <f>[17]С2.5!$AD$11</f>
        <v>0</v>
      </c>
    </row>
    <row r="171" spans="2:3" ht="13.5" hidden="1" thickBot="1">
      <c r="B171" s="110">
        <f t="shared" si="0"/>
        <v>2046</v>
      </c>
      <c r="C171" s="135">
        <f>[17]С2.5!$AE$11</f>
        <v>0</v>
      </c>
    </row>
    <row r="172" spans="2:3" ht="13.5" hidden="1" thickBot="1">
      <c r="B172" s="110">
        <f t="shared" si="0"/>
        <v>2047</v>
      </c>
      <c r="C172" s="135">
        <f>[17]С2.5!$AF$11</f>
        <v>0</v>
      </c>
    </row>
    <row r="173" spans="2:3" ht="13.5" hidden="1" thickBot="1">
      <c r="B173" s="110">
        <f t="shared" si="0"/>
        <v>2048</v>
      </c>
      <c r="C173" s="135">
        <f>[17]С2.5!$AG$11</f>
        <v>0</v>
      </c>
    </row>
    <row r="174" spans="2:3" ht="13.5" hidden="1" thickBot="1">
      <c r="B174" s="110">
        <f t="shared" si="0"/>
        <v>2049</v>
      </c>
      <c r="C174" s="135">
        <f>[17]С2.5!$AH$11</f>
        <v>0</v>
      </c>
    </row>
    <row r="175" spans="2:3" ht="13.5" hidden="1" thickBot="1">
      <c r="B175" s="110">
        <f t="shared" si="0"/>
        <v>2050</v>
      </c>
      <c r="C175" s="135">
        <f>[17]С2.5!$AI$11</f>
        <v>0</v>
      </c>
    </row>
    <row r="176" spans="2:3" ht="13.5" hidden="1" thickBot="1">
      <c r="B176" s="110">
        <f t="shared" si="0"/>
        <v>2051</v>
      </c>
      <c r="C176" s="135">
        <f>[17]С2.5!$AJ$11</f>
        <v>0</v>
      </c>
    </row>
    <row r="177" spans="2:3" ht="13.5" hidden="1" thickBot="1">
      <c r="B177" s="110">
        <f t="shared" si="0"/>
        <v>2052</v>
      </c>
      <c r="C177" s="135">
        <f>[17]С2.5!$AK$11</f>
        <v>0</v>
      </c>
    </row>
    <row r="178" spans="2:3" ht="13.5" hidden="1" thickBot="1">
      <c r="B178" s="110">
        <f t="shared" si="0"/>
        <v>2053</v>
      </c>
      <c r="C178" s="135">
        <f>[17]С2.5!$AL$11</f>
        <v>0</v>
      </c>
    </row>
    <row r="179" spans="2:3" ht="13.5" hidden="1" thickBot="1">
      <c r="B179" s="110">
        <f t="shared" si="0"/>
        <v>2054</v>
      </c>
      <c r="C179" s="135">
        <f>[17]С2.5!$AM$11</f>
        <v>0</v>
      </c>
    </row>
    <row r="180" spans="2:3" ht="13.5" hidden="1" thickBot="1">
      <c r="B180" s="110">
        <f t="shared" si="0"/>
        <v>2055</v>
      </c>
      <c r="C180" s="135">
        <f>[17]С2.5!$AN$11</f>
        <v>0</v>
      </c>
    </row>
    <row r="181" spans="2:3" ht="13.5" hidden="1" thickBot="1">
      <c r="B181" s="110">
        <f t="shared" si="0"/>
        <v>2056</v>
      </c>
      <c r="C181" s="135">
        <f>[17]С2.5!$AO$11</f>
        <v>0</v>
      </c>
    </row>
    <row r="182" spans="2:3" ht="13.5" hidden="1" thickBot="1">
      <c r="B182" s="110">
        <f t="shared" si="0"/>
        <v>2057</v>
      </c>
      <c r="C182" s="135">
        <f>[17]С2.5!$AP$11</f>
        <v>0</v>
      </c>
    </row>
    <row r="183" spans="2:3" ht="13.5" hidden="1" thickBot="1">
      <c r="B183" s="110">
        <f t="shared" si="0"/>
        <v>2058</v>
      </c>
      <c r="C183" s="135">
        <f>[17]С2.5!$AQ$11</f>
        <v>0</v>
      </c>
    </row>
    <row r="184" spans="2:3" ht="13.5" hidden="1" thickBot="1">
      <c r="B184" s="110">
        <f t="shared" si="0"/>
        <v>2059</v>
      </c>
      <c r="C184" s="135">
        <f>[17]С2.5!$AR$11</f>
        <v>0</v>
      </c>
    </row>
    <row r="185" spans="2:3" ht="13.5" hidden="1" thickBot="1">
      <c r="B185" s="110">
        <f t="shared" si="0"/>
        <v>2060</v>
      </c>
      <c r="C185" s="135">
        <f>[17]С2.5!$AS$11</f>
        <v>0</v>
      </c>
    </row>
    <row r="186" spans="2:3" ht="13.5" hidden="1" thickBot="1">
      <c r="B186" s="110">
        <f t="shared" si="0"/>
        <v>2061</v>
      </c>
      <c r="C186" s="135">
        <f>[17]С2.5!$AT$11</f>
        <v>0</v>
      </c>
    </row>
    <row r="187" spans="2:3" ht="13.5" hidden="1" thickBot="1">
      <c r="B187" s="110">
        <f t="shared" si="0"/>
        <v>2062</v>
      </c>
      <c r="C187" s="135">
        <f>[17]С2.5!$AU$11</f>
        <v>0</v>
      </c>
    </row>
    <row r="188" spans="2:3" ht="13.5" hidden="1" thickBot="1">
      <c r="B188" s="110">
        <f t="shared" si="0"/>
        <v>2063</v>
      </c>
      <c r="C188" s="135">
        <f>[17]С2.5!$AV$11</f>
        <v>0</v>
      </c>
    </row>
    <row r="189" spans="2:3" ht="13.5" hidden="1" thickBot="1">
      <c r="B189" s="110">
        <f t="shared" si="0"/>
        <v>2064</v>
      </c>
      <c r="C189" s="135">
        <f>[17]С2.5!$AW$11</f>
        <v>0</v>
      </c>
    </row>
    <row r="190" spans="2:3" ht="13.5" hidden="1" thickBot="1">
      <c r="B190" s="110">
        <f t="shared" si="0"/>
        <v>2065</v>
      </c>
      <c r="C190" s="135">
        <f>[17]С2.5!$AX$11</f>
        <v>0</v>
      </c>
    </row>
    <row r="191" spans="2:3" ht="13.5" hidden="1" thickBot="1">
      <c r="B191" s="110">
        <f t="shared" si="0"/>
        <v>2066</v>
      </c>
      <c r="C191" s="135">
        <f>[17]С2.5!$AY$11</f>
        <v>0</v>
      </c>
    </row>
    <row r="192" spans="2:3" ht="13.5" hidden="1" thickBot="1">
      <c r="B192" s="110">
        <f t="shared" si="0"/>
        <v>2067</v>
      </c>
      <c r="C192" s="135">
        <f>[17]С2.5!$AZ$11</f>
        <v>0</v>
      </c>
    </row>
    <row r="193" spans="2:3" ht="13.5" hidden="1" thickBot="1">
      <c r="B193" s="110">
        <f t="shared" si="0"/>
        <v>2068</v>
      </c>
      <c r="C193" s="135">
        <f>[17]С2.5!$BA$11</f>
        <v>0</v>
      </c>
    </row>
    <row r="194" spans="2:3" ht="13.5" hidden="1" thickBot="1">
      <c r="B194" s="110">
        <f t="shared" si="0"/>
        <v>2069</v>
      </c>
      <c r="C194" s="135">
        <f>[17]С2.5!$BB$11</f>
        <v>0</v>
      </c>
    </row>
    <row r="195" spans="2:3" ht="13.5" hidden="1" thickBot="1">
      <c r="B195" s="110">
        <f t="shared" si="0"/>
        <v>2070</v>
      </c>
      <c r="C195" s="135">
        <f>[17]С2.5!$BC$11</f>
        <v>0</v>
      </c>
    </row>
    <row r="196" spans="2:3" ht="13.5" hidden="1" thickBot="1">
      <c r="B196" s="110">
        <f t="shared" si="0"/>
        <v>2071</v>
      </c>
      <c r="C196" s="135">
        <f>[17]С2.5!$BD$11</f>
        <v>0</v>
      </c>
    </row>
    <row r="197" spans="2:3" ht="13.5" hidden="1" thickBot="1">
      <c r="B197" s="110">
        <f t="shared" si="0"/>
        <v>2072</v>
      </c>
      <c r="C197" s="135">
        <f>[17]С2.5!$BE$11</f>
        <v>0</v>
      </c>
    </row>
    <row r="198" spans="2:3" ht="13.5" hidden="1" thickBot="1">
      <c r="B198" s="110">
        <f t="shared" si="0"/>
        <v>2073</v>
      </c>
      <c r="C198" s="135">
        <f>[17]С2.5!$BF$11</f>
        <v>0</v>
      </c>
    </row>
    <row r="199" spans="2:3" ht="13.5" hidden="1" thickBot="1">
      <c r="B199" s="110">
        <f t="shared" si="0"/>
        <v>2074</v>
      </c>
      <c r="C199" s="135">
        <f>[17]С2.5!$BG$11</f>
        <v>0</v>
      </c>
    </row>
    <row r="200" spans="2:3" ht="13.5" hidden="1" thickBot="1">
      <c r="B200" s="110">
        <f t="shared" si="0"/>
        <v>2075</v>
      </c>
      <c r="C200" s="135">
        <f>[17]С2.5!$BH$11</f>
        <v>0</v>
      </c>
    </row>
    <row r="201" spans="2:3" ht="13.5" hidden="1" thickBot="1">
      <c r="B201" s="110">
        <f t="shared" si="0"/>
        <v>2076</v>
      </c>
      <c r="C201" s="135">
        <f>[17]С2.5!$BI$11</f>
        <v>0</v>
      </c>
    </row>
    <row r="202" spans="2:3" ht="13.5" hidden="1" thickBot="1">
      <c r="B202" s="110">
        <f t="shared" si="0"/>
        <v>2077</v>
      </c>
      <c r="C202" s="135">
        <f>[17]С2.5!$BJ$11</f>
        <v>0</v>
      </c>
    </row>
    <row r="203" spans="2:3" ht="13.5" hidden="1" thickBot="1">
      <c r="B203" s="110">
        <f t="shared" si="0"/>
        <v>2078</v>
      </c>
      <c r="C203" s="135">
        <f>[17]С2.5!$BK$11</f>
        <v>0</v>
      </c>
    </row>
    <row r="204" spans="2:3" ht="13.5" hidden="1" thickBot="1">
      <c r="B204" s="110">
        <f t="shared" si="0"/>
        <v>2079</v>
      </c>
      <c r="C204" s="135">
        <f>[17]С2.5!$BL$11</f>
        <v>0</v>
      </c>
    </row>
    <row r="205" spans="2:3" ht="13.5" hidden="1" thickBot="1">
      <c r="B205" s="110">
        <f t="shared" si="0"/>
        <v>2080</v>
      </c>
      <c r="C205" s="135">
        <f>[17]С2.5!$BM$11</f>
        <v>0</v>
      </c>
    </row>
    <row r="206" spans="2:3" ht="13.5" hidden="1" thickBot="1">
      <c r="B206" s="110">
        <f t="shared" si="0"/>
        <v>2081</v>
      </c>
      <c r="C206" s="135">
        <f>[17]С2.5!$BN$11</f>
        <v>0</v>
      </c>
    </row>
    <row r="207" spans="2:3" ht="13.5" hidden="1" thickBot="1">
      <c r="B207" s="110">
        <f t="shared" si="0"/>
        <v>2082</v>
      </c>
      <c r="C207" s="135">
        <f>[17]С2.5!$BO$11</f>
        <v>0</v>
      </c>
    </row>
    <row r="208" spans="2:3" ht="13.5" hidden="1" thickBot="1">
      <c r="B208" s="110">
        <f t="shared" si="0"/>
        <v>2083</v>
      </c>
      <c r="C208" s="135">
        <f>[17]С2.5!$BP$11</f>
        <v>0</v>
      </c>
    </row>
    <row r="209" spans="2:3" ht="13.5" hidden="1" thickBot="1">
      <c r="B209" s="110">
        <f t="shared" si="0"/>
        <v>2084</v>
      </c>
      <c r="C209" s="135">
        <f>[17]С2.5!$BQ$11</f>
        <v>0</v>
      </c>
    </row>
    <row r="210" spans="2:3" ht="13.5" hidden="1" thickBot="1">
      <c r="B210" s="110">
        <f t="shared" si="0"/>
        <v>2085</v>
      </c>
      <c r="C210" s="135">
        <f>[17]С2.5!$BR$11</f>
        <v>0</v>
      </c>
    </row>
    <row r="211" spans="2:3" ht="13.5" hidden="1" thickBot="1">
      <c r="B211" s="110">
        <f t="shared" ref="B211:B224" si="1">B210+1</f>
        <v>2086</v>
      </c>
      <c r="C211" s="135">
        <f>[17]С2.5!$BS$11</f>
        <v>0</v>
      </c>
    </row>
    <row r="212" spans="2:3" ht="13.5" hidden="1" thickBot="1">
      <c r="B212" s="110">
        <f t="shared" si="1"/>
        <v>2087</v>
      </c>
      <c r="C212" s="135">
        <f>[17]С2.5!$BT$11</f>
        <v>0</v>
      </c>
    </row>
    <row r="213" spans="2:3" ht="13.5" hidden="1" thickBot="1">
      <c r="B213" s="110">
        <f t="shared" si="1"/>
        <v>2088</v>
      </c>
      <c r="C213" s="135">
        <f>[17]С2.5!$BU$11</f>
        <v>0</v>
      </c>
    </row>
    <row r="214" spans="2:3" ht="13.5" hidden="1" thickBot="1">
      <c r="B214" s="110">
        <f t="shared" si="1"/>
        <v>2089</v>
      </c>
      <c r="C214" s="135">
        <f>[17]С2.5!$BV$11</f>
        <v>0</v>
      </c>
    </row>
    <row r="215" spans="2:3" ht="13.5" hidden="1" thickBot="1">
      <c r="B215" s="110">
        <f t="shared" si="1"/>
        <v>2090</v>
      </c>
      <c r="C215" s="135">
        <f>[17]С2.5!$BW$11</f>
        <v>0</v>
      </c>
    </row>
    <row r="216" spans="2:3" ht="13.5" hidden="1" thickBot="1">
      <c r="B216" s="110">
        <f t="shared" si="1"/>
        <v>2091</v>
      </c>
      <c r="C216" s="135">
        <f>[17]С2.5!$BX$11</f>
        <v>0</v>
      </c>
    </row>
    <row r="217" spans="2:3" ht="13.5" hidden="1" thickBot="1">
      <c r="B217" s="110">
        <f t="shared" si="1"/>
        <v>2092</v>
      </c>
      <c r="C217" s="135">
        <f>[17]С2.5!$BY$11</f>
        <v>0</v>
      </c>
    </row>
    <row r="218" spans="2:3" ht="13.5" hidden="1" thickBot="1">
      <c r="B218" s="110">
        <f t="shared" si="1"/>
        <v>2093</v>
      </c>
      <c r="C218" s="135">
        <f>[17]С2.5!$BZ$11</f>
        <v>0</v>
      </c>
    </row>
    <row r="219" spans="2:3" ht="13.5" hidden="1" thickBot="1">
      <c r="B219" s="110">
        <f t="shared" si="1"/>
        <v>2094</v>
      </c>
      <c r="C219" s="135">
        <f>[17]С2.5!$CA$11</f>
        <v>0</v>
      </c>
    </row>
    <row r="220" spans="2:3" ht="13.5" hidden="1" thickBot="1">
      <c r="B220" s="110">
        <f t="shared" si="1"/>
        <v>2095</v>
      </c>
      <c r="C220" s="135">
        <f>[17]С2.5!$CB$11</f>
        <v>0</v>
      </c>
    </row>
    <row r="221" spans="2:3" ht="13.5" hidden="1" thickBot="1">
      <c r="B221" s="110">
        <f t="shared" si="1"/>
        <v>2096</v>
      </c>
      <c r="C221" s="135">
        <f>[17]С2.5!$CC$11</f>
        <v>0</v>
      </c>
    </row>
    <row r="222" spans="2:3" ht="13.5" hidden="1" thickBot="1">
      <c r="B222" s="110">
        <f t="shared" si="1"/>
        <v>2097</v>
      </c>
      <c r="C222" s="135">
        <f>[17]С2.5!$CD$11</f>
        <v>0</v>
      </c>
    </row>
    <row r="223" spans="2:3" ht="13.5" hidden="1" thickBot="1">
      <c r="B223" s="110">
        <f t="shared" si="1"/>
        <v>2098</v>
      </c>
      <c r="C223" s="135">
        <f>[17]С2.5!$CE$11</f>
        <v>0</v>
      </c>
    </row>
    <row r="224" spans="2:3" ht="13.5" hidden="1" thickBot="1">
      <c r="B224" s="110">
        <f t="shared" si="1"/>
        <v>2099</v>
      </c>
      <c r="C224" s="135">
        <f>[17]С2.5!$CF$11</f>
        <v>0</v>
      </c>
    </row>
    <row r="225" spans="2:3" ht="13.5" hidden="1" thickBot="1">
      <c r="B225" s="112">
        <f>B162+1</f>
        <v>2038</v>
      </c>
      <c r="C225" s="136" t="e">
        <f>[17]С2.5!#REF!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0" width="9.140625" style="2"/>
    <col min="241" max="241" width="3.5703125" style="2" customWidth="1"/>
    <col min="242" max="242" width="96.85546875" style="2" customWidth="1"/>
    <col min="243" max="243" width="30.85546875" style="2" customWidth="1"/>
    <col min="244" max="244" width="12.5703125" style="2" customWidth="1"/>
    <col min="245" max="245" width="5.140625" style="2" customWidth="1"/>
    <col min="246" max="246" width="9.140625" style="2"/>
    <col min="247" max="247" width="4.85546875" style="2" customWidth="1"/>
    <col min="248" max="248" width="30.5703125" style="2" customWidth="1"/>
    <col min="249" max="249" width="33.85546875" style="2" customWidth="1"/>
    <col min="250" max="250" width="5.140625" style="2" customWidth="1"/>
    <col min="251" max="252" width="17.5703125" style="2" customWidth="1"/>
    <col min="253" max="496" width="9.140625" style="2"/>
    <col min="497" max="497" width="3.5703125" style="2" customWidth="1"/>
    <col min="498" max="498" width="96.85546875" style="2" customWidth="1"/>
    <col min="499" max="499" width="30.85546875" style="2" customWidth="1"/>
    <col min="500" max="500" width="12.5703125" style="2" customWidth="1"/>
    <col min="501" max="501" width="5.140625" style="2" customWidth="1"/>
    <col min="502" max="502" width="9.140625" style="2"/>
    <col min="503" max="503" width="4.85546875" style="2" customWidth="1"/>
    <col min="504" max="504" width="30.5703125" style="2" customWidth="1"/>
    <col min="505" max="505" width="33.85546875" style="2" customWidth="1"/>
    <col min="506" max="506" width="5.140625" style="2" customWidth="1"/>
    <col min="507" max="508" width="17.5703125" style="2" customWidth="1"/>
    <col min="509" max="752" width="9.140625" style="2"/>
    <col min="753" max="753" width="3.5703125" style="2" customWidth="1"/>
    <col min="754" max="754" width="96.85546875" style="2" customWidth="1"/>
    <col min="755" max="755" width="30.85546875" style="2" customWidth="1"/>
    <col min="756" max="756" width="12.5703125" style="2" customWidth="1"/>
    <col min="757" max="757" width="5.140625" style="2" customWidth="1"/>
    <col min="758" max="758" width="9.140625" style="2"/>
    <col min="759" max="759" width="4.85546875" style="2" customWidth="1"/>
    <col min="760" max="760" width="30.5703125" style="2" customWidth="1"/>
    <col min="761" max="761" width="33.85546875" style="2" customWidth="1"/>
    <col min="762" max="762" width="5.140625" style="2" customWidth="1"/>
    <col min="763" max="764" width="17.5703125" style="2" customWidth="1"/>
    <col min="765" max="1008" width="9.140625" style="2"/>
    <col min="1009" max="1009" width="3.5703125" style="2" customWidth="1"/>
    <col min="1010" max="1010" width="96.85546875" style="2" customWidth="1"/>
    <col min="1011" max="1011" width="30.85546875" style="2" customWidth="1"/>
    <col min="1012" max="1012" width="12.5703125" style="2" customWidth="1"/>
    <col min="1013" max="1013" width="5.140625" style="2" customWidth="1"/>
    <col min="1014" max="1014" width="9.140625" style="2"/>
    <col min="1015" max="1015" width="4.85546875" style="2" customWidth="1"/>
    <col min="1016" max="1016" width="30.5703125" style="2" customWidth="1"/>
    <col min="1017" max="1017" width="33.85546875" style="2" customWidth="1"/>
    <col min="1018" max="1018" width="5.140625" style="2" customWidth="1"/>
    <col min="1019" max="1020" width="17.5703125" style="2" customWidth="1"/>
    <col min="1021" max="1264" width="9.140625" style="2"/>
    <col min="1265" max="1265" width="3.5703125" style="2" customWidth="1"/>
    <col min="1266" max="1266" width="96.85546875" style="2" customWidth="1"/>
    <col min="1267" max="1267" width="30.85546875" style="2" customWidth="1"/>
    <col min="1268" max="1268" width="12.5703125" style="2" customWidth="1"/>
    <col min="1269" max="1269" width="5.140625" style="2" customWidth="1"/>
    <col min="1270" max="1270" width="9.140625" style="2"/>
    <col min="1271" max="1271" width="4.85546875" style="2" customWidth="1"/>
    <col min="1272" max="1272" width="30.5703125" style="2" customWidth="1"/>
    <col min="1273" max="1273" width="33.85546875" style="2" customWidth="1"/>
    <col min="1274" max="1274" width="5.140625" style="2" customWidth="1"/>
    <col min="1275" max="1276" width="17.5703125" style="2" customWidth="1"/>
    <col min="1277" max="1520" width="9.140625" style="2"/>
    <col min="1521" max="1521" width="3.5703125" style="2" customWidth="1"/>
    <col min="1522" max="1522" width="96.85546875" style="2" customWidth="1"/>
    <col min="1523" max="1523" width="30.85546875" style="2" customWidth="1"/>
    <col min="1524" max="1524" width="12.5703125" style="2" customWidth="1"/>
    <col min="1525" max="1525" width="5.140625" style="2" customWidth="1"/>
    <col min="1526" max="1526" width="9.140625" style="2"/>
    <col min="1527" max="1527" width="4.85546875" style="2" customWidth="1"/>
    <col min="1528" max="1528" width="30.5703125" style="2" customWidth="1"/>
    <col min="1529" max="1529" width="33.85546875" style="2" customWidth="1"/>
    <col min="1530" max="1530" width="5.140625" style="2" customWidth="1"/>
    <col min="1531" max="1532" width="17.5703125" style="2" customWidth="1"/>
    <col min="1533" max="1776" width="9.140625" style="2"/>
    <col min="1777" max="1777" width="3.5703125" style="2" customWidth="1"/>
    <col min="1778" max="1778" width="96.85546875" style="2" customWidth="1"/>
    <col min="1779" max="1779" width="30.85546875" style="2" customWidth="1"/>
    <col min="1780" max="1780" width="12.5703125" style="2" customWidth="1"/>
    <col min="1781" max="1781" width="5.140625" style="2" customWidth="1"/>
    <col min="1782" max="1782" width="9.140625" style="2"/>
    <col min="1783" max="1783" width="4.85546875" style="2" customWidth="1"/>
    <col min="1784" max="1784" width="30.5703125" style="2" customWidth="1"/>
    <col min="1785" max="1785" width="33.85546875" style="2" customWidth="1"/>
    <col min="1786" max="1786" width="5.140625" style="2" customWidth="1"/>
    <col min="1787" max="1788" width="17.5703125" style="2" customWidth="1"/>
    <col min="1789" max="2032" width="9.140625" style="2"/>
    <col min="2033" max="2033" width="3.5703125" style="2" customWidth="1"/>
    <col min="2034" max="2034" width="96.85546875" style="2" customWidth="1"/>
    <col min="2035" max="2035" width="30.85546875" style="2" customWidth="1"/>
    <col min="2036" max="2036" width="12.5703125" style="2" customWidth="1"/>
    <col min="2037" max="2037" width="5.140625" style="2" customWidth="1"/>
    <col min="2038" max="2038" width="9.140625" style="2"/>
    <col min="2039" max="2039" width="4.85546875" style="2" customWidth="1"/>
    <col min="2040" max="2040" width="30.5703125" style="2" customWidth="1"/>
    <col min="2041" max="2041" width="33.85546875" style="2" customWidth="1"/>
    <col min="2042" max="2042" width="5.140625" style="2" customWidth="1"/>
    <col min="2043" max="2044" width="17.5703125" style="2" customWidth="1"/>
    <col min="2045" max="2288" width="9.140625" style="2"/>
    <col min="2289" max="2289" width="3.5703125" style="2" customWidth="1"/>
    <col min="2290" max="2290" width="96.85546875" style="2" customWidth="1"/>
    <col min="2291" max="2291" width="30.85546875" style="2" customWidth="1"/>
    <col min="2292" max="2292" width="12.5703125" style="2" customWidth="1"/>
    <col min="2293" max="2293" width="5.140625" style="2" customWidth="1"/>
    <col min="2294" max="2294" width="9.140625" style="2"/>
    <col min="2295" max="2295" width="4.85546875" style="2" customWidth="1"/>
    <col min="2296" max="2296" width="30.5703125" style="2" customWidth="1"/>
    <col min="2297" max="2297" width="33.85546875" style="2" customWidth="1"/>
    <col min="2298" max="2298" width="5.140625" style="2" customWidth="1"/>
    <col min="2299" max="2300" width="17.5703125" style="2" customWidth="1"/>
    <col min="2301" max="2544" width="9.140625" style="2"/>
    <col min="2545" max="2545" width="3.5703125" style="2" customWidth="1"/>
    <col min="2546" max="2546" width="96.85546875" style="2" customWidth="1"/>
    <col min="2547" max="2547" width="30.85546875" style="2" customWidth="1"/>
    <col min="2548" max="2548" width="12.5703125" style="2" customWidth="1"/>
    <col min="2549" max="2549" width="5.140625" style="2" customWidth="1"/>
    <col min="2550" max="2550" width="9.140625" style="2"/>
    <col min="2551" max="2551" width="4.85546875" style="2" customWidth="1"/>
    <col min="2552" max="2552" width="30.5703125" style="2" customWidth="1"/>
    <col min="2553" max="2553" width="33.85546875" style="2" customWidth="1"/>
    <col min="2554" max="2554" width="5.140625" style="2" customWidth="1"/>
    <col min="2555" max="2556" width="17.5703125" style="2" customWidth="1"/>
    <col min="2557" max="2800" width="9.140625" style="2"/>
    <col min="2801" max="2801" width="3.5703125" style="2" customWidth="1"/>
    <col min="2802" max="2802" width="96.85546875" style="2" customWidth="1"/>
    <col min="2803" max="2803" width="30.85546875" style="2" customWidth="1"/>
    <col min="2804" max="2804" width="12.5703125" style="2" customWidth="1"/>
    <col min="2805" max="2805" width="5.140625" style="2" customWidth="1"/>
    <col min="2806" max="2806" width="9.140625" style="2"/>
    <col min="2807" max="2807" width="4.85546875" style="2" customWidth="1"/>
    <col min="2808" max="2808" width="30.5703125" style="2" customWidth="1"/>
    <col min="2809" max="2809" width="33.85546875" style="2" customWidth="1"/>
    <col min="2810" max="2810" width="5.140625" style="2" customWidth="1"/>
    <col min="2811" max="2812" width="17.5703125" style="2" customWidth="1"/>
    <col min="2813" max="3056" width="9.140625" style="2"/>
    <col min="3057" max="3057" width="3.5703125" style="2" customWidth="1"/>
    <col min="3058" max="3058" width="96.85546875" style="2" customWidth="1"/>
    <col min="3059" max="3059" width="30.85546875" style="2" customWidth="1"/>
    <col min="3060" max="3060" width="12.5703125" style="2" customWidth="1"/>
    <col min="3061" max="3061" width="5.140625" style="2" customWidth="1"/>
    <col min="3062" max="3062" width="9.140625" style="2"/>
    <col min="3063" max="3063" width="4.85546875" style="2" customWidth="1"/>
    <col min="3064" max="3064" width="30.5703125" style="2" customWidth="1"/>
    <col min="3065" max="3065" width="33.85546875" style="2" customWidth="1"/>
    <col min="3066" max="3066" width="5.140625" style="2" customWidth="1"/>
    <col min="3067" max="3068" width="17.5703125" style="2" customWidth="1"/>
    <col min="3069" max="3312" width="9.140625" style="2"/>
    <col min="3313" max="3313" width="3.5703125" style="2" customWidth="1"/>
    <col min="3314" max="3314" width="96.85546875" style="2" customWidth="1"/>
    <col min="3315" max="3315" width="30.85546875" style="2" customWidth="1"/>
    <col min="3316" max="3316" width="12.5703125" style="2" customWidth="1"/>
    <col min="3317" max="3317" width="5.140625" style="2" customWidth="1"/>
    <col min="3318" max="3318" width="9.140625" style="2"/>
    <col min="3319" max="3319" width="4.85546875" style="2" customWidth="1"/>
    <col min="3320" max="3320" width="30.5703125" style="2" customWidth="1"/>
    <col min="3321" max="3321" width="33.85546875" style="2" customWidth="1"/>
    <col min="3322" max="3322" width="5.140625" style="2" customWidth="1"/>
    <col min="3323" max="3324" width="17.5703125" style="2" customWidth="1"/>
    <col min="3325" max="3568" width="9.140625" style="2"/>
    <col min="3569" max="3569" width="3.5703125" style="2" customWidth="1"/>
    <col min="3570" max="3570" width="96.85546875" style="2" customWidth="1"/>
    <col min="3571" max="3571" width="30.85546875" style="2" customWidth="1"/>
    <col min="3572" max="3572" width="12.5703125" style="2" customWidth="1"/>
    <col min="3573" max="3573" width="5.140625" style="2" customWidth="1"/>
    <col min="3574" max="3574" width="9.140625" style="2"/>
    <col min="3575" max="3575" width="4.85546875" style="2" customWidth="1"/>
    <col min="3576" max="3576" width="30.5703125" style="2" customWidth="1"/>
    <col min="3577" max="3577" width="33.85546875" style="2" customWidth="1"/>
    <col min="3578" max="3578" width="5.140625" style="2" customWidth="1"/>
    <col min="3579" max="3580" width="17.5703125" style="2" customWidth="1"/>
    <col min="3581" max="3824" width="9.140625" style="2"/>
    <col min="3825" max="3825" width="3.5703125" style="2" customWidth="1"/>
    <col min="3826" max="3826" width="96.85546875" style="2" customWidth="1"/>
    <col min="3827" max="3827" width="30.85546875" style="2" customWidth="1"/>
    <col min="3828" max="3828" width="12.5703125" style="2" customWidth="1"/>
    <col min="3829" max="3829" width="5.140625" style="2" customWidth="1"/>
    <col min="3830" max="3830" width="9.140625" style="2"/>
    <col min="3831" max="3831" width="4.85546875" style="2" customWidth="1"/>
    <col min="3832" max="3832" width="30.5703125" style="2" customWidth="1"/>
    <col min="3833" max="3833" width="33.85546875" style="2" customWidth="1"/>
    <col min="3834" max="3834" width="5.140625" style="2" customWidth="1"/>
    <col min="3835" max="3836" width="17.5703125" style="2" customWidth="1"/>
    <col min="3837" max="4080" width="9.140625" style="2"/>
    <col min="4081" max="4081" width="3.5703125" style="2" customWidth="1"/>
    <col min="4082" max="4082" width="96.85546875" style="2" customWidth="1"/>
    <col min="4083" max="4083" width="30.85546875" style="2" customWidth="1"/>
    <col min="4084" max="4084" width="12.5703125" style="2" customWidth="1"/>
    <col min="4085" max="4085" width="5.140625" style="2" customWidth="1"/>
    <col min="4086" max="4086" width="9.140625" style="2"/>
    <col min="4087" max="4087" width="4.85546875" style="2" customWidth="1"/>
    <col min="4088" max="4088" width="30.5703125" style="2" customWidth="1"/>
    <col min="4089" max="4089" width="33.85546875" style="2" customWidth="1"/>
    <col min="4090" max="4090" width="5.140625" style="2" customWidth="1"/>
    <col min="4091" max="4092" width="17.5703125" style="2" customWidth="1"/>
    <col min="4093" max="4336" width="9.140625" style="2"/>
    <col min="4337" max="4337" width="3.5703125" style="2" customWidth="1"/>
    <col min="4338" max="4338" width="96.85546875" style="2" customWidth="1"/>
    <col min="4339" max="4339" width="30.85546875" style="2" customWidth="1"/>
    <col min="4340" max="4340" width="12.5703125" style="2" customWidth="1"/>
    <col min="4341" max="4341" width="5.140625" style="2" customWidth="1"/>
    <col min="4342" max="4342" width="9.140625" style="2"/>
    <col min="4343" max="4343" width="4.85546875" style="2" customWidth="1"/>
    <col min="4344" max="4344" width="30.5703125" style="2" customWidth="1"/>
    <col min="4345" max="4345" width="33.85546875" style="2" customWidth="1"/>
    <col min="4346" max="4346" width="5.140625" style="2" customWidth="1"/>
    <col min="4347" max="4348" width="17.5703125" style="2" customWidth="1"/>
    <col min="4349" max="4592" width="9.140625" style="2"/>
    <col min="4593" max="4593" width="3.5703125" style="2" customWidth="1"/>
    <col min="4594" max="4594" width="96.85546875" style="2" customWidth="1"/>
    <col min="4595" max="4595" width="30.85546875" style="2" customWidth="1"/>
    <col min="4596" max="4596" width="12.5703125" style="2" customWidth="1"/>
    <col min="4597" max="4597" width="5.140625" style="2" customWidth="1"/>
    <col min="4598" max="4598" width="9.140625" style="2"/>
    <col min="4599" max="4599" width="4.85546875" style="2" customWidth="1"/>
    <col min="4600" max="4600" width="30.5703125" style="2" customWidth="1"/>
    <col min="4601" max="4601" width="33.85546875" style="2" customWidth="1"/>
    <col min="4602" max="4602" width="5.140625" style="2" customWidth="1"/>
    <col min="4603" max="4604" width="17.5703125" style="2" customWidth="1"/>
    <col min="4605" max="4848" width="9.140625" style="2"/>
    <col min="4849" max="4849" width="3.5703125" style="2" customWidth="1"/>
    <col min="4850" max="4850" width="96.85546875" style="2" customWidth="1"/>
    <col min="4851" max="4851" width="30.85546875" style="2" customWidth="1"/>
    <col min="4852" max="4852" width="12.5703125" style="2" customWidth="1"/>
    <col min="4853" max="4853" width="5.140625" style="2" customWidth="1"/>
    <col min="4854" max="4854" width="9.140625" style="2"/>
    <col min="4855" max="4855" width="4.85546875" style="2" customWidth="1"/>
    <col min="4856" max="4856" width="30.5703125" style="2" customWidth="1"/>
    <col min="4857" max="4857" width="33.85546875" style="2" customWidth="1"/>
    <col min="4858" max="4858" width="5.140625" style="2" customWidth="1"/>
    <col min="4859" max="4860" width="17.5703125" style="2" customWidth="1"/>
    <col min="4861" max="5104" width="9.140625" style="2"/>
    <col min="5105" max="5105" width="3.5703125" style="2" customWidth="1"/>
    <col min="5106" max="5106" width="96.85546875" style="2" customWidth="1"/>
    <col min="5107" max="5107" width="30.85546875" style="2" customWidth="1"/>
    <col min="5108" max="5108" width="12.5703125" style="2" customWidth="1"/>
    <col min="5109" max="5109" width="5.140625" style="2" customWidth="1"/>
    <col min="5110" max="5110" width="9.140625" style="2"/>
    <col min="5111" max="5111" width="4.85546875" style="2" customWidth="1"/>
    <col min="5112" max="5112" width="30.5703125" style="2" customWidth="1"/>
    <col min="5113" max="5113" width="33.85546875" style="2" customWidth="1"/>
    <col min="5114" max="5114" width="5.140625" style="2" customWidth="1"/>
    <col min="5115" max="5116" width="17.5703125" style="2" customWidth="1"/>
    <col min="5117" max="5360" width="9.140625" style="2"/>
    <col min="5361" max="5361" width="3.5703125" style="2" customWidth="1"/>
    <col min="5362" max="5362" width="96.85546875" style="2" customWidth="1"/>
    <col min="5363" max="5363" width="30.85546875" style="2" customWidth="1"/>
    <col min="5364" max="5364" width="12.5703125" style="2" customWidth="1"/>
    <col min="5365" max="5365" width="5.140625" style="2" customWidth="1"/>
    <col min="5366" max="5366" width="9.140625" style="2"/>
    <col min="5367" max="5367" width="4.85546875" style="2" customWidth="1"/>
    <col min="5368" max="5368" width="30.5703125" style="2" customWidth="1"/>
    <col min="5369" max="5369" width="33.85546875" style="2" customWidth="1"/>
    <col min="5370" max="5370" width="5.140625" style="2" customWidth="1"/>
    <col min="5371" max="5372" width="17.5703125" style="2" customWidth="1"/>
    <col min="5373" max="5616" width="9.140625" style="2"/>
    <col min="5617" max="5617" width="3.5703125" style="2" customWidth="1"/>
    <col min="5618" max="5618" width="96.85546875" style="2" customWidth="1"/>
    <col min="5619" max="5619" width="30.85546875" style="2" customWidth="1"/>
    <col min="5620" max="5620" width="12.5703125" style="2" customWidth="1"/>
    <col min="5621" max="5621" width="5.140625" style="2" customWidth="1"/>
    <col min="5622" max="5622" width="9.140625" style="2"/>
    <col min="5623" max="5623" width="4.85546875" style="2" customWidth="1"/>
    <col min="5624" max="5624" width="30.5703125" style="2" customWidth="1"/>
    <col min="5625" max="5625" width="33.85546875" style="2" customWidth="1"/>
    <col min="5626" max="5626" width="5.140625" style="2" customWidth="1"/>
    <col min="5627" max="5628" width="17.5703125" style="2" customWidth="1"/>
    <col min="5629" max="5872" width="9.140625" style="2"/>
    <col min="5873" max="5873" width="3.5703125" style="2" customWidth="1"/>
    <col min="5874" max="5874" width="96.85546875" style="2" customWidth="1"/>
    <col min="5875" max="5875" width="30.85546875" style="2" customWidth="1"/>
    <col min="5876" max="5876" width="12.5703125" style="2" customWidth="1"/>
    <col min="5877" max="5877" width="5.140625" style="2" customWidth="1"/>
    <col min="5878" max="5878" width="9.140625" style="2"/>
    <col min="5879" max="5879" width="4.85546875" style="2" customWidth="1"/>
    <col min="5880" max="5880" width="30.5703125" style="2" customWidth="1"/>
    <col min="5881" max="5881" width="33.85546875" style="2" customWidth="1"/>
    <col min="5882" max="5882" width="5.140625" style="2" customWidth="1"/>
    <col min="5883" max="5884" width="17.5703125" style="2" customWidth="1"/>
    <col min="5885" max="6128" width="9.140625" style="2"/>
    <col min="6129" max="6129" width="3.5703125" style="2" customWidth="1"/>
    <col min="6130" max="6130" width="96.85546875" style="2" customWidth="1"/>
    <col min="6131" max="6131" width="30.85546875" style="2" customWidth="1"/>
    <col min="6132" max="6132" width="12.5703125" style="2" customWidth="1"/>
    <col min="6133" max="6133" width="5.140625" style="2" customWidth="1"/>
    <col min="6134" max="6134" width="9.140625" style="2"/>
    <col min="6135" max="6135" width="4.85546875" style="2" customWidth="1"/>
    <col min="6136" max="6136" width="30.5703125" style="2" customWidth="1"/>
    <col min="6137" max="6137" width="33.85546875" style="2" customWidth="1"/>
    <col min="6138" max="6138" width="5.140625" style="2" customWidth="1"/>
    <col min="6139" max="6140" width="17.5703125" style="2" customWidth="1"/>
    <col min="6141" max="6384" width="9.140625" style="2"/>
    <col min="6385" max="6385" width="3.5703125" style="2" customWidth="1"/>
    <col min="6386" max="6386" width="96.85546875" style="2" customWidth="1"/>
    <col min="6387" max="6387" width="30.85546875" style="2" customWidth="1"/>
    <col min="6388" max="6388" width="12.5703125" style="2" customWidth="1"/>
    <col min="6389" max="6389" width="5.140625" style="2" customWidth="1"/>
    <col min="6390" max="6390" width="9.140625" style="2"/>
    <col min="6391" max="6391" width="4.85546875" style="2" customWidth="1"/>
    <col min="6392" max="6392" width="30.5703125" style="2" customWidth="1"/>
    <col min="6393" max="6393" width="33.85546875" style="2" customWidth="1"/>
    <col min="6394" max="6394" width="5.140625" style="2" customWidth="1"/>
    <col min="6395" max="6396" width="17.5703125" style="2" customWidth="1"/>
    <col min="6397" max="6640" width="9.140625" style="2"/>
    <col min="6641" max="6641" width="3.5703125" style="2" customWidth="1"/>
    <col min="6642" max="6642" width="96.85546875" style="2" customWidth="1"/>
    <col min="6643" max="6643" width="30.85546875" style="2" customWidth="1"/>
    <col min="6644" max="6644" width="12.5703125" style="2" customWidth="1"/>
    <col min="6645" max="6645" width="5.140625" style="2" customWidth="1"/>
    <col min="6646" max="6646" width="9.140625" style="2"/>
    <col min="6647" max="6647" width="4.85546875" style="2" customWidth="1"/>
    <col min="6648" max="6648" width="30.5703125" style="2" customWidth="1"/>
    <col min="6649" max="6649" width="33.85546875" style="2" customWidth="1"/>
    <col min="6650" max="6650" width="5.140625" style="2" customWidth="1"/>
    <col min="6651" max="6652" width="17.5703125" style="2" customWidth="1"/>
    <col min="6653" max="6896" width="9.140625" style="2"/>
    <col min="6897" max="6897" width="3.5703125" style="2" customWidth="1"/>
    <col min="6898" max="6898" width="96.85546875" style="2" customWidth="1"/>
    <col min="6899" max="6899" width="30.85546875" style="2" customWidth="1"/>
    <col min="6900" max="6900" width="12.5703125" style="2" customWidth="1"/>
    <col min="6901" max="6901" width="5.140625" style="2" customWidth="1"/>
    <col min="6902" max="6902" width="9.140625" style="2"/>
    <col min="6903" max="6903" width="4.85546875" style="2" customWidth="1"/>
    <col min="6904" max="6904" width="30.5703125" style="2" customWidth="1"/>
    <col min="6905" max="6905" width="33.85546875" style="2" customWidth="1"/>
    <col min="6906" max="6906" width="5.140625" style="2" customWidth="1"/>
    <col min="6907" max="6908" width="17.5703125" style="2" customWidth="1"/>
    <col min="6909" max="7152" width="9.140625" style="2"/>
    <col min="7153" max="7153" width="3.5703125" style="2" customWidth="1"/>
    <col min="7154" max="7154" width="96.85546875" style="2" customWidth="1"/>
    <col min="7155" max="7155" width="30.85546875" style="2" customWidth="1"/>
    <col min="7156" max="7156" width="12.5703125" style="2" customWidth="1"/>
    <col min="7157" max="7157" width="5.140625" style="2" customWidth="1"/>
    <col min="7158" max="7158" width="9.140625" style="2"/>
    <col min="7159" max="7159" width="4.85546875" style="2" customWidth="1"/>
    <col min="7160" max="7160" width="30.5703125" style="2" customWidth="1"/>
    <col min="7161" max="7161" width="33.85546875" style="2" customWidth="1"/>
    <col min="7162" max="7162" width="5.140625" style="2" customWidth="1"/>
    <col min="7163" max="7164" width="17.5703125" style="2" customWidth="1"/>
    <col min="7165" max="7408" width="9.140625" style="2"/>
    <col min="7409" max="7409" width="3.5703125" style="2" customWidth="1"/>
    <col min="7410" max="7410" width="96.85546875" style="2" customWidth="1"/>
    <col min="7411" max="7411" width="30.85546875" style="2" customWidth="1"/>
    <col min="7412" max="7412" width="12.5703125" style="2" customWidth="1"/>
    <col min="7413" max="7413" width="5.140625" style="2" customWidth="1"/>
    <col min="7414" max="7414" width="9.140625" style="2"/>
    <col min="7415" max="7415" width="4.85546875" style="2" customWidth="1"/>
    <col min="7416" max="7416" width="30.5703125" style="2" customWidth="1"/>
    <col min="7417" max="7417" width="33.85546875" style="2" customWidth="1"/>
    <col min="7418" max="7418" width="5.140625" style="2" customWidth="1"/>
    <col min="7419" max="7420" width="17.5703125" style="2" customWidth="1"/>
    <col min="7421" max="7664" width="9.140625" style="2"/>
    <col min="7665" max="7665" width="3.5703125" style="2" customWidth="1"/>
    <col min="7666" max="7666" width="96.85546875" style="2" customWidth="1"/>
    <col min="7667" max="7667" width="30.85546875" style="2" customWidth="1"/>
    <col min="7668" max="7668" width="12.5703125" style="2" customWidth="1"/>
    <col min="7669" max="7669" width="5.140625" style="2" customWidth="1"/>
    <col min="7670" max="7670" width="9.140625" style="2"/>
    <col min="7671" max="7671" width="4.85546875" style="2" customWidth="1"/>
    <col min="7672" max="7672" width="30.5703125" style="2" customWidth="1"/>
    <col min="7673" max="7673" width="33.85546875" style="2" customWidth="1"/>
    <col min="7674" max="7674" width="5.140625" style="2" customWidth="1"/>
    <col min="7675" max="7676" width="17.5703125" style="2" customWidth="1"/>
    <col min="7677" max="7920" width="9.140625" style="2"/>
    <col min="7921" max="7921" width="3.5703125" style="2" customWidth="1"/>
    <col min="7922" max="7922" width="96.85546875" style="2" customWidth="1"/>
    <col min="7923" max="7923" width="30.85546875" style="2" customWidth="1"/>
    <col min="7924" max="7924" width="12.5703125" style="2" customWidth="1"/>
    <col min="7925" max="7925" width="5.140625" style="2" customWidth="1"/>
    <col min="7926" max="7926" width="9.140625" style="2"/>
    <col min="7927" max="7927" width="4.85546875" style="2" customWidth="1"/>
    <col min="7928" max="7928" width="30.5703125" style="2" customWidth="1"/>
    <col min="7929" max="7929" width="33.85546875" style="2" customWidth="1"/>
    <col min="7930" max="7930" width="5.140625" style="2" customWidth="1"/>
    <col min="7931" max="7932" width="17.5703125" style="2" customWidth="1"/>
    <col min="7933" max="8176" width="9.140625" style="2"/>
    <col min="8177" max="8177" width="3.5703125" style="2" customWidth="1"/>
    <col min="8178" max="8178" width="96.85546875" style="2" customWidth="1"/>
    <col min="8179" max="8179" width="30.85546875" style="2" customWidth="1"/>
    <col min="8180" max="8180" width="12.5703125" style="2" customWidth="1"/>
    <col min="8181" max="8181" width="5.140625" style="2" customWidth="1"/>
    <col min="8182" max="8182" width="9.140625" style="2"/>
    <col min="8183" max="8183" width="4.85546875" style="2" customWidth="1"/>
    <col min="8184" max="8184" width="30.5703125" style="2" customWidth="1"/>
    <col min="8185" max="8185" width="33.85546875" style="2" customWidth="1"/>
    <col min="8186" max="8186" width="5.140625" style="2" customWidth="1"/>
    <col min="8187" max="8188" width="17.5703125" style="2" customWidth="1"/>
    <col min="8189" max="8432" width="9.140625" style="2"/>
    <col min="8433" max="8433" width="3.5703125" style="2" customWidth="1"/>
    <col min="8434" max="8434" width="96.85546875" style="2" customWidth="1"/>
    <col min="8435" max="8435" width="30.85546875" style="2" customWidth="1"/>
    <col min="8436" max="8436" width="12.5703125" style="2" customWidth="1"/>
    <col min="8437" max="8437" width="5.140625" style="2" customWidth="1"/>
    <col min="8438" max="8438" width="9.140625" style="2"/>
    <col min="8439" max="8439" width="4.85546875" style="2" customWidth="1"/>
    <col min="8440" max="8440" width="30.5703125" style="2" customWidth="1"/>
    <col min="8441" max="8441" width="33.85546875" style="2" customWidth="1"/>
    <col min="8442" max="8442" width="5.140625" style="2" customWidth="1"/>
    <col min="8443" max="8444" width="17.5703125" style="2" customWidth="1"/>
    <col min="8445" max="8688" width="9.140625" style="2"/>
    <col min="8689" max="8689" width="3.5703125" style="2" customWidth="1"/>
    <col min="8690" max="8690" width="96.85546875" style="2" customWidth="1"/>
    <col min="8691" max="8691" width="30.85546875" style="2" customWidth="1"/>
    <col min="8692" max="8692" width="12.5703125" style="2" customWidth="1"/>
    <col min="8693" max="8693" width="5.140625" style="2" customWidth="1"/>
    <col min="8694" max="8694" width="9.140625" style="2"/>
    <col min="8695" max="8695" width="4.85546875" style="2" customWidth="1"/>
    <col min="8696" max="8696" width="30.5703125" style="2" customWidth="1"/>
    <col min="8697" max="8697" width="33.85546875" style="2" customWidth="1"/>
    <col min="8698" max="8698" width="5.140625" style="2" customWidth="1"/>
    <col min="8699" max="8700" width="17.5703125" style="2" customWidth="1"/>
    <col min="8701" max="8944" width="9.140625" style="2"/>
    <col min="8945" max="8945" width="3.5703125" style="2" customWidth="1"/>
    <col min="8946" max="8946" width="96.85546875" style="2" customWidth="1"/>
    <col min="8947" max="8947" width="30.85546875" style="2" customWidth="1"/>
    <col min="8948" max="8948" width="12.5703125" style="2" customWidth="1"/>
    <col min="8949" max="8949" width="5.140625" style="2" customWidth="1"/>
    <col min="8950" max="8950" width="9.140625" style="2"/>
    <col min="8951" max="8951" width="4.85546875" style="2" customWidth="1"/>
    <col min="8952" max="8952" width="30.5703125" style="2" customWidth="1"/>
    <col min="8953" max="8953" width="33.85546875" style="2" customWidth="1"/>
    <col min="8954" max="8954" width="5.140625" style="2" customWidth="1"/>
    <col min="8955" max="8956" width="17.5703125" style="2" customWidth="1"/>
    <col min="8957" max="9200" width="9.140625" style="2"/>
    <col min="9201" max="9201" width="3.5703125" style="2" customWidth="1"/>
    <col min="9202" max="9202" width="96.85546875" style="2" customWidth="1"/>
    <col min="9203" max="9203" width="30.85546875" style="2" customWidth="1"/>
    <col min="9204" max="9204" width="12.5703125" style="2" customWidth="1"/>
    <col min="9205" max="9205" width="5.140625" style="2" customWidth="1"/>
    <col min="9206" max="9206" width="9.140625" style="2"/>
    <col min="9207" max="9207" width="4.85546875" style="2" customWidth="1"/>
    <col min="9208" max="9208" width="30.5703125" style="2" customWidth="1"/>
    <col min="9209" max="9209" width="33.85546875" style="2" customWidth="1"/>
    <col min="9210" max="9210" width="5.140625" style="2" customWidth="1"/>
    <col min="9211" max="9212" width="17.5703125" style="2" customWidth="1"/>
    <col min="9213" max="9456" width="9.140625" style="2"/>
    <col min="9457" max="9457" width="3.5703125" style="2" customWidth="1"/>
    <col min="9458" max="9458" width="96.85546875" style="2" customWidth="1"/>
    <col min="9459" max="9459" width="30.85546875" style="2" customWidth="1"/>
    <col min="9460" max="9460" width="12.5703125" style="2" customWidth="1"/>
    <col min="9461" max="9461" width="5.140625" style="2" customWidth="1"/>
    <col min="9462" max="9462" width="9.140625" style="2"/>
    <col min="9463" max="9463" width="4.85546875" style="2" customWidth="1"/>
    <col min="9464" max="9464" width="30.5703125" style="2" customWidth="1"/>
    <col min="9465" max="9465" width="33.85546875" style="2" customWidth="1"/>
    <col min="9466" max="9466" width="5.140625" style="2" customWidth="1"/>
    <col min="9467" max="9468" width="17.5703125" style="2" customWidth="1"/>
    <col min="9469" max="9712" width="9.140625" style="2"/>
    <col min="9713" max="9713" width="3.5703125" style="2" customWidth="1"/>
    <col min="9714" max="9714" width="96.85546875" style="2" customWidth="1"/>
    <col min="9715" max="9715" width="30.85546875" style="2" customWidth="1"/>
    <col min="9716" max="9716" width="12.5703125" style="2" customWidth="1"/>
    <col min="9717" max="9717" width="5.140625" style="2" customWidth="1"/>
    <col min="9718" max="9718" width="9.140625" style="2"/>
    <col min="9719" max="9719" width="4.85546875" style="2" customWidth="1"/>
    <col min="9720" max="9720" width="30.5703125" style="2" customWidth="1"/>
    <col min="9721" max="9721" width="33.85546875" style="2" customWidth="1"/>
    <col min="9722" max="9722" width="5.140625" style="2" customWidth="1"/>
    <col min="9723" max="9724" width="17.5703125" style="2" customWidth="1"/>
    <col min="9725" max="9968" width="9.140625" style="2"/>
    <col min="9969" max="9969" width="3.5703125" style="2" customWidth="1"/>
    <col min="9970" max="9970" width="96.85546875" style="2" customWidth="1"/>
    <col min="9971" max="9971" width="30.85546875" style="2" customWidth="1"/>
    <col min="9972" max="9972" width="12.5703125" style="2" customWidth="1"/>
    <col min="9973" max="9973" width="5.140625" style="2" customWidth="1"/>
    <col min="9974" max="9974" width="9.140625" style="2"/>
    <col min="9975" max="9975" width="4.85546875" style="2" customWidth="1"/>
    <col min="9976" max="9976" width="30.5703125" style="2" customWidth="1"/>
    <col min="9977" max="9977" width="33.85546875" style="2" customWidth="1"/>
    <col min="9978" max="9978" width="5.140625" style="2" customWidth="1"/>
    <col min="9979" max="9980" width="17.5703125" style="2" customWidth="1"/>
    <col min="9981" max="10224" width="9.140625" style="2"/>
    <col min="10225" max="10225" width="3.5703125" style="2" customWidth="1"/>
    <col min="10226" max="10226" width="96.85546875" style="2" customWidth="1"/>
    <col min="10227" max="10227" width="30.85546875" style="2" customWidth="1"/>
    <col min="10228" max="10228" width="12.5703125" style="2" customWidth="1"/>
    <col min="10229" max="10229" width="5.140625" style="2" customWidth="1"/>
    <col min="10230" max="10230" width="9.140625" style="2"/>
    <col min="10231" max="10231" width="4.85546875" style="2" customWidth="1"/>
    <col min="10232" max="10232" width="30.5703125" style="2" customWidth="1"/>
    <col min="10233" max="10233" width="33.85546875" style="2" customWidth="1"/>
    <col min="10234" max="10234" width="5.140625" style="2" customWidth="1"/>
    <col min="10235" max="10236" width="17.5703125" style="2" customWidth="1"/>
    <col min="10237" max="10480" width="9.140625" style="2"/>
    <col min="10481" max="10481" width="3.5703125" style="2" customWidth="1"/>
    <col min="10482" max="10482" width="96.85546875" style="2" customWidth="1"/>
    <col min="10483" max="10483" width="30.85546875" style="2" customWidth="1"/>
    <col min="10484" max="10484" width="12.5703125" style="2" customWidth="1"/>
    <col min="10485" max="10485" width="5.140625" style="2" customWidth="1"/>
    <col min="10486" max="10486" width="9.140625" style="2"/>
    <col min="10487" max="10487" width="4.85546875" style="2" customWidth="1"/>
    <col min="10488" max="10488" width="30.5703125" style="2" customWidth="1"/>
    <col min="10489" max="10489" width="33.85546875" style="2" customWidth="1"/>
    <col min="10490" max="10490" width="5.140625" style="2" customWidth="1"/>
    <col min="10491" max="10492" width="17.5703125" style="2" customWidth="1"/>
    <col min="10493" max="10736" width="9.140625" style="2"/>
    <col min="10737" max="10737" width="3.5703125" style="2" customWidth="1"/>
    <col min="10738" max="10738" width="96.85546875" style="2" customWidth="1"/>
    <col min="10739" max="10739" width="30.85546875" style="2" customWidth="1"/>
    <col min="10740" max="10740" width="12.5703125" style="2" customWidth="1"/>
    <col min="10741" max="10741" width="5.140625" style="2" customWidth="1"/>
    <col min="10742" max="10742" width="9.140625" style="2"/>
    <col min="10743" max="10743" width="4.85546875" style="2" customWidth="1"/>
    <col min="10744" max="10744" width="30.5703125" style="2" customWidth="1"/>
    <col min="10745" max="10745" width="33.85546875" style="2" customWidth="1"/>
    <col min="10746" max="10746" width="5.140625" style="2" customWidth="1"/>
    <col min="10747" max="10748" width="17.5703125" style="2" customWidth="1"/>
    <col min="10749" max="10992" width="9.140625" style="2"/>
    <col min="10993" max="10993" width="3.5703125" style="2" customWidth="1"/>
    <col min="10994" max="10994" width="96.85546875" style="2" customWidth="1"/>
    <col min="10995" max="10995" width="30.85546875" style="2" customWidth="1"/>
    <col min="10996" max="10996" width="12.5703125" style="2" customWidth="1"/>
    <col min="10997" max="10997" width="5.140625" style="2" customWidth="1"/>
    <col min="10998" max="10998" width="9.140625" style="2"/>
    <col min="10999" max="10999" width="4.85546875" style="2" customWidth="1"/>
    <col min="11000" max="11000" width="30.5703125" style="2" customWidth="1"/>
    <col min="11001" max="11001" width="33.85546875" style="2" customWidth="1"/>
    <col min="11002" max="11002" width="5.140625" style="2" customWidth="1"/>
    <col min="11003" max="11004" width="17.5703125" style="2" customWidth="1"/>
    <col min="11005" max="11248" width="9.140625" style="2"/>
    <col min="11249" max="11249" width="3.5703125" style="2" customWidth="1"/>
    <col min="11250" max="11250" width="96.85546875" style="2" customWidth="1"/>
    <col min="11251" max="11251" width="30.85546875" style="2" customWidth="1"/>
    <col min="11252" max="11252" width="12.5703125" style="2" customWidth="1"/>
    <col min="11253" max="11253" width="5.140625" style="2" customWidth="1"/>
    <col min="11254" max="11254" width="9.140625" style="2"/>
    <col min="11255" max="11255" width="4.85546875" style="2" customWidth="1"/>
    <col min="11256" max="11256" width="30.5703125" style="2" customWidth="1"/>
    <col min="11257" max="11257" width="33.85546875" style="2" customWidth="1"/>
    <col min="11258" max="11258" width="5.140625" style="2" customWidth="1"/>
    <col min="11259" max="11260" width="17.5703125" style="2" customWidth="1"/>
    <col min="11261" max="11504" width="9.140625" style="2"/>
    <col min="11505" max="11505" width="3.5703125" style="2" customWidth="1"/>
    <col min="11506" max="11506" width="96.85546875" style="2" customWidth="1"/>
    <col min="11507" max="11507" width="30.85546875" style="2" customWidth="1"/>
    <col min="11508" max="11508" width="12.5703125" style="2" customWidth="1"/>
    <col min="11509" max="11509" width="5.140625" style="2" customWidth="1"/>
    <col min="11510" max="11510" width="9.140625" style="2"/>
    <col min="11511" max="11511" width="4.85546875" style="2" customWidth="1"/>
    <col min="11512" max="11512" width="30.5703125" style="2" customWidth="1"/>
    <col min="11513" max="11513" width="33.85546875" style="2" customWidth="1"/>
    <col min="11514" max="11514" width="5.140625" style="2" customWidth="1"/>
    <col min="11515" max="11516" width="17.5703125" style="2" customWidth="1"/>
    <col min="11517" max="11760" width="9.140625" style="2"/>
    <col min="11761" max="11761" width="3.5703125" style="2" customWidth="1"/>
    <col min="11762" max="11762" width="96.85546875" style="2" customWidth="1"/>
    <col min="11763" max="11763" width="30.85546875" style="2" customWidth="1"/>
    <col min="11764" max="11764" width="12.5703125" style="2" customWidth="1"/>
    <col min="11765" max="11765" width="5.140625" style="2" customWidth="1"/>
    <col min="11766" max="11766" width="9.140625" style="2"/>
    <col min="11767" max="11767" width="4.85546875" style="2" customWidth="1"/>
    <col min="11768" max="11768" width="30.5703125" style="2" customWidth="1"/>
    <col min="11769" max="11769" width="33.85546875" style="2" customWidth="1"/>
    <col min="11770" max="11770" width="5.140625" style="2" customWidth="1"/>
    <col min="11771" max="11772" width="17.5703125" style="2" customWidth="1"/>
    <col min="11773" max="12016" width="9.140625" style="2"/>
    <col min="12017" max="12017" width="3.5703125" style="2" customWidth="1"/>
    <col min="12018" max="12018" width="96.85546875" style="2" customWidth="1"/>
    <col min="12019" max="12019" width="30.85546875" style="2" customWidth="1"/>
    <col min="12020" max="12020" width="12.5703125" style="2" customWidth="1"/>
    <col min="12021" max="12021" width="5.140625" style="2" customWidth="1"/>
    <col min="12022" max="12022" width="9.140625" style="2"/>
    <col min="12023" max="12023" width="4.85546875" style="2" customWidth="1"/>
    <col min="12024" max="12024" width="30.5703125" style="2" customWidth="1"/>
    <col min="12025" max="12025" width="33.85546875" style="2" customWidth="1"/>
    <col min="12026" max="12026" width="5.140625" style="2" customWidth="1"/>
    <col min="12027" max="12028" width="17.5703125" style="2" customWidth="1"/>
    <col min="12029" max="12272" width="9.140625" style="2"/>
    <col min="12273" max="12273" width="3.5703125" style="2" customWidth="1"/>
    <col min="12274" max="12274" width="96.85546875" style="2" customWidth="1"/>
    <col min="12275" max="12275" width="30.85546875" style="2" customWidth="1"/>
    <col min="12276" max="12276" width="12.5703125" style="2" customWidth="1"/>
    <col min="12277" max="12277" width="5.140625" style="2" customWidth="1"/>
    <col min="12278" max="12278" width="9.140625" style="2"/>
    <col min="12279" max="12279" width="4.85546875" style="2" customWidth="1"/>
    <col min="12280" max="12280" width="30.5703125" style="2" customWidth="1"/>
    <col min="12281" max="12281" width="33.85546875" style="2" customWidth="1"/>
    <col min="12282" max="12282" width="5.140625" style="2" customWidth="1"/>
    <col min="12283" max="12284" width="17.5703125" style="2" customWidth="1"/>
    <col min="12285" max="12528" width="9.140625" style="2"/>
    <col min="12529" max="12529" width="3.5703125" style="2" customWidth="1"/>
    <col min="12530" max="12530" width="96.85546875" style="2" customWidth="1"/>
    <col min="12531" max="12531" width="30.85546875" style="2" customWidth="1"/>
    <col min="12532" max="12532" width="12.5703125" style="2" customWidth="1"/>
    <col min="12533" max="12533" width="5.140625" style="2" customWidth="1"/>
    <col min="12534" max="12534" width="9.140625" style="2"/>
    <col min="12535" max="12535" width="4.85546875" style="2" customWidth="1"/>
    <col min="12536" max="12536" width="30.5703125" style="2" customWidth="1"/>
    <col min="12537" max="12537" width="33.85546875" style="2" customWidth="1"/>
    <col min="12538" max="12538" width="5.140625" style="2" customWidth="1"/>
    <col min="12539" max="12540" width="17.5703125" style="2" customWidth="1"/>
    <col min="12541" max="12784" width="9.140625" style="2"/>
    <col min="12785" max="12785" width="3.5703125" style="2" customWidth="1"/>
    <col min="12786" max="12786" width="96.85546875" style="2" customWidth="1"/>
    <col min="12787" max="12787" width="30.85546875" style="2" customWidth="1"/>
    <col min="12788" max="12788" width="12.5703125" style="2" customWidth="1"/>
    <col min="12789" max="12789" width="5.140625" style="2" customWidth="1"/>
    <col min="12790" max="12790" width="9.140625" style="2"/>
    <col min="12791" max="12791" width="4.85546875" style="2" customWidth="1"/>
    <col min="12792" max="12792" width="30.5703125" style="2" customWidth="1"/>
    <col min="12793" max="12793" width="33.85546875" style="2" customWidth="1"/>
    <col min="12794" max="12794" width="5.140625" style="2" customWidth="1"/>
    <col min="12795" max="12796" width="17.5703125" style="2" customWidth="1"/>
    <col min="12797" max="13040" width="9.140625" style="2"/>
    <col min="13041" max="13041" width="3.5703125" style="2" customWidth="1"/>
    <col min="13042" max="13042" width="96.85546875" style="2" customWidth="1"/>
    <col min="13043" max="13043" width="30.85546875" style="2" customWidth="1"/>
    <col min="13044" max="13044" width="12.5703125" style="2" customWidth="1"/>
    <col min="13045" max="13045" width="5.140625" style="2" customWidth="1"/>
    <col min="13046" max="13046" width="9.140625" style="2"/>
    <col min="13047" max="13047" width="4.85546875" style="2" customWidth="1"/>
    <col min="13048" max="13048" width="30.5703125" style="2" customWidth="1"/>
    <col min="13049" max="13049" width="33.85546875" style="2" customWidth="1"/>
    <col min="13050" max="13050" width="5.140625" style="2" customWidth="1"/>
    <col min="13051" max="13052" width="17.5703125" style="2" customWidth="1"/>
    <col min="13053" max="13296" width="9.140625" style="2"/>
    <col min="13297" max="13297" width="3.5703125" style="2" customWidth="1"/>
    <col min="13298" max="13298" width="96.85546875" style="2" customWidth="1"/>
    <col min="13299" max="13299" width="30.85546875" style="2" customWidth="1"/>
    <col min="13300" max="13300" width="12.5703125" style="2" customWidth="1"/>
    <col min="13301" max="13301" width="5.140625" style="2" customWidth="1"/>
    <col min="13302" max="13302" width="9.140625" style="2"/>
    <col min="13303" max="13303" width="4.85546875" style="2" customWidth="1"/>
    <col min="13304" max="13304" width="30.5703125" style="2" customWidth="1"/>
    <col min="13305" max="13305" width="33.85546875" style="2" customWidth="1"/>
    <col min="13306" max="13306" width="5.140625" style="2" customWidth="1"/>
    <col min="13307" max="13308" width="17.5703125" style="2" customWidth="1"/>
    <col min="13309" max="13552" width="9.140625" style="2"/>
    <col min="13553" max="13553" width="3.5703125" style="2" customWidth="1"/>
    <col min="13554" max="13554" width="96.85546875" style="2" customWidth="1"/>
    <col min="13555" max="13555" width="30.85546875" style="2" customWidth="1"/>
    <col min="13556" max="13556" width="12.5703125" style="2" customWidth="1"/>
    <col min="13557" max="13557" width="5.140625" style="2" customWidth="1"/>
    <col min="13558" max="13558" width="9.140625" style="2"/>
    <col min="13559" max="13559" width="4.85546875" style="2" customWidth="1"/>
    <col min="13560" max="13560" width="30.5703125" style="2" customWidth="1"/>
    <col min="13561" max="13561" width="33.85546875" style="2" customWidth="1"/>
    <col min="13562" max="13562" width="5.140625" style="2" customWidth="1"/>
    <col min="13563" max="13564" width="17.5703125" style="2" customWidth="1"/>
    <col min="13565" max="13808" width="9.140625" style="2"/>
    <col min="13809" max="13809" width="3.5703125" style="2" customWidth="1"/>
    <col min="13810" max="13810" width="96.85546875" style="2" customWidth="1"/>
    <col min="13811" max="13811" width="30.85546875" style="2" customWidth="1"/>
    <col min="13812" max="13812" width="12.5703125" style="2" customWidth="1"/>
    <col min="13813" max="13813" width="5.140625" style="2" customWidth="1"/>
    <col min="13814" max="13814" width="9.140625" style="2"/>
    <col min="13815" max="13815" width="4.85546875" style="2" customWidth="1"/>
    <col min="13816" max="13816" width="30.5703125" style="2" customWidth="1"/>
    <col min="13817" max="13817" width="33.85546875" style="2" customWidth="1"/>
    <col min="13818" max="13818" width="5.140625" style="2" customWidth="1"/>
    <col min="13819" max="13820" width="17.5703125" style="2" customWidth="1"/>
    <col min="13821" max="14064" width="9.140625" style="2"/>
    <col min="14065" max="14065" width="3.5703125" style="2" customWidth="1"/>
    <col min="14066" max="14066" width="96.85546875" style="2" customWidth="1"/>
    <col min="14067" max="14067" width="30.85546875" style="2" customWidth="1"/>
    <col min="14068" max="14068" width="12.5703125" style="2" customWidth="1"/>
    <col min="14069" max="14069" width="5.140625" style="2" customWidth="1"/>
    <col min="14070" max="14070" width="9.140625" style="2"/>
    <col min="14071" max="14071" width="4.85546875" style="2" customWidth="1"/>
    <col min="14072" max="14072" width="30.5703125" style="2" customWidth="1"/>
    <col min="14073" max="14073" width="33.85546875" style="2" customWidth="1"/>
    <col min="14074" max="14074" width="5.140625" style="2" customWidth="1"/>
    <col min="14075" max="14076" width="17.5703125" style="2" customWidth="1"/>
    <col min="14077" max="14320" width="9.140625" style="2"/>
    <col min="14321" max="14321" width="3.5703125" style="2" customWidth="1"/>
    <col min="14322" max="14322" width="96.85546875" style="2" customWidth="1"/>
    <col min="14323" max="14323" width="30.85546875" style="2" customWidth="1"/>
    <col min="14324" max="14324" width="12.5703125" style="2" customWidth="1"/>
    <col min="14325" max="14325" width="5.140625" style="2" customWidth="1"/>
    <col min="14326" max="14326" width="9.140625" style="2"/>
    <col min="14327" max="14327" width="4.85546875" style="2" customWidth="1"/>
    <col min="14328" max="14328" width="30.5703125" style="2" customWidth="1"/>
    <col min="14329" max="14329" width="33.85546875" style="2" customWidth="1"/>
    <col min="14330" max="14330" width="5.140625" style="2" customWidth="1"/>
    <col min="14331" max="14332" width="17.5703125" style="2" customWidth="1"/>
    <col min="14333" max="14576" width="9.140625" style="2"/>
    <col min="14577" max="14577" width="3.5703125" style="2" customWidth="1"/>
    <col min="14578" max="14578" width="96.85546875" style="2" customWidth="1"/>
    <col min="14579" max="14579" width="30.85546875" style="2" customWidth="1"/>
    <col min="14580" max="14580" width="12.5703125" style="2" customWidth="1"/>
    <col min="14581" max="14581" width="5.140625" style="2" customWidth="1"/>
    <col min="14582" max="14582" width="9.140625" style="2"/>
    <col min="14583" max="14583" width="4.85546875" style="2" customWidth="1"/>
    <col min="14584" max="14584" width="30.5703125" style="2" customWidth="1"/>
    <col min="14585" max="14585" width="33.85546875" style="2" customWidth="1"/>
    <col min="14586" max="14586" width="5.140625" style="2" customWidth="1"/>
    <col min="14587" max="14588" width="17.5703125" style="2" customWidth="1"/>
    <col min="14589" max="14832" width="9.140625" style="2"/>
    <col min="14833" max="14833" width="3.5703125" style="2" customWidth="1"/>
    <col min="14834" max="14834" width="96.85546875" style="2" customWidth="1"/>
    <col min="14835" max="14835" width="30.85546875" style="2" customWidth="1"/>
    <col min="14836" max="14836" width="12.5703125" style="2" customWidth="1"/>
    <col min="14837" max="14837" width="5.140625" style="2" customWidth="1"/>
    <col min="14838" max="14838" width="9.140625" style="2"/>
    <col min="14839" max="14839" width="4.85546875" style="2" customWidth="1"/>
    <col min="14840" max="14840" width="30.5703125" style="2" customWidth="1"/>
    <col min="14841" max="14841" width="33.85546875" style="2" customWidth="1"/>
    <col min="14842" max="14842" width="5.140625" style="2" customWidth="1"/>
    <col min="14843" max="14844" width="17.5703125" style="2" customWidth="1"/>
    <col min="14845" max="15088" width="9.140625" style="2"/>
    <col min="15089" max="15089" width="3.5703125" style="2" customWidth="1"/>
    <col min="15090" max="15090" width="96.85546875" style="2" customWidth="1"/>
    <col min="15091" max="15091" width="30.85546875" style="2" customWidth="1"/>
    <col min="15092" max="15092" width="12.5703125" style="2" customWidth="1"/>
    <col min="15093" max="15093" width="5.140625" style="2" customWidth="1"/>
    <col min="15094" max="15094" width="9.140625" style="2"/>
    <col min="15095" max="15095" width="4.85546875" style="2" customWidth="1"/>
    <col min="15096" max="15096" width="30.5703125" style="2" customWidth="1"/>
    <col min="15097" max="15097" width="33.85546875" style="2" customWidth="1"/>
    <col min="15098" max="15098" width="5.140625" style="2" customWidth="1"/>
    <col min="15099" max="15100" width="17.5703125" style="2" customWidth="1"/>
    <col min="15101" max="15344" width="9.140625" style="2"/>
    <col min="15345" max="15345" width="3.5703125" style="2" customWidth="1"/>
    <col min="15346" max="15346" width="96.85546875" style="2" customWidth="1"/>
    <col min="15347" max="15347" width="30.85546875" style="2" customWidth="1"/>
    <col min="15348" max="15348" width="12.5703125" style="2" customWidth="1"/>
    <col min="15349" max="15349" width="5.140625" style="2" customWidth="1"/>
    <col min="15350" max="15350" width="9.140625" style="2"/>
    <col min="15351" max="15351" width="4.85546875" style="2" customWidth="1"/>
    <col min="15352" max="15352" width="30.5703125" style="2" customWidth="1"/>
    <col min="15353" max="15353" width="33.85546875" style="2" customWidth="1"/>
    <col min="15354" max="15354" width="5.140625" style="2" customWidth="1"/>
    <col min="15355" max="15356" width="17.5703125" style="2" customWidth="1"/>
    <col min="15357" max="15600" width="9.140625" style="2"/>
    <col min="15601" max="15601" width="3.5703125" style="2" customWidth="1"/>
    <col min="15602" max="15602" width="96.85546875" style="2" customWidth="1"/>
    <col min="15603" max="15603" width="30.85546875" style="2" customWidth="1"/>
    <col min="15604" max="15604" width="12.5703125" style="2" customWidth="1"/>
    <col min="15605" max="15605" width="5.140625" style="2" customWidth="1"/>
    <col min="15606" max="15606" width="9.140625" style="2"/>
    <col min="15607" max="15607" width="4.85546875" style="2" customWidth="1"/>
    <col min="15608" max="15608" width="30.5703125" style="2" customWidth="1"/>
    <col min="15609" max="15609" width="33.85546875" style="2" customWidth="1"/>
    <col min="15610" max="15610" width="5.140625" style="2" customWidth="1"/>
    <col min="15611" max="15612" width="17.5703125" style="2" customWidth="1"/>
    <col min="15613" max="15856" width="9.140625" style="2"/>
    <col min="15857" max="15857" width="3.5703125" style="2" customWidth="1"/>
    <col min="15858" max="15858" width="96.85546875" style="2" customWidth="1"/>
    <col min="15859" max="15859" width="30.85546875" style="2" customWidth="1"/>
    <col min="15860" max="15860" width="12.5703125" style="2" customWidth="1"/>
    <col min="15861" max="15861" width="5.140625" style="2" customWidth="1"/>
    <col min="15862" max="15862" width="9.140625" style="2"/>
    <col min="15863" max="15863" width="4.85546875" style="2" customWidth="1"/>
    <col min="15864" max="15864" width="30.5703125" style="2" customWidth="1"/>
    <col min="15865" max="15865" width="33.85546875" style="2" customWidth="1"/>
    <col min="15866" max="15866" width="5.140625" style="2" customWidth="1"/>
    <col min="15867" max="15868" width="17.5703125" style="2" customWidth="1"/>
    <col min="15869" max="16112" width="9.140625" style="2"/>
    <col min="16113" max="16113" width="3.5703125" style="2" customWidth="1"/>
    <col min="16114" max="16114" width="96.85546875" style="2" customWidth="1"/>
    <col min="16115" max="16115" width="30.85546875" style="2" customWidth="1"/>
    <col min="16116" max="16116" width="12.5703125" style="2" customWidth="1"/>
    <col min="16117" max="16117" width="5.140625" style="2" customWidth="1"/>
    <col min="16118" max="16118" width="9.140625" style="2"/>
    <col min="16119" max="16119" width="4.85546875" style="2" customWidth="1"/>
    <col min="16120" max="16120" width="30.5703125" style="2" customWidth="1"/>
    <col min="16121" max="16121" width="33.85546875" style="2" customWidth="1"/>
    <col min="16122" max="16122" width="5.140625" style="2" customWidth="1"/>
    <col min="16123" max="16124" width="17.5703125" style="2" customWidth="1"/>
    <col min="16125" max="16384" width="9.140625" style="2"/>
  </cols>
  <sheetData>
    <row r="1" spans="1:3" ht="48" customHeight="1">
      <c r="A1" s="1"/>
      <c r="B1" s="147" t="s">
        <v>0</v>
      </c>
      <c r="C1" s="147"/>
    </row>
    <row r="2" spans="1:3">
      <c r="A2" s="3"/>
      <c r="B2" s="4" t="s">
        <v>1</v>
      </c>
      <c r="C2" s="5">
        <v>45317</v>
      </c>
    </row>
    <row r="3" spans="1:3">
      <c r="A3" s="3"/>
      <c r="B3" s="6" t="s">
        <v>2</v>
      </c>
    </row>
    <row r="4" spans="1:3" ht="25.5">
      <c r="A4" s="8"/>
      <c r="B4" s="9" t="str">
        <f>[18]И1!D13</f>
        <v>Субъект Российской Федерации</v>
      </c>
      <c r="C4" s="10" t="str">
        <f>[18]И1!E13</f>
        <v>Новосибирская область</v>
      </c>
    </row>
    <row r="5" spans="1:3" ht="51">
      <c r="A5" s="8"/>
      <c r="B5" s="9" t="str">
        <f>[18]И1!D14</f>
        <v>Тип муниципального образования (выберите из списка)</v>
      </c>
      <c r="C5" s="10" t="str">
        <f>[18]И1!E14</f>
        <v xml:space="preserve">дачный поселок Мочище, Новосибирский муниципальный район </v>
      </c>
    </row>
    <row r="6" spans="1:3">
      <c r="A6" s="8"/>
      <c r="B6" s="9" t="str">
        <f>IF([18]И1!E15="","",[18]И1!D15)</f>
        <v/>
      </c>
      <c r="C6" s="10" t="str">
        <f>IF([18]И1!E15="","",[18]И1!E15)</f>
        <v/>
      </c>
    </row>
    <row r="7" spans="1:3">
      <c r="A7" s="8"/>
      <c r="B7" s="9" t="str">
        <f>[18]И1!D16</f>
        <v>Код ОКТМО</v>
      </c>
      <c r="C7" s="11" t="str">
        <f>[18]И1!E16</f>
        <v>50640431101</v>
      </c>
    </row>
    <row r="8" spans="1:3">
      <c r="A8" s="8"/>
      <c r="B8" s="12" t="str">
        <f>[18]И1!D17</f>
        <v>Система теплоснабжения</v>
      </c>
      <c r="C8" s="13">
        <f>[18]И1!E17</f>
        <v>0</v>
      </c>
    </row>
    <row r="9" spans="1:3">
      <c r="A9" s="8"/>
      <c r="B9" s="9" t="str">
        <f>[18]И1!D8</f>
        <v>Период регулирования (i)-й</v>
      </c>
      <c r="C9" s="14">
        <f>[18]И1!E8</f>
        <v>2024</v>
      </c>
    </row>
    <row r="10" spans="1:3">
      <c r="A10" s="8"/>
      <c r="B10" s="9" t="str">
        <f>[18]И1!D9</f>
        <v>Период регулирования (i-1)-й</v>
      </c>
      <c r="C10" s="14">
        <f>[18]И1!E9</f>
        <v>2023</v>
      </c>
    </row>
    <row r="11" spans="1:3">
      <c r="A11" s="8"/>
      <c r="B11" s="9" t="str">
        <f>[18]И1!D10</f>
        <v>Период регулирования (i-2)-й</v>
      </c>
      <c r="C11" s="14">
        <f>[18]И1!E10</f>
        <v>2022</v>
      </c>
    </row>
    <row r="12" spans="1:3">
      <c r="A12" s="8"/>
      <c r="B12" s="9" t="str">
        <f>[18]И1!D11</f>
        <v>Базовый год (б)</v>
      </c>
      <c r="C12" s="14">
        <f>[18]И1!E11</f>
        <v>2019</v>
      </c>
    </row>
    <row r="13" spans="1:3" ht="38.25">
      <c r="A13" s="8"/>
      <c r="B13" s="9" t="str">
        <f>[18]И1!D18</f>
        <v>Вид топлива, использование которого преобладает в системе теплоснабжения</v>
      </c>
      <c r="C13" s="15" t="str">
        <f>[18]С1.1!E13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3669.6635174016719</v>
      </c>
    </row>
    <row r="18" spans="1:3" ht="42.75">
      <c r="A18" s="22" t="s">
        <v>8</v>
      </c>
      <c r="B18" s="25" t="s">
        <v>9</v>
      </c>
      <c r="C18" s="26">
        <f>[18]С1!F12</f>
        <v>657.11605258205464</v>
      </c>
    </row>
    <row r="19" spans="1:3" ht="42.75">
      <c r="A19" s="22" t="s">
        <v>10</v>
      </c>
      <c r="B19" s="25" t="s">
        <v>11</v>
      </c>
      <c r="C19" s="26">
        <f>[18]С2!F12</f>
        <v>1988.145782203278</v>
      </c>
    </row>
    <row r="20" spans="1:3" ht="30">
      <c r="A20" s="22" t="s">
        <v>12</v>
      </c>
      <c r="B20" s="25" t="s">
        <v>13</v>
      </c>
      <c r="C20" s="26">
        <f>[18]С3!F12</f>
        <v>472.46007696916996</v>
      </c>
    </row>
    <row r="21" spans="1:3" ht="42.75">
      <c r="A21" s="22" t="s">
        <v>14</v>
      </c>
      <c r="B21" s="25" t="s">
        <v>15</v>
      </c>
      <c r="C21" s="26">
        <f>[18]С4!F12</f>
        <v>479.9874190314498</v>
      </c>
    </row>
    <row r="22" spans="1:3" ht="30">
      <c r="A22" s="22" t="s">
        <v>16</v>
      </c>
      <c r="B22" s="25" t="s">
        <v>17</v>
      </c>
      <c r="C22" s="26">
        <f>[18]С5!F12</f>
        <v>71.954186615719053</v>
      </c>
    </row>
    <row r="23" spans="1:3" ht="43.5" thickBot="1">
      <c r="A23" s="27" t="s">
        <v>18</v>
      </c>
      <c r="B23" s="143" t="s">
        <v>19</v>
      </c>
      <c r="C23" s="28" t="str">
        <f>[18]С6!F12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[18]С1.1!E16</f>
        <v>5100</v>
      </c>
    </row>
    <row r="29" spans="1:3" ht="42.75">
      <c r="A29" s="22" t="s">
        <v>10</v>
      </c>
      <c r="B29" s="33" t="s">
        <v>22</v>
      </c>
      <c r="C29" s="34">
        <f>[18]С1.1!E27</f>
        <v>2952.4509444537834</v>
      </c>
    </row>
    <row r="30" spans="1:3" ht="17.25">
      <c r="A30" s="22" t="s">
        <v>12</v>
      </c>
      <c r="B30" s="33" t="s">
        <v>23</v>
      </c>
      <c r="C30" s="35">
        <f>[18]С1.1!E19</f>
        <v>-0.19900000000000001</v>
      </c>
    </row>
    <row r="31" spans="1:3" ht="17.25">
      <c r="A31" s="22" t="s">
        <v>14</v>
      </c>
      <c r="B31" s="33" t="s">
        <v>24</v>
      </c>
      <c r="C31" s="35">
        <f>[18]С1.1!E20</f>
        <v>5.7000000000000002E-2</v>
      </c>
    </row>
    <row r="32" spans="1:3" ht="30">
      <c r="A32" s="22" t="s">
        <v>16</v>
      </c>
      <c r="B32" s="36" t="s">
        <v>25</v>
      </c>
      <c r="C32" s="37">
        <f>[18]С1!F13</f>
        <v>176.4</v>
      </c>
    </row>
    <row r="33" spans="1:3">
      <c r="A33" s="22" t="s">
        <v>18</v>
      </c>
      <c r="B33" s="36" t="s">
        <v>26</v>
      </c>
      <c r="C33" s="38">
        <f>[18]С1!F16</f>
        <v>7000</v>
      </c>
    </row>
    <row r="34" spans="1:3" ht="14.25">
      <c r="A34" s="22" t="s">
        <v>27</v>
      </c>
      <c r="B34" s="39" t="s">
        <v>28</v>
      </c>
      <c r="C34" s="40">
        <f>[18]С1!F17</f>
        <v>0.72857142857142854</v>
      </c>
    </row>
    <row r="35" spans="1:3" ht="15.75">
      <c r="A35" s="41" t="s">
        <v>29</v>
      </c>
      <c r="B35" s="42" t="s">
        <v>30</v>
      </c>
      <c r="C35" s="40">
        <f>[18]С1!F20</f>
        <v>21.588411179999994</v>
      </c>
    </row>
    <row r="36" spans="1:3" ht="15.75">
      <c r="A36" s="41" t="s">
        <v>31</v>
      </c>
      <c r="B36" s="43" t="s">
        <v>32</v>
      </c>
      <c r="C36" s="40">
        <f>[18]С1!F21</f>
        <v>20.818139999999996</v>
      </c>
    </row>
    <row r="37" spans="1:3" ht="14.25">
      <c r="A37" s="41" t="s">
        <v>33</v>
      </c>
      <c r="B37" s="44" t="s">
        <v>34</v>
      </c>
      <c r="C37" s="40">
        <f>[18]С1!F22</f>
        <v>1.0369999999999999</v>
      </c>
    </row>
    <row r="38" spans="1:3" ht="53.25" thickBot="1">
      <c r="A38" s="27" t="s">
        <v>35</v>
      </c>
      <c r="B38" s="45" t="s">
        <v>36</v>
      </c>
      <c r="C38" s="46">
        <f>[18]С1!F23</f>
        <v>1.0469999999999999</v>
      </c>
    </row>
    <row r="39" spans="1:3" ht="13.5" thickBot="1">
      <c r="A39" s="47"/>
      <c r="B39" s="48"/>
      <c r="C39" s="49"/>
    </row>
    <row r="40" spans="1:3" ht="30" customHeight="1">
      <c r="A40" s="50" t="s">
        <v>37</v>
      </c>
      <c r="B40" s="145" t="s">
        <v>38</v>
      </c>
      <c r="C40" s="145"/>
    </row>
    <row r="41" spans="1:3" ht="25.5">
      <c r="A41" s="22" t="s">
        <v>39</v>
      </c>
      <c r="B41" s="36" t="s">
        <v>40</v>
      </c>
      <c r="C41" s="51" t="str">
        <f>[18]С2.1!E12</f>
        <v>V</v>
      </c>
    </row>
    <row r="42" spans="1:3" ht="25.5">
      <c r="A42" s="22" t="s">
        <v>41</v>
      </c>
      <c r="B42" s="33" t="s">
        <v>42</v>
      </c>
      <c r="C42" s="51" t="str">
        <f>[18]С2.1!E13</f>
        <v>6 и менее баллов</v>
      </c>
    </row>
    <row r="43" spans="1:3" ht="25.5">
      <c r="A43" s="22" t="s">
        <v>43</v>
      </c>
      <c r="B43" s="33" t="s">
        <v>44</v>
      </c>
      <c r="C43" s="51" t="str">
        <f>[18]С2.1!E14</f>
        <v>от 200 до 500</v>
      </c>
    </row>
    <row r="44" spans="1:3" ht="25.5">
      <c r="A44" s="22" t="s">
        <v>45</v>
      </c>
      <c r="B44" s="33" t="s">
        <v>46</v>
      </c>
      <c r="C44" s="52" t="str">
        <f>[18]С2.1!E15</f>
        <v>нет</v>
      </c>
    </row>
    <row r="45" spans="1:3" ht="30">
      <c r="A45" s="22" t="s">
        <v>47</v>
      </c>
      <c r="B45" s="33" t="s">
        <v>48</v>
      </c>
      <c r="C45" s="34">
        <f>[18]С2!F18</f>
        <v>35106.652004551666</v>
      </c>
    </row>
    <row r="46" spans="1:3" ht="30">
      <c r="A46" s="22" t="s">
        <v>49</v>
      </c>
      <c r="B46" s="53" t="s">
        <v>50</v>
      </c>
      <c r="C46" s="34">
        <f>IF([18]С2!F19&gt;0,[18]С2!F19,[18]С2!F20)</f>
        <v>23441.524932855718</v>
      </c>
    </row>
    <row r="47" spans="1:3" ht="25.5">
      <c r="A47" s="22" t="s">
        <v>51</v>
      </c>
      <c r="B47" s="54" t="s">
        <v>52</v>
      </c>
      <c r="C47" s="34">
        <f>[18]С2.1!E19</f>
        <v>-37</v>
      </c>
    </row>
    <row r="48" spans="1:3" ht="25.5">
      <c r="A48" s="22" t="s">
        <v>53</v>
      </c>
      <c r="B48" s="54" t="s">
        <v>54</v>
      </c>
      <c r="C48" s="34" t="str">
        <f>[18]С2.1!E22</f>
        <v>нет</v>
      </c>
    </row>
    <row r="49" spans="1:3" ht="38.25">
      <c r="A49" s="22" t="s">
        <v>55</v>
      </c>
      <c r="B49" s="55" t="s">
        <v>56</v>
      </c>
      <c r="C49" s="34">
        <f>[18]С2.2!E10</f>
        <v>1287</v>
      </c>
    </row>
    <row r="50" spans="1:3" ht="25.5">
      <c r="A50" s="22" t="s">
        <v>57</v>
      </c>
      <c r="B50" s="56" t="s">
        <v>58</v>
      </c>
      <c r="C50" s="34">
        <f>[18]С2.2!E12</f>
        <v>5.97</v>
      </c>
    </row>
    <row r="51" spans="1:3" ht="52.5">
      <c r="A51" s="22" t="s">
        <v>59</v>
      </c>
      <c r="B51" s="57" t="s">
        <v>60</v>
      </c>
      <c r="C51" s="34">
        <f>[18]С2.2!E13</f>
        <v>1</v>
      </c>
    </row>
    <row r="52" spans="1:3" ht="27.75">
      <c r="A52" s="22" t="s">
        <v>61</v>
      </c>
      <c r="B52" s="56" t="s">
        <v>62</v>
      </c>
      <c r="C52" s="34">
        <f>[18]С2.2!E14</f>
        <v>12104</v>
      </c>
    </row>
    <row r="53" spans="1:3" ht="25.5">
      <c r="A53" s="22" t="s">
        <v>63</v>
      </c>
      <c r="B53" s="57" t="s">
        <v>64</v>
      </c>
      <c r="C53" s="35">
        <f>[18]С2.2!E15</f>
        <v>4.8000000000000001E-2</v>
      </c>
    </row>
    <row r="54" spans="1:3">
      <c r="A54" s="22" t="s">
        <v>65</v>
      </c>
      <c r="B54" s="57" t="s">
        <v>66</v>
      </c>
      <c r="C54" s="34">
        <f>[18]С2.2!E16</f>
        <v>1</v>
      </c>
    </row>
    <row r="55" spans="1:3" ht="15.75">
      <c r="A55" s="22" t="s">
        <v>67</v>
      </c>
      <c r="B55" s="58" t="s">
        <v>68</v>
      </c>
      <c r="C55" s="34">
        <f>[18]С2!F21</f>
        <v>1</v>
      </c>
    </row>
    <row r="56" spans="1:3" ht="30">
      <c r="A56" s="59" t="s">
        <v>69</v>
      </c>
      <c r="B56" s="33" t="s">
        <v>70</v>
      </c>
      <c r="C56" s="34">
        <f>[18]С2!F13</f>
        <v>183796.83936385796</v>
      </c>
    </row>
    <row r="57" spans="1:3" ht="30">
      <c r="A57" s="59" t="s">
        <v>71</v>
      </c>
      <c r="B57" s="58" t="s">
        <v>72</v>
      </c>
      <c r="C57" s="34">
        <f>[18]С2!F14</f>
        <v>113455</v>
      </c>
    </row>
    <row r="58" spans="1:3" ht="15.75">
      <c r="A58" s="59" t="s">
        <v>73</v>
      </c>
      <c r="B58" s="60" t="s">
        <v>74</v>
      </c>
      <c r="C58" s="40">
        <f>[18]С2!F15</f>
        <v>1.071</v>
      </c>
    </row>
    <row r="59" spans="1:3" ht="15.75">
      <c r="A59" s="59" t="s">
        <v>75</v>
      </c>
      <c r="B59" s="60" t="s">
        <v>76</v>
      </c>
      <c r="C59" s="40">
        <f>[18]С2!F16</f>
        <v>1</v>
      </c>
    </row>
    <row r="60" spans="1:3" ht="17.25">
      <c r="A60" s="59" t="s">
        <v>77</v>
      </c>
      <c r="B60" s="58" t="s">
        <v>78</v>
      </c>
      <c r="C60" s="34">
        <f>[18]С2!F17</f>
        <v>1.01</v>
      </c>
    </row>
    <row r="61" spans="1:3" s="63" customFormat="1" ht="14.25">
      <c r="A61" s="59" t="s">
        <v>79</v>
      </c>
      <c r="B61" s="61" t="s">
        <v>80</v>
      </c>
      <c r="C61" s="62">
        <f>[18]С2!F33</f>
        <v>10</v>
      </c>
    </row>
    <row r="62" spans="1:3" ht="30">
      <c r="A62" s="59" t="s">
        <v>81</v>
      </c>
      <c r="B62" s="64" t="s">
        <v>82</v>
      </c>
      <c r="C62" s="34">
        <f>[18]С2!F26</f>
        <v>1189.8488364193513</v>
      </c>
    </row>
    <row r="63" spans="1:3" ht="17.25">
      <c r="A63" s="59" t="s">
        <v>83</v>
      </c>
      <c r="B63" s="53" t="s">
        <v>84</v>
      </c>
      <c r="C63" s="34">
        <f>[18]С2!F27</f>
        <v>0.18916419899999998</v>
      </c>
    </row>
    <row r="64" spans="1:3" ht="17.25">
      <c r="A64" s="59" t="s">
        <v>85</v>
      </c>
      <c r="B64" s="58" t="s">
        <v>86</v>
      </c>
      <c r="C64" s="62">
        <f>[18]С2!F28</f>
        <v>4200</v>
      </c>
    </row>
    <row r="65" spans="1:3" ht="42.75">
      <c r="A65" s="59" t="s">
        <v>87</v>
      </c>
      <c r="B65" s="33" t="s">
        <v>88</v>
      </c>
      <c r="C65" s="34">
        <f>[18]С2!F22</f>
        <v>38698.422798410109</v>
      </c>
    </row>
    <row r="66" spans="1:3" ht="30">
      <c r="A66" s="59" t="s">
        <v>89</v>
      </c>
      <c r="B66" s="60" t="s">
        <v>90</v>
      </c>
      <c r="C66" s="34">
        <f>[18]С2!F23</f>
        <v>1990</v>
      </c>
    </row>
    <row r="67" spans="1:3" ht="30">
      <c r="A67" s="59" t="s">
        <v>91</v>
      </c>
      <c r="B67" s="53" t="s">
        <v>92</v>
      </c>
      <c r="C67" s="34">
        <f>[18]С2.1!E27</f>
        <v>14307.876789999998</v>
      </c>
    </row>
    <row r="68" spans="1:3" ht="38.25">
      <c r="A68" s="59" t="s">
        <v>93</v>
      </c>
      <c r="B68" s="65" t="s">
        <v>94</v>
      </c>
      <c r="C68" s="52">
        <f>[18]С2.3!E21</f>
        <v>0</v>
      </c>
    </row>
    <row r="69" spans="1:3" ht="25.5">
      <c r="A69" s="59" t="s">
        <v>95</v>
      </c>
      <c r="B69" s="66" t="s">
        <v>96</v>
      </c>
      <c r="C69" s="67">
        <f>[18]С2.3!E11</f>
        <v>9.89</v>
      </c>
    </row>
    <row r="70" spans="1:3" ht="25.5">
      <c r="A70" s="59" t="s">
        <v>97</v>
      </c>
      <c r="B70" s="66" t="s">
        <v>98</v>
      </c>
      <c r="C70" s="62">
        <f>[18]С2.3!E13</f>
        <v>300</v>
      </c>
    </row>
    <row r="71" spans="1:3" ht="25.5">
      <c r="A71" s="59" t="s">
        <v>99</v>
      </c>
      <c r="B71" s="65" t="s">
        <v>100</v>
      </c>
      <c r="C71" s="68">
        <f>IF([18]С2.3!E22&gt;0,[18]С2.3!E22,[18]С2.3!E14)</f>
        <v>61211</v>
      </c>
    </row>
    <row r="72" spans="1:3" ht="38.25">
      <c r="A72" s="59" t="s">
        <v>101</v>
      </c>
      <c r="B72" s="65" t="s">
        <v>102</v>
      </c>
      <c r="C72" s="68">
        <f>IF([18]С2.3!E23&gt;0,[18]С2.3!E23,[18]С2.3!E15)</f>
        <v>45675</v>
      </c>
    </row>
    <row r="73" spans="1:3" ht="30">
      <c r="A73" s="59" t="s">
        <v>103</v>
      </c>
      <c r="B73" s="53" t="s">
        <v>104</v>
      </c>
      <c r="C73" s="34">
        <f>[18]С2.1!E28</f>
        <v>9541.9567200000001</v>
      </c>
    </row>
    <row r="74" spans="1:3" ht="38.25">
      <c r="A74" s="59" t="s">
        <v>105</v>
      </c>
      <c r="B74" s="65" t="s">
        <v>106</v>
      </c>
      <c r="C74" s="52">
        <f>[18]С2.3!E25</f>
        <v>0</v>
      </c>
    </row>
    <row r="75" spans="1:3" ht="25.5">
      <c r="A75" s="59" t="s">
        <v>107</v>
      </c>
      <c r="B75" s="66" t="s">
        <v>108</v>
      </c>
      <c r="C75" s="67">
        <f>[18]С2.3!E12</f>
        <v>0.56000000000000005</v>
      </c>
    </row>
    <row r="76" spans="1:3" ht="25.5">
      <c r="A76" s="59" t="s">
        <v>109</v>
      </c>
      <c r="B76" s="66" t="s">
        <v>98</v>
      </c>
      <c r="C76" s="62">
        <f>[18]С2.3!E13</f>
        <v>300</v>
      </c>
    </row>
    <row r="77" spans="1:3" ht="25.5">
      <c r="A77" s="59" t="s">
        <v>110</v>
      </c>
      <c r="B77" s="69" t="s">
        <v>111</v>
      </c>
      <c r="C77" s="68">
        <f>IF([18]С2.3!E26&gt;0,[18]С2.3!E26,[18]С2.3!E16)</f>
        <v>65637</v>
      </c>
    </row>
    <row r="78" spans="1:3" ht="38.25">
      <c r="A78" s="59" t="s">
        <v>112</v>
      </c>
      <c r="B78" s="69" t="s">
        <v>113</v>
      </c>
      <c r="C78" s="68">
        <f>IF([18]С2.3!E27&gt;0,[18]С2.3!E27,[18]С2.3!E17)</f>
        <v>31684</v>
      </c>
    </row>
    <row r="79" spans="1:3" ht="17.25">
      <c r="A79" s="59" t="s">
        <v>114</v>
      </c>
      <c r="B79" s="33" t="s">
        <v>115</v>
      </c>
      <c r="C79" s="35">
        <f>[18]С2!F29</f>
        <v>9.5962865259740182E-2</v>
      </c>
    </row>
    <row r="80" spans="1:3" ht="30">
      <c r="A80" s="59" t="s">
        <v>116</v>
      </c>
      <c r="B80" s="53" t="s">
        <v>117</v>
      </c>
      <c r="C80" s="70">
        <f>[18]С2!F30</f>
        <v>8.4029304029304031E-2</v>
      </c>
    </row>
    <row r="81" spans="1:3" ht="17.25">
      <c r="A81" s="59" t="s">
        <v>118</v>
      </c>
      <c r="B81" s="71" t="s">
        <v>119</v>
      </c>
      <c r="C81" s="35">
        <f>[18]С2!F31</f>
        <v>0.13880000000000001</v>
      </c>
    </row>
    <row r="82" spans="1:3" s="63" customFormat="1" ht="18" thickBot="1">
      <c r="A82" s="72" t="s">
        <v>120</v>
      </c>
      <c r="B82" s="73" t="s">
        <v>121</v>
      </c>
      <c r="C82" s="74">
        <f>[18]С2!F32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[18]С3!F14</f>
        <v>6054.0090724656739</v>
      </c>
    </row>
    <row r="86" spans="1:3" s="63" customFormat="1" ht="42.75">
      <c r="A86" s="77" t="s">
        <v>126</v>
      </c>
      <c r="B86" s="53" t="s">
        <v>127</v>
      </c>
      <c r="C86" s="78">
        <f>[18]С3!F15</f>
        <v>0.2</v>
      </c>
    </row>
    <row r="87" spans="1:3" s="63" customFormat="1" ht="14.25">
      <c r="A87" s="77" t="s">
        <v>128</v>
      </c>
      <c r="B87" s="79" t="s">
        <v>129</v>
      </c>
      <c r="C87" s="62">
        <f>[18]С3!F18</f>
        <v>15</v>
      </c>
    </row>
    <row r="88" spans="1:3" s="63" customFormat="1" ht="17.25">
      <c r="A88" s="77" t="s">
        <v>130</v>
      </c>
      <c r="B88" s="33" t="s">
        <v>131</v>
      </c>
      <c r="C88" s="34">
        <f>[18]С3!F19</f>
        <v>3778.1614077800232</v>
      </c>
    </row>
    <row r="89" spans="1:3" s="63" customFormat="1" ht="55.5">
      <c r="A89" s="77" t="s">
        <v>132</v>
      </c>
      <c r="B89" s="53" t="s">
        <v>133</v>
      </c>
      <c r="C89" s="80">
        <f>[18]С3!F20</f>
        <v>2.1999999999999999E-2</v>
      </c>
    </row>
    <row r="90" spans="1:3" s="63" customFormat="1" ht="14.25">
      <c r="A90" s="77" t="s">
        <v>134</v>
      </c>
      <c r="B90" s="58" t="s">
        <v>80</v>
      </c>
      <c r="C90" s="62">
        <f>[18]С3!F21</f>
        <v>10</v>
      </c>
    </row>
    <row r="91" spans="1:3" s="63" customFormat="1" ht="17.25">
      <c r="A91" s="77" t="s">
        <v>135</v>
      </c>
      <c r="B91" s="33" t="s">
        <v>136</v>
      </c>
      <c r="C91" s="34">
        <f>[18]С3!F22</f>
        <v>3.5695465092580538</v>
      </c>
    </row>
    <row r="92" spans="1:3" s="63" customFormat="1" ht="55.5">
      <c r="A92" s="77" t="s">
        <v>137</v>
      </c>
      <c r="B92" s="53" t="s">
        <v>138</v>
      </c>
      <c r="C92" s="80">
        <f>[18]С3!F23</f>
        <v>3.0000000000000001E-3</v>
      </c>
    </row>
    <row r="93" spans="1:3" s="63" customFormat="1" ht="27.75" thickBot="1">
      <c r="A93" s="81" t="s">
        <v>139</v>
      </c>
      <c r="B93" s="82" t="s">
        <v>140</v>
      </c>
      <c r="C93" s="83">
        <f>[18]С3!F24</f>
        <v>1189.8488364193513</v>
      </c>
    </row>
    <row r="94" spans="1:3" ht="13.5" thickBot="1">
      <c r="A94" s="47"/>
      <c r="B94" s="75"/>
      <c r="C94" s="15"/>
    </row>
    <row r="95" spans="1:3" ht="30" customHeight="1">
      <c r="A95" s="84" t="s">
        <v>141</v>
      </c>
      <c r="B95" s="145" t="s">
        <v>142</v>
      </c>
      <c r="C95" s="145"/>
    </row>
    <row r="96" spans="1:3" ht="30">
      <c r="A96" s="59" t="s">
        <v>143</v>
      </c>
      <c r="B96" s="33" t="s">
        <v>144</v>
      </c>
      <c r="C96" s="34">
        <f>[18]С4!F16</f>
        <v>1652.5</v>
      </c>
    </row>
    <row r="97" spans="1:3" ht="30">
      <c r="A97" s="59" t="s">
        <v>145</v>
      </c>
      <c r="B97" s="58" t="s">
        <v>146</v>
      </c>
      <c r="C97" s="34">
        <f>[18]С4!F17</f>
        <v>73547</v>
      </c>
    </row>
    <row r="98" spans="1:3" ht="17.25">
      <c r="A98" s="59" t="s">
        <v>147</v>
      </c>
      <c r="B98" s="58" t="s">
        <v>148</v>
      </c>
      <c r="C98" s="40">
        <f>[18]С4!F18</f>
        <v>0.02</v>
      </c>
    </row>
    <row r="99" spans="1:3" ht="30">
      <c r="A99" s="59" t="s">
        <v>149</v>
      </c>
      <c r="B99" s="58" t="s">
        <v>150</v>
      </c>
      <c r="C99" s="34">
        <f>[18]С4!F19</f>
        <v>12104</v>
      </c>
    </row>
    <row r="100" spans="1:3" ht="31.5">
      <c r="A100" s="59" t="s">
        <v>151</v>
      </c>
      <c r="B100" s="58" t="s">
        <v>152</v>
      </c>
      <c r="C100" s="40">
        <f>[18]С4!F20</f>
        <v>1.4999999999999999E-2</v>
      </c>
    </row>
    <row r="101" spans="1:3" ht="30">
      <c r="A101" s="59" t="s">
        <v>153</v>
      </c>
      <c r="B101" s="33" t="s">
        <v>154</v>
      </c>
      <c r="C101" s="34">
        <f>[18]С4!F21</f>
        <v>1933.1949342509995</v>
      </c>
    </row>
    <row r="102" spans="1:3" ht="24" customHeight="1">
      <c r="A102" s="59" t="s">
        <v>155</v>
      </c>
      <c r="B102" s="53" t="s">
        <v>156</v>
      </c>
      <c r="C102" s="85">
        <f>IF([18]С4.2!F8="да",[18]С4.2!D21,[18]С4.2!D15)</f>
        <v>0</v>
      </c>
    </row>
    <row r="103" spans="1:3" ht="68.25">
      <c r="A103" s="59" t="s">
        <v>157</v>
      </c>
      <c r="B103" s="53" t="s">
        <v>158</v>
      </c>
      <c r="C103" s="34">
        <f>[18]С4!F22</f>
        <v>3.6112641666666665</v>
      </c>
    </row>
    <row r="104" spans="1:3" ht="30">
      <c r="A104" s="59" t="s">
        <v>159</v>
      </c>
      <c r="B104" s="58" t="s">
        <v>160</v>
      </c>
      <c r="C104" s="34">
        <f>[18]С4!F23</f>
        <v>180</v>
      </c>
    </row>
    <row r="105" spans="1:3" ht="14.25">
      <c r="A105" s="59" t="s">
        <v>161</v>
      </c>
      <c r="B105" s="53" t="s">
        <v>162</v>
      </c>
      <c r="C105" s="34">
        <f>[18]С4!F24</f>
        <v>8497.1999999999989</v>
      </c>
    </row>
    <row r="106" spans="1:3" ht="14.25">
      <c r="A106" s="59" t="s">
        <v>163</v>
      </c>
      <c r="B106" s="58" t="s">
        <v>164</v>
      </c>
      <c r="C106" s="40">
        <f>[18]С4!F25</f>
        <v>0.35</v>
      </c>
    </row>
    <row r="107" spans="1:3" ht="17.25">
      <c r="A107" s="59" t="s">
        <v>165</v>
      </c>
      <c r="B107" s="33" t="s">
        <v>166</v>
      </c>
      <c r="C107" s="34">
        <f>[18]С4!F26</f>
        <v>77.275469999999999</v>
      </c>
    </row>
    <row r="108" spans="1:3" ht="25.5">
      <c r="A108" s="59" t="s">
        <v>167</v>
      </c>
      <c r="B108" s="53" t="s">
        <v>94</v>
      </c>
      <c r="C108" s="85">
        <f>[18]С4.3!E16</f>
        <v>0</v>
      </c>
    </row>
    <row r="109" spans="1:3" ht="25.5">
      <c r="A109" s="59" t="s">
        <v>168</v>
      </c>
      <c r="B109" s="53" t="s">
        <v>169</v>
      </c>
      <c r="C109" s="34">
        <f>[18]С4.3!E17</f>
        <v>20.93</v>
      </c>
    </row>
    <row r="110" spans="1:3" ht="38.25">
      <c r="A110" s="59" t="s">
        <v>170</v>
      </c>
      <c r="B110" s="53" t="s">
        <v>106</v>
      </c>
      <c r="C110" s="85">
        <f>[18]С4.3!E18</f>
        <v>0</v>
      </c>
    </row>
    <row r="111" spans="1:3">
      <c r="A111" s="59" t="s">
        <v>171</v>
      </c>
      <c r="B111" s="53" t="s">
        <v>172</v>
      </c>
      <c r="C111" s="34">
        <f>[18]С4.3!E19</f>
        <v>18.989999999999998</v>
      </c>
    </row>
    <row r="112" spans="1:3">
      <c r="A112" s="59" t="s">
        <v>173</v>
      </c>
      <c r="B112" s="58" t="s">
        <v>174</v>
      </c>
      <c r="C112" s="34">
        <f>[18]С4.3!E11</f>
        <v>1871</v>
      </c>
    </row>
    <row r="113" spans="1:3">
      <c r="A113" s="59" t="s">
        <v>175</v>
      </c>
      <c r="B113" s="58" t="s">
        <v>176</v>
      </c>
      <c r="C113" s="52">
        <f>[18]С4.3!E12</f>
        <v>1636</v>
      </c>
    </row>
    <row r="114" spans="1:3">
      <c r="A114" s="59" t="s">
        <v>177</v>
      </c>
      <c r="B114" s="58" t="s">
        <v>178</v>
      </c>
      <c r="C114" s="52">
        <f>[18]С4.3!E13</f>
        <v>204</v>
      </c>
    </row>
    <row r="115" spans="1:3" ht="30">
      <c r="A115" s="59" t="s">
        <v>179</v>
      </c>
      <c r="B115" s="33" t="s">
        <v>180</v>
      </c>
      <c r="C115" s="34">
        <f>[18]С4!F27</f>
        <v>1851.0127650478018</v>
      </c>
    </row>
    <row r="116" spans="1:3" ht="25.5">
      <c r="A116" s="59" t="s">
        <v>181</v>
      </c>
      <c r="B116" s="53" t="s">
        <v>182</v>
      </c>
      <c r="C116" s="34">
        <f>[18]С4!F28</f>
        <v>1421.6687903592947</v>
      </c>
    </row>
    <row r="117" spans="1:3" ht="42.75">
      <c r="A117" s="59" t="s">
        <v>183</v>
      </c>
      <c r="B117" s="53" t="s">
        <v>184</v>
      </c>
      <c r="C117" s="34">
        <f>[18]С4!F29</f>
        <v>429.3439746885071</v>
      </c>
    </row>
    <row r="118" spans="1:3" ht="30">
      <c r="A118" s="59" t="s">
        <v>185</v>
      </c>
      <c r="B118" s="39" t="s">
        <v>186</v>
      </c>
      <c r="C118" s="34">
        <f>[18]С4!F30</f>
        <v>1734.557251852819</v>
      </c>
    </row>
    <row r="119" spans="1:3" ht="42.75">
      <c r="A119" s="59" t="s">
        <v>187</v>
      </c>
      <c r="B119" s="86" t="s">
        <v>188</v>
      </c>
      <c r="C119" s="34">
        <f>[18]С4!F33</f>
        <v>974.6360595230401</v>
      </c>
    </row>
    <row r="120" spans="1:3" ht="30">
      <c r="A120" s="59" t="s">
        <v>189</v>
      </c>
      <c r="B120" s="87" t="s">
        <v>190</v>
      </c>
      <c r="C120" s="34">
        <f>[18]С4!F35</f>
        <v>17.040680999999999</v>
      </c>
    </row>
    <row r="121" spans="1:3" ht="14.25">
      <c r="A121" s="59" t="s">
        <v>191</v>
      </c>
      <c r="B121" s="56" t="s">
        <v>192</v>
      </c>
      <c r="C121" s="34">
        <f>[18]С4!F36</f>
        <v>14319.9</v>
      </c>
    </row>
    <row r="122" spans="1:3" ht="28.5" thickBot="1">
      <c r="A122" s="72" t="s">
        <v>193</v>
      </c>
      <c r="B122" s="88" t="s">
        <v>194</v>
      </c>
      <c r="C122" s="83">
        <f>[18]С4!F37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[18]С5!F17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[18]С2!F37</f>
        <v>20.818139999999996</v>
      </c>
    </row>
    <row r="136" spans="1:3" ht="14.25">
      <c r="A136" s="59" t="s">
        <v>216</v>
      </c>
      <c r="B136" s="101" t="s">
        <v>217</v>
      </c>
      <c r="C136" s="34">
        <f>[18]С2!F38</f>
        <v>7</v>
      </c>
    </row>
    <row r="137" spans="1:3" ht="17.25">
      <c r="A137" s="59" t="s">
        <v>218</v>
      </c>
      <c r="B137" s="101" t="s">
        <v>219</v>
      </c>
      <c r="C137" s="34">
        <f>[18]С2!F40</f>
        <v>0.97</v>
      </c>
    </row>
    <row r="138" spans="1:3" ht="15" thickBot="1">
      <c r="A138" s="72" t="s">
        <v>220</v>
      </c>
      <c r="B138" s="102" t="s">
        <v>221</v>
      </c>
      <c r="C138" s="46">
        <f>[18]С2!F42</f>
        <v>0.35</v>
      </c>
    </row>
    <row r="139" spans="1:3" s="89" customFormat="1" ht="13.5" thickBot="1">
      <c r="A139" s="47"/>
      <c r="B139" s="75"/>
      <c r="C139" s="15"/>
    </row>
    <row r="140" spans="1:3" ht="30">
      <c r="A140" s="84" t="s">
        <v>222</v>
      </c>
      <c r="B140" s="103" t="s">
        <v>223</v>
      </c>
      <c r="C140" s="104">
        <f>[18]С2!F35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[18]С2.5!$E$11</f>
        <v>-2.9000000000000026E-2</v>
      </c>
    </row>
    <row r="144" spans="1:3">
      <c r="A144" s="105"/>
      <c r="B144" s="110">
        <f>B143+1</f>
        <v>2021</v>
      </c>
      <c r="C144" s="111">
        <f>[18]С2.5!$F$11</f>
        <v>0.245</v>
      </c>
    </row>
    <row r="145" spans="1:3">
      <c r="A145" s="105"/>
      <c r="B145" s="110">
        <f t="shared" ref="B145:B208" si="0">B144+1</f>
        <v>2022</v>
      </c>
      <c r="C145" s="111">
        <f>[18]С2.5!$G$11</f>
        <v>0.114</v>
      </c>
    </row>
    <row r="146" spans="1:3" ht="13.5" thickBot="1">
      <c r="A146" s="105"/>
      <c r="B146" s="112">
        <f t="shared" si="0"/>
        <v>2023</v>
      </c>
      <c r="C146" s="113">
        <f>[18]С2.5!$H$11</f>
        <v>2.4E-2</v>
      </c>
    </row>
    <row r="147" spans="1:3">
      <c r="A147" s="105"/>
      <c r="B147" s="114">
        <f t="shared" si="0"/>
        <v>2024</v>
      </c>
      <c r="C147" s="115">
        <f>[18]С2.5!$I$11</f>
        <v>8.5999999999999993E-2</v>
      </c>
    </row>
    <row r="148" spans="1:3" hidden="1">
      <c r="A148" s="105"/>
      <c r="B148" s="110">
        <f t="shared" si="0"/>
        <v>2025</v>
      </c>
      <c r="C148" s="111">
        <f>[18]С2.5!$J$11</f>
        <v>0.21215960863291</v>
      </c>
    </row>
    <row r="149" spans="1:3" hidden="1">
      <c r="A149" s="105"/>
      <c r="B149" s="110">
        <f t="shared" si="0"/>
        <v>2026</v>
      </c>
      <c r="C149" s="111">
        <f>[18]С2.5!$K$11</f>
        <v>3.5813361771260002E-2</v>
      </c>
    </row>
    <row r="150" spans="1:3" hidden="1">
      <c r="A150" s="105"/>
      <c r="B150" s="110">
        <f t="shared" si="0"/>
        <v>2027</v>
      </c>
      <c r="C150" s="111">
        <f>[18]С2.5!$L$11</f>
        <v>3.2682303599220003E-2</v>
      </c>
    </row>
    <row r="151" spans="1:3" hidden="1">
      <c r="A151" s="105"/>
      <c r="B151" s="110">
        <f t="shared" si="0"/>
        <v>2028</v>
      </c>
      <c r="C151" s="111">
        <f>[18]С2.5!$M$11</f>
        <v>0</v>
      </c>
    </row>
    <row r="152" spans="1:3" hidden="1">
      <c r="A152" s="105"/>
      <c r="B152" s="110">
        <f t="shared" si="0"/>
        <v>2029</v>
      </c>
      <c r="C152" s="111">
        <f>[18]С2.5!$N$11</f>
        <v>0</v>
      </c>
    </row>
    <row r="153" spans="1:3" hidden="1">
      <c r="A153" s="105"/>
      <c r="B153" s="110">
        <f t="shared" si="0"/>
        <v>2030</v>
      </c>
      <c r="C153" s="111">
        <f>[18]С2.5!$O$11</f>
        <v>0</v>
      </c>
    </row>
    <row r="154" spans="1:3" hidden="1">
      <c r="A154" s="105"/>
      <c r="B154" s="110">
        <f t="shared" si="0"/>
        <v>2031</v>
      </c>
      <c r="C154" s="111">
        <f>[18]С2.5!$P$11</f>
        <v>0</v>
      </c>
    </row>
    <row r="155" spans="1:3" hidden="1">
      <c r="A155" s="89"/>
      <c r="B155" s="110">
        <f t="shared" si="0"/>
        <v>2032</v>
      </c>
      <c r="C155" s="111">
        <f>[18]С2.5!$Q$11</f>
        <v>0</v>
      </c>
    </row>
    <row r="156" spans="1:3" hidden="1">
      <c r="A156" s="89"/>
      <c r="B156" s="110">
        <f t="shared" si="0"/>
        <v>2033</v>
      </c>
      <c r="C156" s="111">
        <f>[18]С2.5!$R$11</f>
        <v>0</v>
      </c>
    </row>
    <row r="157" spans="1:3" hidden="1">
      <c r="B157" s="110">
        <f t="shared" si="0"/>
        <v>2034</v>
      </c>
      <c r="C157" s="111">
        <f>[18]С2.5!$S$11</f>
        <v>0</v>
      </c>
    </row>
    <row r="158" spans="1:3" hidden="1">
      <c r="B158" s="110">
        <f t="shared" si="0"/>
        <v>2035</v>
      </c>
      <c r="C158" s="111">
        <f>[18]С2.5!$T$11</f>
        <v>0</v>
      </c>
    </row>
    <row r="159" spans="1:3" hidden="1">
      <c r="B159" s="110">
        <f t="shared" si="0"/>
        <v>2036</v>
      </c>
      <c r="C159" s="111">
        <f>[18]С2.5!$U$11</f>
        <v>0</v>
      </c>
    </row>
    <row r="160" spans="1:3" hidden="1">
      <c r="B160" s="110">
        <f t="shared" si="0"/>
        <v>2037</v>
      </c>
      <c r="C160" s="111">
        <f>[18]С2.5!$V$11</f>
        <v>0</v>
      </c>
    </row>
    <row r="161" spans="2:3" hidden="1">
      <c r="B161" s="110">
        <f t="shared" si="0"/>
        <v>2038</v>
      </c>
      <c r="C161" s="111">
        <f>[18]С2.5!$W$11</f>
        <v>0</v>
      </c>
    </row>
    <row r="162" spans="2:3" hidden="1">
      <c r="B162" s="110">
        <f t="shared" si="0"/>
        <v>2039</v>
      </c>
      <c r="C162" s="111">
        <f>[18]С2.5!$X$11</f>
        <v>0</v>
      </c>
    </row>
    <row r="163" spans="2:3" hidden="1">
      <c r="B163" s="110">
        <f t="shared" si="0"/>
        <v>2040</v>
      </c>
      <c r="C163" s="111">
        <f>[18]С2.5!$Y$11</f>
        <v>0</v>
      </c>
    </row>
    <row r="164" spans="2:3" hidden="1">
      <c r="B164" s="110">
        <f t="shared" si="0"/>
        <v>2041</v>
      </c>
      <c r="C164" s="111">
        <f>[18]С2.5!$Z$11</f>
        <v>0</v>
      </c>
    </row>
    <row r="165" spans="2:3" hidden="1">
      <c r="B165" s="110">
        <f t="shared" si="0"/>
        <v>2042</v>
      </c>
      <c r="C165" s="111">
        <f>[18]С2.5!$AA$11</f>
        <v>0</v>
      </c>
    </row>
    <row r="166" spans="2:3" hidden="1">
      <c r="B166" s="110">
        <f t="shared" si="0"/>
        <v>2043</v>
      </c>
      <c r="C166" s="111">
        <f>[18]С2.5!$AB$11</f>
        <v>0</v>
      </c>
    </row>
    <row r="167" spans="2:3" hidden="1">
      <c r="B167" s="110">
        <f t="shared" si="0"/>
        <v>2044</v>
      </c>
      <c r="C167" s="111">
        <f>[18]С2.5!$AC$11</f>
        <v>0</v>
      </c>
    </row>
    <row r="168" spans="2:3" hidden="1">
      <c r="B168" s="110">
        <f t="shared" si="0"/>
        <v>2045</v>
      </c>
      <c r="C168" s="111">
        <f>[18]С2.5!$AD$11</f>
        <v>0</v>
      </c>
    </row>
    <row r="169" spans="2:3" hidden="1">
      <c r="B169" s="110">
        <f t="shared" si="0"/>
        <v>2046</v>
      </c>
      <c r="C169" s="111">
        <f>[18]С2.5!$AE$11</f>
        <v>0</v>
      </c>
    </row>
    <row r="170" spans="2:3" hidden="1">
      <c r="B170" s="110">
        <f t="shared" si="0"/>
        <v>2047</v>
      </c>
      <c r="C170" s="111">
        <f>[18]С2.5!$AF$11</f>
        <v>0</v>
      </c>
    </row>
    <row r="171" spans="2:3" hidden="1">
      <c r="B171" s="110">
        <f t="shared" si="0"/>
        <v>2048</v>
      </c>
      <c r="C171" s="111">
        <f>[18]С2.5!$AG$11</f>
        <v>0</v>
      </c>
    </row>
    <row r="172" spans="2:3" hidden="1">
      <c r="B172" s="110">
        <f t="shared" si="0"/>
        <v>2049</v>
      </c>
      <c r="C172" s="111">
        <f>[18]С2.5!$AH$11</f>
        <v>0</v>
      </c>
    </row>
    <row r="173" spans="2:3" hidden="1">
      <c r="B173" s="110">
        <f t="shared" si="0"/>
        <v>2050</v>
      </c>
      <c r="C173" s="111">
        <f>[18]С2.5!$AI$11</f>
        <v>0</v>
      </c>
    </row>
    <row r="174" spans="2:3" hidden="1">
      <c r="B174" s="110">
        <f t="shared" si="0"/>
        <v>2051</v>
      </c>
      <c r="C174" s="111">
        <f>[18]С2.5!$AJ$11</f>
        <v>0</v>
      </c>
    </row>
    <row r="175" spans="2:3" hidden="1">
      <c r="B175" s="110">
        <f t="shared" si="0"/>
        <v>2052</v>
      </c>
      <c r="C175" s="111">
        <f>[18]С2.5!$AK$11</f>
        <v>0</v>
      </c>
    </row>
    <row r="176" spans="2:3" hidden="1">
      <c r="B176" s="110">
        <f t="shared" si="0"/>
        <v>2053</v>
      </c>
      <c r="C176" s="111">
        <f>[18]С2.5!$AL$11</f>
        <v>0</v>
      </c>
    </row>
    <row r="177" spans="2:3" hidden="1">
      <c r="B177" s="110">
        <f t="shared" si="0"/>
        <v>2054</v>
      </c>
      <c r="C177" s="111">
        <f>[18]С2.5!$AM$11</f>
        <v>0</v>
      </c>
    </row>
    <row r="178" spans="2:3" hidden="1">
      <c r="B178" s="110">
        <f t="shared" si="0"/>
        <v>2055</v>
      </c>
      <c r="C178" s="111">
        <f>[18]С2.5!$AN$11</f>
        <v>0</v>
      </c>
    </row>
    <row r="179" spans="2:3" hidden="1">
      <c r="B179" s="110">
        <f t="shared" si="0"/>
        <v>2056</v>
      </c>
      <c r="C179" s="111">
        <f>[18]С2.5!$AO$11</f>
        <v>0</v>
      </c>
    </row>
    <row r="180" spans="2:3" hidden="1">
      <c r="B180" s="110">
        <f t="shared" si="0"/>
        <v>2057</v>
      </c>
      <c r="C180" s="111">
        <f>[18]С2.5!$AP$11</f>
        <v>0</v>
      </c>
    </row>
    <row r="181" spans="2:3" hidden="1">
      <c r="B181" s="110">
        <f t="shared" si="0"/>
        <v>2058</v>
      </c>
      <c r="C181" s="111">
        <f>[18]С2.5!$AQ$11</f>
        <v>0</v>
      </c>
    </row>
    <row r="182" spans="2:3" hidden="1">
      <c r="B182" s="110">
        <f t="shared" si="0"/>
        <v>2059</v>
      </c>
      <c r="C182" s="111">
        <f>[18]С2.5!$AR$11</f>
        <v>0</v>
      </c>
    </row>
    <row r="183" spans="2:3" hidden="1">
      <c r="B183" s="110">
        <f t="shared" si="0"/>
        <v>2060</v>
      </c>
      <c r="C183" s="111">
        <f>[18]С2.5!$AS$11</f>
        <v>0</v>
      </c>
    </row>
    <row r="184" spans="2:3" hidden="1">
      <c r="B184" s="110">
        <f t="shared" si="0"/>
        <v>2061</v>
      </c>
      <c r="C184" s="111">
        <f>[18]С2.5!$AT$11</f>
        <v>0</v>
      </c>
    </row>
    <row r="185" spans="2:3" hidden="1">
      <c r="B185" s="110">
        <f t="shared" si="0"/>
        <v>2062</v>
      </c>
      <c r="C185" s="111">
        <f>[18]С2.5!$AU$11</f>
        <v>0</v>
      </c>
    </row>
    <row r="186" spans="2:3" hidden="1">
      <c r="B186" s="110">
        <f t="shared" si="0"/>
        <v>2063</v>
      </c>
      <c r="C186" s="111">
        <f>[18]С2.5!$AV$11</f>
        <v>0</v>
      </c>
    </row>
    <row r="187" spans="2:3" hidden="1">
      <c r="B187" s="110">
        <f t="shared" si="0"/>
        <v>2064</v>
      </c>
      <c r="C187" s="111">
        <f>[18]С2.5!$AW$11</f>
        <v>0</v>
      </c>
    </row>
    <row r="188" spans="2:3" hidden="1">
      <c r="B188" s="110">
        <f t="shared" si="0"/>
        <v>2065</v>
      </c>
      <c r="C188" s="111">
        <f>[18]С2.5!$AX$11</f>
        <v>0</v>
      </c>
    </row>
    <row r="189" spans="2:3" hidden="1">
      <c r="B189" s="110">
        <f t="shared" si="0"/>
        <v>2066</v>
      </c>
      <c r="C189" s="111">
        <f>[18]С2.5!$AY$11</f>
        <v>0</v>
      </c>
    </row>
    <row r="190" spans="2:3" hidden="1">
      <c r="B190" s="110">
        <f t="shared" si="0"/>
        <v>2067</v>
      </c>
      <c r="C190" s="111">
        <f>[18]С2.5!$AZ$11</f>
        <v>0</v>
      </c>
    </row>
    <row r="191" spans="2:3" hidden="1">
      <c r="B191" s="110">
        <f t="shared" si="0"/>
        <v>2068</v>
      </c>
      <c r="C191" s="111">
        <f>[18]С2.5!$BA$11</f>
        <v>0</v>
      </c>
    </row>
    <row r="192" spans="2:3" hidden="1">
      <c r="B192" s="110">
        <f t="shared" si="0"/>
        <v>2069</v>
      </c>
      <c r="C192" s="111">
        <f>[18]С2.5!$BB$11</f>
        <v>0</v>
      </c>
    </row>
    <row r="193" spans="2:3" hidden="1">
      <c r="B193" s="110">
        <f t="shared" si="0"/>
        <v>2070</v>
      </c>
      <c r="C193" s="111">
        <f>[18]С2.5!$BC$11</f>
        <v>0</v>
      </c>
    </row>
    <row r="194" spans="2:3" hidden="1">
      <c r="B194" s="110">
        <f t="shared" si="0"/>
        <v>2071</v>
      </c>
      <c r="C194" s="111">
        <f>[18]С2.5!$BD$11</f>
        <v>0</v>
      </c>
    </row>
    <row r="195" spans="2:3" hidden="1">
      <c r="B195" s="110">
        <f t="shared" si="0"/>
        <v>2072</v>
      </c>
      <c r="C195" s="111">
        <f>[18]С2.5!$BE$11</f>
        <v>0</v>
      </c>
    </row>
    <row r="196" spans="2:3" hidden="1">
      <c r="B196" s="110">
        <f t="shared" si="0"/>
        <v>2073</v>
      </c>
      <c r="C196" s="111">
        <f>[18]С2.5!$BF$11</f>
        <v>0</v>
      </c>
    </row>
    <row r="197" spans="2:3" hidden="1">
      <c r="B197" s="110">
        <f t="shared" si="0"/>
        <v>2074</v>
      </c>
      <c r="C197" s="111">
        <f>[18]С2.5!$BG$11</f>
        <v>0</v>
      </c>
    </row>
    <row r="198" spans="2:3" hidden="1">
      <c r="B198" s="110">
        <f t="shared" si="0"/>
        <v>2075</v>
      </c>
      <c r="C198" s="111">
        <f>[18]С2.5!$BH$11</f>
        <v>0</v>
      </c>
    </row>
    <row r="199" spans="2:3" hidden="1">
      <c r="B199" s="110">
        <f t="shared" si="0"/>
        <v>2076</v>
      </c>
      <c r="C199" s="111">
        <f>[18]С2.5!$BI$11</f>
        <v>0</v>
      </c>
    </row>
    <row r="200" spans="2:3" hidden="1">
      <c r="B200" s="110">
        <f t="shared" si="0"/>
        <v>2077</v>
      </c>
      <c r="C200" s="111">
        <f>[18]С2.5!$BJ$11</f>
        <v>0</v>
      </c>
    </row>
    <row r="201" spans="2:3" hidden="1">
      <c r="B201" s="110">
        <f t="shared" si="0"/>
        <v>2078</v>
      </c>
      <c r="C201" s="111">
        <f>[18]С2.5!$BK$11</f>
        <v>0</v>
      </c>
    </row>
    <row r="202" spans="2:3" hidden="1">
      <c r="B202" s="110">
        <f t="shared" si="0"/>
        <v>2079</v>
      </c>
      <c r="C202" s="111">
        <f>[18]С2.5!$BL$11</f>
        <v>0</v>
      </c>
    </row>
    <row r="203" spans="2:3" hidden="1">
      <c r="B203" s="110">
        <f t="shared" si="0"/>
        <v>2080</v>
      </c>
      <c r="C203" s="111">
        <f>[18]С2.5!$BM$11</f>
        <v>0</v>
      </c>
    </row>
    <row r="204" spans="2:3" hidden="1">
      <c r="B204" s="110">
        <f t="shared" si="0"/>
        <v>2081</v>
      </c>
      <c r="C204" s="111">
        <f>[18]С2.5!$BN$11</f>
        <v>0</v>
      </c>
    </row>
    <row r="205" spans="2:3" hidden="1">
      <c r="B205" s="110">
        <f t="shared" si="0"/>
        <v>2082</v>
      </c>
      <c r="C205" s="111">
        <f>[18]С2.5!$BO$11</f>
        <v>0</v>
      </c>
    </row>
    <row r="206" spans="2:3" hidden="1">
      <c r="B206" s="110">
        <f t="shared" si="0"/>
        <v>2083</v>
      </c>
      <c r="C206" s="111">
        <f>[18]С2.5!$BP$11</f>
        <v>0</v>
      </c>
    </row>
    <row r="207" spans="2:3" hidden="1">
      <c r="B207" s="110">
        <f t="shared" si="0"/>
        <v>2084</v>
      </c>
      <c r="C207" s="111">
        <f>[18]С2.5!$BQ$11</f>
        <v>0</v>
      </c>
    </row>
    <row r="208" spans="2:3" hidden="1">
      <c r="B208" s="110">
        <f t="shared" si="0"/>
        <v>2085</v>
      </c>
      <c r="C208" s="111">
        <f>[18]С2.5!$BR$11</f>
        <v>0</v>
      </c>
    </row>
    <row r="209" spans="2:3" hidden="1">
      <c r="B209" s="110">
        <f t="shared" ref="B209:B223" si="1">B208+1</f>
        <v>2086</v>
      </c>
      <c r="C209" s="111">
        <f>[18]С2.5!$BS$11</f>
        <v>0</v>
      </c>
    </row>
    <row r="210" spans="2:3" hidden="1">
      <c r="B210" s="110">
        <f t="shared" si="1"/>
        <v>2087</v>
      </c>
      <c r="C210" s="111">
        <f>[18]С2.5!$BT$11</f>
        <v>0</v>
      </c>
    </row>
    <row r="211" spans="2:3" hidden="1">
      <c r="B211" s="110">
        <f t="shared" si="1"/>
        <v>2088</v>
      </c>
      <c r="C211" s="111">
        <f>[18]С2.5!$BU$11</f>
        <v>0</v>
      </c>
    </row>
    <row r="212" spans="2:3" hidden="1">
      <c r="B212" s="110">
        <f t="shared" si="1"/>
        <v>2089</v>
      </c>
      <c r="C212" s="111">
        <f>[18]С2.5!$BV$11</f>
        <v>0</v>
      </c>
    </row>
    <row r="213" spans="2:3" hidden="1">
      <c r="B213" s="110">
        <f t="shared" si="1"/>
        <v>2090</v>
      </c>
      <c r="C213" s="111">
        <f>[18]С2.5!$BW$11</f>
        <v>0</v>
      </c>
    </row>
    <row r="214" spans="2:3" hidden="1">
      <c r="B214" s="110">
        <f t="shared" si="1"/>
        <v>2091</v>
      </c>
      <c r="C214" s="111">
        <f>[18]С2.5!$BX$11</f>
        <v>0</v>
      </c>
    </row>
    <row r="215" spans="2:3" hidden="1">
      <c r="B215" s="110">
        <f t="shared" si="1"/>
        <v>2092</v>
      </c>
      <c r="C215" s="111">
        <f>[18]С2.5!$BY$11</f>
        <v>0</v>
      </c>
    </row>
    <row r="216" spans="2:3" hidden="1">
      <c r="B216" s="110">
        <f t="shared" si="1"/>
        <v>2093</v>
      </c>
      <c r="C216" s="111">
        <f>[18]С2.5!$BZ$11</f>
        <v>0</v>
      </c>
    </row>
    <row r="217" spans="2:3" hidden="1">
      <c r="B217" s="110">
        <f t="shared" si="1"/>
        <v>2094</v>
      </c>
      <c r="C217" s="111">
        <f>[18]С2.5!$CA$11</f>
        <v>0</v>
      </c>
    </row>
    <row r="218" spans="2:3" hidden="1">
      <c r="B218" s="110">
        <f t="shared" si="1"/>
        <v>2095</v>
      </c>
      <c r="C218" s="111">
        <f>[18]С2.5!$CB$11</f>
        <v>0</v>
      </c>
    </row>
    <row r="219" spans="2:3" hidden="1">
      <c r="B219" s="110">
        <f t="shared" si="1"/>
        <v>2096</v>
      </c>
      <c r="C219" s="111">
        <f>[18]С2.5!$CC$11</f>
        <v>0</v>
      </c>
    </row>
    <row r="220" spans="2:3" hidden="1">
      <c r="B220" s="110">
        <f t="shared" si="1"/>
        <v>2097</v>
      </c>
      <c r="C220" s="111">
        <f>[18]С2.5!$CD$11</f>
        <v>0</v>
      </c>
    </row>
    <row r="221" spans="2:3" hidden="1">
      <c r="B221" s="110">
        <f t="shared" si="1"/>
        <v>2098</v>
      </c>
      <c r="C221" s="111">
        <f>[18]С2.5!$CE$11</f>
        <v>0</v>
      </c>
    </row>
    <row r="222" spans="2:3" hidden="1">
      <c r="B222" s="110">
        <f t="shared" si="1"/>
        <v>2099</v>
      </c>
      <c r="C222" s="111">
        <f>[18]С2.5!$CF$11</f>
        <v>0</v>
      </c>
    </row>
    <row r="223" spans="2:3" ht="13.5" hidden="1" thickBot="1">
      <c r="B223" s="112">
        <f t="shared" si="1"/>
        <v>2100</v>
      </c>
      <c r="C223" s="113">
        <f>[18]С2.5!$CG$11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0" width="9.140625" style="2"/>
    <col min="151" max="232" width="0" style="2" hidden="1" customWidth="1"/>
    <col min="233" max="241" width="9.140625" style="2"/>
    <col min="242" max="242" width="3.7109375" style="2" customWidth="1"/>
    <col min="243" max="243" width="96.85546875" style="2" customWidth="1"/>
    <col min="244" max="244" width="30.85546875" style="2" customWidth="1"/>
    <col min="245" max="245" width="12.5703125" style="2" customWidth="1"/>
    <col min="246" max="246" width="5.140625" style="2" customWidth="1"/>
    <col min="247" max="247" width="9.140625" style="2"/>
    <col min="248" max="248" width="4.85546875" style="2" customWidth="1"/>
    <col min="249" max="249" width="30.5703125" style="2" customWidth="1"/>
    <col min="250" max="250" width="33.85546875" style="2" customWidth="1"/>
    <col min="251" max="251" width="5.140625" style="2" customWidth="1"/>
    <col min="252" max="253" width="17.5703125" style="2" customWidth="1"/>
    <col min="254" max="497" width="9.140625" style="2"/>
    <col min="498" max="498" width="3.7109375" style="2" customWidth="1"/>
    <col min="499" max="499" width="96.85546875" style="2" customWidth="1"/>
    <col min="500" max="500" width="30.85546875" style="2" customWidth="1"/>
    <col min="501" max="501" width="12.5703125" style="2" customWidth="1"/>
    <col min="502" max="502" width="5.140625" style="2" customWidth="1"/>
    <col min="503" max="503" width="9.140625" style="2"/>
    <col min="504" max="504" width="4.85546875" style="2" customWidth="1"/>
    <col min="505" max="505" width="30.5703125" style="2" customWidth="1"/>
    <col min="506" max="506" width="33.85546875" style="2" customWidth="1"/>
    <col min="507" max="507" width="5.140625" style="2" customWidth="1"/>
    <col min="508" max="509" width="17.5703125" style="2" customWidth="1"/>
    <col min="510" max="753" width="9.140625" style="2"/>
    <col min="754" max="754" width="3.7109375" style="2" customWidth="1"/>
    <col min="755" max="755" width="96.85546875" style="2" customWidth="1"/>
    <col min="756" max="756" width="30.85546875" style="2" customWidth="1"/>
    <col min="757" max="757" width="12.5703125" style="2" customWidth="1"/>
    <col min="758" max="758" width="5.140625" style="2" customWidth="1"/>
    <col min="759" max="759" width="9.140625" style="2"/>
    <col min="760" max="760" width="4.85546875" style="2" customWidth="1"/>
    <col min="761" max="761" width="30.5703125" style="2" customWidth="1"/>
    <col min="762" max="762" width="33.85546875" style="2" customWidth="1"/>
    <col min="763" max="763" width="5.140625" style="2" customWidth="1"/>
    <col min="764" max="765" width="17.5703125" style="2" customWidth="1"/>
    <col min="766" max="1009" width="9.140625" style="2"/>
    <col min="1010" max="1010" width="3.7109375" style="2" customWidth="1"/>
    <col min="1011" max="1011" width="96.85546875" style="2" customWidth="1"/>
    <col min="1012" max="1012" width="30.85546875" style="2" customWidth="1"/>
    <col min="1013" max="1013" width="12.5703125" style="2" customWidth="1"/>
    <col min="1014" max="1014" width="5.140625" style="2" customWidth="1"/>
    <col min="1015" max="1015" width="9.140625" style="2"/>
    <col min="1016" max="1016" width="4.85546875" style="2" customWidth="1"/>
    <col min="1017" max="1017" width="30.5703125" style="2" customWidth="1"/>
    <col min="1018" max="1018" width="33.85546875" style="2" customWidth="1"/>
    <col min="1019" max="1019" width="5.140625" style="2" customWidth="1"/>
    <col min="1020" max="1021" width="17.5703125" style="2" customWidth="1"/>
    <col min="1022" max="1265" width="9.140625" style="2"/>
    <col min="1266" max="1266" width="3.7109375" style="2" customWidth="1"/>
    <col min="1267" max="1267" width="96.85546875" style="2" customWidth="1"/>
    <col min="1268" max="1268" width="30.85546875" style="2" customWidth="1"/>
    <col min="1269" max="1269" width="12.5703125" style="2" customWidth="1"/>
    <col min="1270" max="1270" width="5.140625" style="2" customWidth="1"/>
    <col min="1271" max="1271" width="9.140625" style="2"/>
    <col min="1272" max="1272" width="4.85546875" style="2" customWidth="1"/>
    <col min="1273" max="1273" width="30.5703125" style="2" customWidth="1"/>
    <col min="1274" max="1274" width="33.85546875" style="2" customWidth="1"/>
    <col min="1275" max="1275" width="5.140625" style="2" customWidth="1"/>
    <col min="1276" max="1277" width="17.5703125" style="2" customWidth="1"/>
    <col min="1278" max="1521" width="9.140625" style="2"/>
    <col min="1522" max="1522" width="3.7109375" style="2" customWidth="1"/>
    <col min="1523" max="1523" width="96.85546875" style="2" customWidth="1"/>
    <col min="1524" max="1524" width="30.85546875" style="2" customWidth="1"/>
    <col min="1525" max="1525" width="12.5703125" style="2" customWidth="1"/>
    <col min="1526" max="1526" width="5.140625" style="2" customWidth="1"/>
    <col min="1527" max="1527" width="9.140625" style="2"/>
    <col min="1528" max="1528" width="4.85546875" style="2" customWidth="1"/>
    <col min="1529" max="1529" width="30.5703125" style="2" customWidth="1"/>
    <col min="1530" max="1530" width="33.85546875" style="2" customWidth="1"/>
    <col min="1531" max="1531" width="5.140625" style="2" customWidth="1"/>
    <col min="1532" max="1533" width="17.5703125" style="2" customWidth="1"/>
    <col min="1534" max="1777" width="9.140625" style="2"/>
    <col min="1778" max="1778" width="3.7109375" style="2" customWidth="1"/>
    <col min="1779" max="1779" width="96.85546875" style="2" customWidth="1"/>
    <col min="1780" max="1780" width="30.85546875" style="2" customWidth="1"/>
    <col min="1781" max="1781" width="12.5703125" style="2" customWidth="1"/>
    <col min="1782" max="1782" width="5.140625" style="2" customWidth="1"/>
    <col min="1783" max="1783" width="9.140625" style="2"/>
    <col min="1784" max="1784" width="4.85546875" style="2" customWidth="1"/>
    <col min="1785" max="1785" width="30.5703125" style="2" customWidth="1"/>
    <col min="1786" max="1786" width="33.85546875" style="2" customWidth="1"/>
    <col min="1787" max="1787" width="5.140625" style="2" customWidth="1"/>
    <col min="1788" max="1789" width="17.5703125" style="2" customWidth="1"/>
    <col min="1790" max="2033" width="9.140625" style="2"/>
    <col min="2034" max="2034" width="3.7109375" style="2" customWidth="1"/>
    <col min="2035" max="2035" width="96.85546875" style="2" customWidth="1"/>
    <col min="2036" max="2036" width="30.85546875" style="2" customWidth="1"/>
    <col min="2037" max="2037" width="12.5703125" style="2" customWidth="1"/>
    <col min="2038" max="2038" width="5.140625" style="2" customWidth="1"/>
    <col min="2039" max="2039" width="9.140625" style="2"/>
    <col min="2040" max="2040" width="4.85546875" style="2" customWidth="1"/>
    <col min="2041" max="2041" width="30.5703125" style="2" customWidth="1"/>
    <col min="2042" max="2042" width="33.85546875" style="2" customWidth="1"/>
    <col min="2043" max="2043" width="5.140625" style="2" customWidth="1"/>
    <col min="2044" max="2045" width="17.5703125" style="2" customWidth="1"/>
    <col min="2046" max="2289" width="9.140625" style="2"/>
    <col min="2290" max="2290" width="3.7109375" style="2" customWidth="1"/>
    <col min="2291" max="2291" width="96.85546875" style="2" customWidth="1"/>
    <col min="2292" max="2292" width="30.85546875" style="2" customWidth="1"/>
    <col min="2293" max="2293" width="12.5703125" style="2" customWidth="1"/>
    <col min="2294" max="2294" width="5.140625" style="2" customWidth="1"/>
    <col min="2295" max="2295" width="9.140625" style="2"/>
    <col min="2296" max="2296" width="4.85546875" style="2" customWidth="1"/>
    <col min="2297" max="2297" width="30.5703125" style="2" customWidth="1"/>
    <col min="2298" max="2298" width="33.85546875" style="2" customWidth="1"/>
    <col min="2299" max="2299" width="5.140625" style="2" customWidth="1"/>
    <col min="2300" max="2301" width="17.5703125" style="2" customWidth="1"/>
    <col min="2302" max="2545" width="9.140625" style="2"/>
    <col min="2546" max="2546" width="3.7109375" style="2" customWidth="1"/>
    <col min="2547" max="2547" width="96.85546875" style="2" customWidth="1"/>
    <col min="2548" max="2548" width="30.85546875" style="2" customWidth="1"/>
    <col min="2549" max="2549" width="12.5703125" style="2" customWidth="1"/>
    <col min="2550" max="2550" width="5.140625" style="2" customWidth="1"/>
    <col min="2551" max="2551" width="9.140625" style="2"/>
    <col min="2552" max="2552" width="4.85546875" style="2" customWidth="1"/>
    <col min="2553" max="2553" width="30.5703125" style="2" customWidth="1"/>
    <col min="2554" max="2554" width="33.85546875" style="2" customWidth="1"/>
    <col min="2555" max="2555" width="5.140625" style="2" customWidth="1"/>
    <col min="2556" max="2557" width="17.5703125" style="2" customWidth="1"/>
    <col min="2558" max="2801" width="9.140625" style="2"/>
    <col min="2802" max="2802" width="3.7109375" style="2" customWidth="1"/>
    <col min="2803" max="2803" width="96.85546875" style="2" customWidth="1"/>
    <col min="2804" max="2804" width="30.85546875" style="2" customWidth="1"/>
    <col min="2805" max="2805" width="12.5703125" style="2" customWidth="1"/>
    <col min="2806" max="2806" width="5.140625" style="2" customWidth="1"/>
    <col min="2807" max="2807" width="9.140625" style="2"/>
    <col min="2808" max="2808" width="4.85546875" style="2" customWidth="1"/>
    <col min="2809" max="2809" width="30.5703125" style="2" customWidth="1"/>
    <col min="2810" max="2810" width="33.85546875" style="2" customWidth="1"/>
    <col min="2811" max="2811" width="5.140625" style="2" customWidth="1"/>
    <col min="2812" max="2813" width="17.5703125" style="2" customWidth="1"/>
    <col min="2814" max="3057" width="9.140625" style="2"/>
    <col min="3058" max="3058" width="3.7109375" style="2" customWidth="1"/>
    <col min="3059" max="3059" width="96.85546875" style="2" customWidth="1"/>
    <col min="3060" max="3060" width="30.85546875" style="2" customWidth="1"/>
    <col min="3061" max="3061" width="12.5703125" style="2" customWidth="1"/>
    <col min="3062" max="3062" width="5.140625" style="2" customWidth="1"/>
    <col min="3063" max="3063" width="9.140625" style="2"/>
    <col min="3064" max="3064" width="4.85546875" style="2" customWidth="1"/>
    <col min="3065" max="3065" width="30.5703125" style="2" customWidth="1"/>
    <col min="3066" max="3066" width="33.85546875" style="2" customWidth="1"/>
    <col min="3067" max="3067" width="5.140625" style="2" customWidth="1"/>
    <col min="3068" max="3069" width="17.5703125" style="2" customWidth="1"/>
    <col min="3070" max="3313" width="9.140625" style="2"/>
    <col min="3314" max="3314" width="3.7109375" style="2" customWidth="1"/>
    <col min="3315" max="3315" width="96.85546875" style="2" customWidth="1"/>
    <col min="3316" max="3316" width="30.85546875" style="2" customWidth="1"/>
    <col min="3317" max="3317" width="12.5703125" style="2" customWidth="1"/>
    <col min="3318" max="3318" width="5.140625" style="2" customWidth="1"/>
    <col min="3319" max="3319" width="9.140625" style="2"/>
    <col min="3320" max="3320" width="4.85546875" style="2" customWidth="1"/>
    <col min="3321" max="3321" width="30.5703125" style="2" customWidth="1"/>
    <col min="3322" max="3322" width="33.85546875" style="2" customWidth="1"/>
    <col min="3323" max="3323" width="5.140625" style="2" customWidth="1"/>
    <col min="3324" max="3325" width="17.5703125" style="2" customWidth="1"/>
    <col min="3326" max="3569" width="9.140625" style="2"/>
    <col min="3570" max="3570" width="3.7109375" style="2" customWidth="1"/>
    <col min="3571" max="3571" width="96.85546875" style="2" customWidth="1"/>
    <col min="3572" max="3572" width="30.85546875" style="2" customWidth="1"/>
    <col min="3573" max="3573" width="12.5703125" style="2" customWidth="1"/>
    <col min="3574" max="3574" width="5.140625" style="2" customWidth="1"/>
    <col min="3575" max="3575" width="9.140625" style="2"/>
    <col min="3576" max="3576" width="4.85546875" style="2" customWidth="1"/>
    <col min="3577" max="3577" width="30.5703125" style="2" customWidth="1"/>
    <col min="3578" max="3578" width="33.85546875" style="2" customWidth="1"/>
    <col min="3579" max="3579" width="5.140625" style="2" customWidth="1"/>
    <col min="3580" max="3581" width="17.5703125" style="2" customWidth="1"/>
    <col min="3582" max="3825" width="9.140625" style="2"/>
    <col min="3826" max="3826" width="3.7109375" style="2" customWidth="1"/>
    <col min="3827" max="3827" width="96.85546875" style="2" customWidth="1"/>
    <col min="3828" max="3828" width="30.85546875" style="2" customWidth="1"/>
    <col min="3829" max="3829" width="12.5703125" style="2" customWidth="1"/>
    <col min="3830" max="3830" width="5.140625" style="2" customWidth="1"/>
    <col min="3831" max="3831" width="9.140625" style="2"/>
    <col min="3832" max="3832" width="4.85546875" style="2" customWidth="1"/>
    <col min="3833" max="3833" width="30.5703125" style="2" customWidth="1"/>
    <col min="3834" max="3834" width="33.85546875" style="2" customWidth="1"/>
    <col min="3835" max="3835" width="5.140625" style="2" customWidth="1"/>
    <col min="3836" max="3837" width="17.5703125" style="2" customWidth="1"/>
    <col min="3838" max="4081" width="9.140625" style="2"/>
    <col min="4082" max="4082" width="3.7109375" style="2" customWidth="1"/>
    <col min="4083" max="4083" width="96.85546875" style="2" customWidth="1"/>
    <col min="4084" max="4084" width="30.85546875" style="2" customWidth="1"/>
    <col min="4085" max="4085" width="12.5703125" style="2" customWidth="1"/>
    <col min="4086" max="4086" width="5.140625" style="2" customWidth="1"/>
    <col min="4087" max="4087" width="9.140625" style="2"/>
    <col min="4088" max="4088" width="4.85546875" style="2" customWidth="1"/>
    <col min="4089" max="4089" width="30.5703125" style="2" customWidth="1"/>
    <col min="4090" max="4090" width="33.85546875" style="2" customWidth="1"/>
    <col min="4091" max="4091" width="5.140625" style="2" customWidth="1"/>
    <col min="4092" max="4093" width="17.5703125" style="2" customWidth="1"/>
    <col min="4094" max="4337" width="9.140625" style="2"/>
    <col min="4338" max="4338" width="3.7109375" style="2" customWidth="1"/>
    <col min="4339" max="4339" width="96.85546875" style="2" customWidth="1"/>
    <col min="4340" max="4340" width="30.85546875" style="2" customWidth="1"/>
    <col min="4341" max="4341" width="12.5703125" style="2" customWidth="1"/>
    <col min="4342" max="4342" width="5.140625" style="2" customWidth="1"/>
    <col min="4343" max="4343" width="9.140625" style="2"/>
    <col min="4344" max="4344" width="4.85546875" style="2" customWidth="1"/>
    <col min="4345" max="4345" width="30.5703125" style="2" customWidth="1"/>
    <col min="4346" max="4346" width="33.85546875" style="2" customWidth="1"/>
    <col min="4347" max="4347" width="5.140625" style="2" customWidth="1"/>
    <col min="4348" max="4349" width="17.5703125" style="2" customWidth="1"/>
    <col min="4350" max="4593" width="9.140625" style="2"/>
    <col min="4594" max="4594" width="3.7109375" style="2" customWidth="1"/>
    <col min="4595" max="4595" width="96.85546875" style="2" customWidth="1"/>
    <col min="4596" max="4596" width="30.85546875" style="2" customWidth="1"/>
    <col min="4597" max="4597" width="12.5703125" style="2" customWidth="1"/>
    <col min="4598" max="4598" width="5.140625" style="2" customWidth="1"/>
    <col min="4599" max="4599" width="9.140625" style="2"/>
    <col min="4600" max="4600" width="4.85546875" style="2" customWidth="1"/>
    <col min="4601" max="4601" width="30.5703125" style="2" customWidth="1"/>
    <col min="4602" max="4602" width="33.85546875" style="2" customWidth="1"/>
    <col min="4603" max="4603" width="5.140625" style="2" customWidth="1"/>
    <col min="4604" max="4605" width="17.5703125" style="2" customWidth="1"/>
    <col min="4606" max="4849" width="9.140625" style="2"/>
    <col min="4850" max="4850" width="3.7109375" style="2" customWidth="1"/>
    <col min="4851" max="4851" width="96.85546875" style="2" customWidth="1"/>
    <col min="4852" max="4852" width="30.85546875" style="2" customWidth="1"/>
    <col min="4853" max="4853" width="12.5703125" style="2" customWidth="1"/>
    <col min="4854" max="4854" width="5.140625" style="2" customWidth="1"/>
    <col min="4855" max="4855" width="9.140625" style="2"/>
    <col min="4856" max="4856" width="4.85546875" style="2" customWidth="1"/>
    <col min="4857" max="4857" width="30.5703125" style="2" customWidth="1"/>
    <col min="4858" max="4858" width="33.85546875" style="2" customWidth="1"/>
    <col min="4859" max="4859" width="5.140625" style="2" customWidth="1"/>
    <col min="4860" max="4861" width="17.5703125" style="2" customWidth="1"/>
    <col min="4862" max="5105" width="9.140625" style="2"/>
    <col min="5106" max="5106" width="3.7109375" style="2" customWidth="1"/>
    <col min="5107" max="5107" width="96.85546875" style="2" customWidth="1"/>
    <col min="5108" max="5108" width="30.85546875" style="2" customWidth="1"/>
    <col min="5109" max="5109" width="12.5703125" style="2" customWidth="1"/>
    <col min="5110" max="5110" width="5.140625" style="2" customWidth="1"/>
    <col min="5111" max="5111" width="9.140625" style="2"/>
    <col min="5112" max="5112" width="4.85546875" style="2" customWidth="1"/>
    <col min="5113" max="5113" width="30.5703125" style="2" customWidth="1"/>
    <col min="5114" max="5114" width="33.85546875" style="2" customWidth="1"/>
    <col min="5115" max="5115" width="5.140625" style="2" customWidth="1"/>
    <col min="5116" max="5117" width="17.5703125" style="2" customWidth="1"/>
    <col min="5118" max="5361" width="9.140625" style="2"/>
    <col min="5362" max="5362" width="3.7109375" style="2" customWidth="1"/>
    <col min="5363" max="5363" width="96.85546875" style="2" customWidth="1"/>
    <col min="5364" max="5364" width="30.85546875" style="2" customWidth="1"/>
    <col min="5365" max="5365" width="12.5703125" style="2" customWidth="1"/>
    <col min="5366" max="5366" width="5.140625" style="2" customWidth="1"/>
    <col min="5367" max="5367" width="9.140625" style="2"/>
    <col min="5368" max="5368" width="4.85546875" style="2" customWidth="1"/>
    <col min="5369" max="5369" width="30.5703125" style="2" customWidth="1"/>
    <col min="5370" max="5370" width="33.85546875" style="2" customWidth="1"/>
    <col min="5371" max="5371" width="5.140625" style="2" customWidth="1"/>
    <col min="5372" max="5373" width="17.5703125" style="2" customWidth="1"/>
    <col min="5374" max="5617" width="9.140625" style="2"/>
    <col min="5618" max="5618" width="3.7109375" style="2" customWidth="1"/>
    <col min="5619" max="5619" width="96.85546875" style="2" customWidth="1"/>
    <col min="5620" max="5620" width="30.85546875" style="2" customWidth="1"/>
    <col min="5621" max="5621" width="12.5703125" style="2" customWidth="1"/>
    <col min="5622" max="5622" width="5.140625" style="2" customWidth="1"/>
    <col min="5623" max="5623" width="9.140625" style="2"/>
    <col min="5624" max="5624" width="4.85546875" style="2" customWidth="1"/>
    <col min="5625" max="5625" width="30.5703125" style="2" customWidth="1"/>
    <col min="5626" max="5626" width="33.85546875" style="2" customWidth="1"/>
    <col min="5627" max="5627" width="5.140625" style="2" customWidth="1"/>
    <col min="5628" max="5629" width="17.5703125" style="2" customWidth="1"/>
    <col min="5630" max="5873" width="9.140625" style="2"/>
    <col min="5874" max="5874" width="3.7109375" style="2" customWidth="1"/>
    <col min="5875" max="5875" width="96.85546875" style="2" customWidth="1"/>
    <col min="5876" max="5876" width="30.85546875" style="2" customWidth="1"/>
    <col min="5877" max="5877" width="12.5703125" style="2" customWidth="1"/>
    <col min="5878" max="5878" width="5.140625" style="2" customWidth="1"/>
    <col min="5879" max="5879" width="9.140625" style="2"/>
    <col min="5880" max="5880" width="4.85546875" style="2" customWidth="1"/>
    <col min="5881" max="5881" width="30.5703125" style="2" customWidth="1"/>
    <col min="5882" max="5882" width="33.85546875" style="2" customWidth="1"/>
    <col min="5883" max="5883" width="5.140625" style="2" customWidth="1"/>
    <col min="5884" max="5885" width="17.5703125" style="2" customWidth="1"/>
    <col min="5886" max="6129" width="9.140625" style="2"/>
    <col min="6130" max="6130" width="3.7109375" style="2" customWidth="1"/>
    <col min="6131" max="6131" width="96.85546875" style="2" customWidth="1"/>
    <col min="6132" max="6132" width="30.85546875" style="2" customWidth="1"/>
    <col min="6133" max="6133" width="12.5703125" style="2" customWidth="1"/>
    <col min="6134" max="6134" width="5.140625" style="2" customWidth="1"/>
    <col min="6135" max="6135" width="9.140625" style="2"/>
    <col min="6136" max="6136" width="4.85546875" style="2" customWidth="1"/>
    <col min="6137" max="6137" width="30.5703125" style="2" customWidth="1"/>
    <col min="6138" max="6138" width="33.85546875" style="2" customWidth="1"/>
    <col min="6139" max="6139" width="5.140625" style="2" customWidth="1"/>
    <col min="6140" max="6141" width="17.5703125" style="2" customWidth="1"/>
    <col min="6142" max="6385" width="9.140625" style="2"/>
    <col min="6386" max="6386" width="3.7109375" style="2" customWidth="1"/>
    <col min="6387" max="6387" width="96.85546875" style="2" customWidth="1"/>
    <col min="6388" max="6388" width="30.85546875" style="2" customWidth="1"/>
    <col min="6389" max="6389" width="12.5703125" style="2" customWidth="1"/>
    <col min="6390" max="6390" width="5.140625" style="2" customWidth="1"/>
    <col min="6391" max="6391" width="9.140625" style="2"/>
    <col min="6392" max="6392" width="4.85546875" style="2" customWidth="1"/>
    <col min="6393" max="6393" width="30.5703125" style="2" customWidth="1"/>
    <col min="6394" max="6394" width="33.85546875" style="2" customWidth="1"/>
    <col min="6395" max="6395" width="5.140625" style="2" customWidth="1"/>
    <col min="6396" max="6397" width="17.5703125" style="2" customWidth="1"/>
    <col min="6398" max="6641" width="9.140625" style="2"/>
    <col min="6642" max="6642" width="3.7109375" style="2" customWidth="1"/>
    <col min="6643" max="6643" width="96.85546875" style="2" customWidth="1"/>
    <col min="6644" max="6644" width="30.85546875" style="2" customWidth="1"/>
    <col min="6645" max="6645" width="12.5703125" style="2" customWidth="1"/>
    <col min="6646" max="6646" width="5.140625" style="2" customWidth="1"/>
    <col min="6647" max="6647" width="9.140625" style="2"/>
    <col min="6648" max="6648" width="4.85546875" style="2" customWidth="1"/>
    <col min="6649" max="6649" width="30.5703125" style="2" customWidth="1"/>
    <col min="6650" max="6650" width="33.85546875" style="2" customWidth="1"/>
    <col min="6651" max="6651" width="5.140625" style="2" customWidth="1"/>
    <col min="6652" max="6653" width="17.5703125" style="2" customWidth="1"/>
    <col min="6654" max="6897" width="9.140625" style="2"/>
    <col min="6898" max="6898" width="3.7109375" style="2" customWidth="1"/>
    <col min="6899" max="6899" width="96.85546875" style="2" customWidth="1"/>
    <col min="6900" max="6900" width="30.85546875" style="2" customWidth="1"/>
    <col min="6901" max="6901" width="12.5703125" style="2" customWidth="1"/>
    <col min="6902" max="6902" width="5.140625" style="2" customWidth="1"/>
    <col min="6903" max="6903" width="9.140625" style="2"/>
    <col min="6904" max="6904" width="4.85546875" style="2" customWidth="1"/>
    <col min="6905" max="6905" width="30.5703125" style="2" customWidth="1"/>
    <col min="6906" max="6906" width="33.85546875" style="2" customWidth="1"/>
    <col min="6907" max="6907" width="5.140625" style="2" customWidth="1"/>
    <col min="6908" max="6909" width="17.5703125" style="2" customWidth="1"/>
    <col min="6910" max="7153" width="9.140625" style="2"/>
    <col min="7154" max="7154" width="3.7109375" style="2" customWidth="1"/>
    <col min="7155" max="7155" width="96.85546875" style="2" customWidth="1"/>
    <col min="7156" max="7156" width="30.85546875" style="2" customWidth="1"/>
    <col min="7157" max="7157" width="12.5703125" style="2" customWidth="1"/>
    <col min="7158" max="7158" width="5.140625" style="2" customWidth="1"/>
    <col min="7159" max="7159" width="9.140625" style="2"/>
    <col min="7160" max="7160" width="4.85546875" style="2" customWidth="1"/>
    <col min="7161" max="7161" width="30.5703125" style="2" customWidth="1"/>
    <col min="7162" max="7162" width="33.85546875" style="2" customWidth="1"/>
    <col min="7163" max="7163" width="5.140625" style="2" customWidth="1"/>
    <col min="7164" max="7165" width="17.5703125" style="2" customWidth="1"/>
    <col min="7166" max="7409" width="9.140625" style="2"/>
    <col min="7410" max="7410" width="3.7109375" style="2" customWidth="1"/>
    <col min="7411" max="7411" width="96.85546875" style="2" customWidth="1"/>
    <col min="7412" max="7412" width="30.85546875" style="2" customWidth="1"/>
    <col min="7413" max="7413" width="12.5703125" style="2" customWidth="1"/>
    <col min="7414" max="7414" width="5.140625" style="2" customWidth="1"/>
    <col min="7415" max="7415" width="9.140625" style="2"/>
    <col min="7416" max="7416" width="4.85546875" style="2" customWidth="1"/>
    <col min="7417" max="7417" width="30.5703125" style="2" customWidth="1"/>
    <col min="7418" max="7418" width="33.85546875" style="2" customWidth="1"/>
    <col min="7419" max="7419" width="5.140625" style="2" customWidth="1"/>
    <col min="7420" max="7421" width="17.5703125" style="2" customWidth="1"/>
    <col min="7422" max="7665" width="9.140625" style="2"/>
    <col min="7666" max="7666" width="3.7109375" style="2" customWidth="1"/>
    <col min="7667" max="7667" width="96.85546875" style="2" customWidth="1"/>
    <col min="7668" max="7668" width="30.85546875" style="2" customWidth="1"/>
    <col min="7669" max="7669" width="12.5703125" style="2" customWidth="1"/>
    <col min="7670" max="7670" width="5.140625" style="2" customWidth="1"/>
    <col min="7671" max="7671" width="9.140625" style="2"/>
    <col min="7672" max="7672" width="4.85546875" style="2" customWidth="1"/>
    <col min="7673" max="7673" width="30.5703125" style="2" customWidth="1"/>
    <col min="7674" max="7674" width="33.85546875" style="2" customWidth="1"/>
    <col min="7675" max="7675" width="5.140625" style="2" customWidth="1"/>
    <col min="7676" max="7677" width="17.5703125" style="2" customWidth="1"/>
    <col min="7678" max="7921" width="9.140625" style="2"/>
    <col min="7922" max="7922" width="3.7109375" style="2" customWidth="1"/>
    <col min="7923" max="7923" width="96.85546875" style="2" customWidth="1"/>
    <col min="7924" max="7924" width="30.85546875" style="2" customWidth="1"/>
    <col min="7925" max="7925" width="12.5703125" style="2" customWidth="1"/>
    <col min="7926" max="7926" width="5.140625" style="2" customWidth="1"/>
    <col min="7927" max="7927" width="9.140625" style="2"/>
    <col min="7928" max="7928" width="4.85546875" style="2" customWidth="1"/>
    <col min="7929" max="7929" width="30.5703125" style="2" customWidth="1"/>
    <col min="7930" max="7930" width="33.85546875" style="2" customWidth="1"/>
    <col min="7931" max="7931" width="5.140625" style="2" customWidth="1"/>
    <col min="7932" max="7933" width="17.5703125" style="2" customWidth="1"/>
    <col min="7934" max="8177" width="9.140625" style="2"/>
    <col min="8178" max="8178" width="3.7109375" style="2" customWidth="1"/>
    <col min="8179" max="8179" width="96.85546875" style="2" customWidth="1"/>
    <col min="8180" max="8180" width="30.85546875" style="2" customWidth="1"/>
    <col min="8181" max="8181" width="12.5703125" style="2" customWidth="1"/>
    <col min="8182" max="8182" width="5.140625" style="2" customWidth="1"/>
    <col min="8183" max="8183" width="9.140625" style="2"/>
    <col min="8184" max="8184" width="4.85546875" style="2" customWidth="1"/>
    <col min="8185" max="8185" width="30.5703125" style="2" customWidth="1"/>
    <col min="8186" max="8186" width="33.85546875" style="2" customWidth="1"/>
    <col min="8187" max="8187" width="5.140625" style="2" customWidth="1"/>
    <col min="8188" max="8189" width="17.5703125" style="2" customWidth="1"/>
    <col min="8190" max="8433" width="9.140625" style="2"/>
    <col min="8434" max="8434" width="3.7109375" style="2" customWidth="1"/>
    <col min="8435" max="8435" width="96.85546875" style="2" customWidth="1"/>
    <col min="8436" max="8436" width="30.85546875" style="2" customWidth="1"/>
    <col min="8437" max="8437" width="12.5703125" style="2" customWidth="1"/>
    <col min="8438" max="8438" width="5.140625" style="2" customWidth="1"/>
    <col min="8439" max="8439" width="9.140625" style="2"/>
    <col min="8440" max="8440" width="4.85546875" style="2" customWidth="1"/>
    <col min="8441" max="8441" width="30.5703125" style="2" customWidth="1"/>
    <col min="8442" max="8442" width="33.85546875" style="2" customWidth="1"/>
    <col min="8443" max="8443" width="5.140625" style="2" customWidth="1"/>
    <col min="8444" max="8445" width="17.5703125" style="2" customWidth="1"/>
    <col min="8446" max="8689" width="9.140625" style="2"/>
    <col min="8690" max="8690" width="3.7109375" style="2" customWidth="1"/>
    <col min="8691" max="8691" width="96.85546875" style="2" customWidth="1"/>
    <col min="8692" max="8692" width="30.85546875" style="2" customWidth="1"/>
    <col min="8693" max="8693" width="12.5703125" style="2" customWidth="1"/>
    <col min="8694" max="8694" width="5.140625" style="2" customWidth="1"/>
    <col min="8695" max="8695" width="9.140625" style="2"/>
    <col min="8696" max="8696" width="4.85546875" style="2" customWidth="1"/>
    <col min="8697" max="8697" width="30.5703125" style="2" customWidth="1"/>
    <col min="8698" max="8698" width="33.85546875" style="2" customWidth="1"/>
    <col min="8699" max="8699" width="5.140625" style="2" customWidth="1"/>
    <col min="8700" max="8701" width="17.5703125" style="2" customWidth="1"/>
    <col min="8702" max="8945" width="9.140625" style="2"/>
    <col min="8946" max="8946" width="3.7109375" style="2" customWidth="1"/>
    <col min="8947" max="8947" width="96.85546875" style="2" customWidth="1"/>
    <col min="8948" max="8948" width="30.85546875" style="2" customWidth="1"/>
    <col min="8949" max="8949" width="12.5703125" style="2" customWidth="1"/>
    <col min="8950" max="8950" width="5.140625" style="2" customWidth="1"/>
    <col min="8951" max="8951" width="9.140625" style="2"/>
    <col min="8952" max="8952" width="4.85546875" style="2" customWidth="1"/>
    <col min="8953" max="8953" width="30.5703125" style="2" customWidth="1"/>
    <col min="8954" max="8954" width="33.85546875" style="2" customWidth="1"/>
    <col min="8955" max="8955" width="5.140625" style="2" customWidth="1"/>
    <col min="8956" max="8957" width="17.5703125" style="2" customWidth="1"/>
    <col min="8958" max="9201" width="9.140625" style="2"/>
    <col min="9202" max="9202" width="3.7109375" style="2" customWidth="1"/>
    <col min="9203" max="9203" width="96.85546875" style="2" customWidth="1"/>
    <col min="9204" max="9204" width="30.85546875" style="2" customWidth="1"/>
    <col min="9205" max="9205" width="12.5703125" style="2" customWidth="1"/>
    <col min="9206" max="9206" width="5.140625" style="2" customWidth="1"/>
    <col min="9207" max="9207" width="9.140625" style="2"/>
    <col min="9208" max="9208" width="4.85546875" style="2" customWidth="1"/>
    <col min="9209" max="9209" width="30.5703125" style="2" customWidth="1"/>
    <col min="9210" max="9210" width="33.85546875" style="2" customWidth="1"/>
    <col min="9211" max="9211" width="5.140625" style="2" customWidth="1"/>
    <col min="9212" max="9213" width="17.5703125" style="2" customWidth="1"/>
    <col min="9214" max="9457" width="9.140625" style="2"/>
    <col min="9458" max="9458" width="3.7109375" style="2" customWidth="1"/>
    <col min="9459" max="9459" width="96.85546875" style="2" customWidth="1"/>
    <col min="9460" max="9460" width="30.85546875" style="2" customWidth="1"/>
    <col min="9461" max="9461" width="12.5703125" style="2" customWidth="1"/>
    <col min="9462" max="9462" width="5.140625" style="2" customWidth="1"/>
    <col min="9463" max="9463" width="9.140625" style="2"/>
    <col min="9464" max="9464" width="4.85546875" style="2" customWidth="1"/>
    <col min="9465" max="9465" width="30.5703125" style="2" customWidth="1"/>
    <col min="9466" max="9466" width="33.85546875" style="2" customWidth="1"/>
    <col min="9467" max="9467" width="5.140625" style="2" customWidth="1"/>
    <col min="9468" max="9469" width="17.5703125" style="2" customWidth="1"/>
    <col min="9470" max="9713" width="9.140625" style="2"/>
    <col min="9714" max="9714" width="3.7109375" style="2" customWidth="1"/>
    <col min="9715" max="9715" width="96.85546875" style="2" customWidth="1"/>
    <col min="9716" max="9716" width="30.85546875" style="2" customWidth="1"/>
    <col min="9717" max="9717" width="12.5703125" style="2" customWidth="1"/>
    <col min="9718" max="9718" width="5.140625" style="2" customWidth="1"/>
    <col min="9719" max="9719" width="9.140625" style="2"/>
    <col min="9720" max="9720" width="4.85546875" style="2" customWidth="1"/>
    <col min="9721" max="9721" width="30.5703125" style="2" customWidth="1"/>
    <col min="9722" max="9722" width="33.85546875" style="2" customWidth="1"/>
    <col min="9723" max="9723" width="5.140625" style="2" customWidth="1"/>
    <col min="9724" max="9725" width="17.5703125" style="2" customWidth="1"/>
    <col min="9726" max="9969" width="9.140625" style="2"/>
    <col min="9970" max="9970" width="3.7109375" style="2" customWidth="1"/>
    <col min="9971" max="9971" width="96.85546875" style="2" customWidth="1"/>
    <col min="9972" max="9972" width="30.85546875" style="2" customWidth="1"/>
    <col min="9973" max="9973" width="12.5703125" style="2" customWidth="1"/>
    <col min="9974" max="9974" width="5.140625" style="2" customWidth="1"/>
    <col min="9975" max="9975" width="9.140625" style="2"/>
    <col min="9976" max="9976" width="4.85546875" style="2" customWidth="1"/>
    <col min="9977" max="9977" width="30.5703125" style="2" customWidth="1"/>
    <col min="9978" max="9978" width="33.85546875" style="2" customWidth="1"/>
    <col min="9979" max="9979" width="5.140625" style="2" customWidth="1"/>
    <col min="9980" max="9981" width="17.5703125" style="2" customWidth="1"/>
    <col min="9982" max="10225" width="9.140625" style="2"/>
    <col min="10226" max="10226" width="3.7109375" style="2" customWidth="1"/>
    <col min="10227" max="10227" width="96.85546875" style="2" customWidth="1"/>
    <col min="10228" max="10228" width="30.85546875" style="2" customWidth="1"/>
    <col min="10229" max="10229" width="12.5703125" style="2" customWidth="1"/>
    <col min="10230" max="10230" width="5.140625" style="2" customWidth="1"/>
    <col min="10231" max="10231" width="9.140625" style="2"/>
    <col min="10232" max="10232" width="4.85546875" style="2" customWidth="1"/>
    <col min="10233" max="10233" width="30.5703125" style="2" customWidth="1"/>
    <col min="10234" max="10234" width="33.85546875" style="2" customWidth="1"/>
    <col min="10235" max="10235" width="5.140625" style="2" customWidth="1"/>
    <col min="10236" max="10237" width="17.5703125" style="2" customWidth="1"/>
    <col min="10238" max="10481" width="9.140625" style="2"/>
    <col min="10482" max="10482" width="3.7109375" style="2" customWidth="1"/>
    <col min="10483" max="10483" width="96.85546875" style="2" customWidth="1"/>
    <col min="10484" max="10484" width="30.85546875" style="2" customWidth="1"/>
    <col min="10485" max="10485" width="12.5703125" style="2" customWidth="1"/>
    <col min="10486" max="10486" width="5.140625" style="2" customWidth="1"/>
    <col min="10487" max="10487" width="9.140625" style="2"/>
    <col min="10488" max="10488" width="4.85546875" style="2" customWidth="1"/>
    <col min="10489" max="10489" width="30.5703125" style="2" customWidth="1"/>
    <col min="10490" max="10490" width="33.85546875" style="2" customWidth="1"/>
    <col min="10491" max="10491" width="5.140625" style="2" customWidth="1"/>
    <col min="10492" max="10493" width="17.5703125" style="2" customWidth="1"/>
    <col min="10494" max="10737" width="9.140625" style="2"/>
    <col min="10738" max="10738" width="3.7109375" style="2" customWidth="1"/>
    <col min="10739" max="10739" width="96.85546875" style="2" customWidth="1"/>
    <col min="10740" max="10740" width="30.85546875" style="2" customWidth="1"/>
    <col min="10741" max="10741" width="12.5703125" style="2" customWidth="1"/>
    <col min="10742" max="10742" width="5.140625" style="2" customWidth="1"/>
    <col min="10743" max="10743" width="9.140625" style="2"/>
    <col min="10744" max="10744" width="4.85546875" style="2" customWidth="1"/>
    <col min="10745" max="10745" width="30.5703125" style="2" customWidth="1"/>
    <col min="10746" max="10746" width="33.85546875" style="2" customWidth="1"/>
    <col min="10747" max="10747" width="5.140625" style="2" customWidth="1"/>
    <col min="10748" max="10749" width="17.5703125" style="2" customWidth="1"/>
    <col min="10750" max="10993" width="9.140625" style="2"/>
    <col min="10994" max="10994" width="3.7109375" style="2" customWidth="1"/>
    <col min="10995" max="10995" width="96.85546875" style="2" customWidth="1"/>
    <col min="10996" max="10996" width="30.85546875" style="2" customWidth="1"/>
    <col min="10997" max="10997" width="12.5703125" style="2" customWidth="1"/>
    <col min="10998" max="10998" width="5.140625" style="2" customWidth="1"/>
    <col min="10999" max="10999" width="9.140625" style="2"/>
    <col min="11000" max="11000" width="4.85546875" style="2" customWidth="1"/>
    <col min="11001" max="11001" width="30.5703125" style="2" customWidth="1"/>
    <col min="11002" max="11002" width="33.85546875" style="2" customWidth="1"/>
    <col min="11003" max="11003" width="5.140625" style="2" customWidth="1"/>
    <col min="11004" max="11005" width="17.5703125" style="2" customWidth="1"/>
    <col min="11006" max="11249" width="9.140625" style="2"/>
    <col min="11250" max="11250" width="3.7109375" style="2" customWidth="1"/>
    <col min="11251" max="11251" width="96.85546875" style="2" customWidth="1"/>
    <col min="11252" max="11252" width="30.85546875" style="2" customWidth="1"/>
    <col min="11253" max="11253" width="12.5703125" style="2" customWidth="1"/>
    <col min="11254" max="11254" width="5.140625" style="2" customWidth="1"/>
    <col min="11255" max="11255" width="9.140625" style="2"/>
    <col min="11256" max="11256" width="4.85546875" style="2" customWidth="1"/>
    <col min="11257" max="11257" width="30.5703125" style="2" customWidth="1"/>
    <col min="11258" max="11258" width="33.85546875" style="2" customWidth="1"/>
    <col min="11259" max="11259" width="5.140625" style="2" customWidth="1"/>
    <col min="11260" max="11261" width="17.5703125" style="2" customWidth="1"/>
    <col min="11262" max="11505" width="9.140625" style="2"/>
    <col min="11506" max="11506" width="3.7109375" style="2" customWidth="1"/>
    <col min="11507" max="11507" width="96.85546875" style="2" customWidth="1"/>
    <col min="11508" max="11508" width="30.85546875" style="2" customWidth="1"/>
    <col min="11509" max="11509" width="12.5703125" style="2" customWidth="1"/>
    <col min="11510" max="11510" width="5.140625" style="2" customWidth="1"/>
    <col min="11511" max="11511" width="9.140625" style="2"/>
    <col min="11512" max="11512" width="4.85546875" style="2" customWidth="1"/>
    <col min="11513" max="11513" width="30.5703125" style="2" customWidth="1"/>
    <col min="11514" max="11514" width="33.85546875" style="2" customWidth="1"/>
    <col min="11515" max="11515" width="5.140625" style="2" customWidth="1"/>
    <col min="11516" max="11517" width="17.5703125" style="2" customWidth="1"/>
    <col min="11518" max="11761" width="9.140625" style="2"/>
    <col min="11762" max="11762" width="3.7109375" style="2" customWidth="1"/>
    <col min="11763" max="11763" width="96.85546875" style="2" customWidth="1"/>
    <col min="11764" max="11764" width="30.85546875" style="2" customWidth="1"/>
    <col min="11765" max="11765" width="12.5703125" style="2" customWidth="1"/>
    <col min="11766" max="11766" width="5.140625" style="2" customWidth="1"/>
    <col min="11767" max="11767" width="9.140625" style="2"/>
    <col min="11768" max="11768" width="4.85546875" style="2" customWidth="1"/>
    <col min="11769" max="11769" width="30.5703125" style="2" customWidth="1"/>
    <col min="11770" max="11770" width="33.85546875" style="2" customWidth="1"/>
    <col min="11771" max="11771" width="5.140625" style="2" customWidth="1"/>
    <col min="11772" max="11773" width="17.5703125" style="2" customWidth="1"/>
    <col min="11774" max="12017" width="9.140625" style="2"/>
    <col min="12018" max="12018" width="3.7109375" style="2" customWidth="1"/>
    <col min="12019" max="12019" width="96.85546875" style="2" customWidth="1"/>
    <col min="12020" max="12020" width="30.85546875" style="2" customWidth="1"/>
    <col min="12021" max="12021" width="12.5703125" style="2" customWidth="1"/>
    <col min="12022" max="12022" width="5.140625" style="2" customWidth="1"/>
    <col min="12023" max="12023" width="9.140625" style="2"/>
    <col min="12024" max="12024" width="4.85546875" style="2" customWidth="1"/>
    <col min="12025" max="12025" width="30.5703125" style="2" customWidth="1"/>
    <col min="12026" max="12026" width="33.85546875" style="2" customWidth="1"/>
    <col min="12027" max="12027" width="5.140625" style="2" customWidth="1"/>
    <col min="12028" max="12029" width="17.5703125" style="2" customWidth="1"/>
    <col min="12030" max="12273" width="9.140625" style="2"/>
    <col min="12274" max="12274" width="3.7109375" style="2" customWidth="1"/>
    <col min="12275" max="12275" width="96.85546875" style="2" customWidth="1"/>
    <col min="12276" max="12276" width="30.85546875" style="2" customWidth="1"/>
    <col min="12277" max="12277" width="12.5703125" style="2" customWidth="1"/>
    <col min="12278" max="12278" width="5.140625" style="2" customWidth="1"/>
    <col min="12279" max="12279" width="9.140625" style="2"/>
    <col min="12280" max="12280" width="4.85546875" style="2" customWidth="1"/>
    <col min="12281" max="12281" width="30.5703125" style="2" customWidth="1"/>
    <col min="12282" max="12282" width="33.85546875" style="2" customWidth="1"/>
    <col min="12283" max="12283" width="5.140625" style="2" customWidth="1"/>
    <col min="12284" max="12285" width="17.5703125" style="2" customWidth="1"/>
    <col min="12286" max="12529" width="9.140625" style="2"/>
    <col min="12530" max="12530" width="3.7109375" style="2" customWidth="1"/>
    <col min="12531" max="12531" width="96.85546875" style="2" customWidth="1"/>
    <col min="12532" max="12532" width="30.85546875" style="2" customWidth="1"/>
    <col min="12533" max="12533" width="12.5703125" style="2" customWidth="1"/>
    <col min="12534" max="12534" width="5.140625" style="2" customWidth="1"/>
    <col min="12535" max="12535" width="9.140625" style="2"/>
    <col min="12536" max="12536" width="4.85546875" style="2" customWidth="1"/>
    <col min="12537" max="12537" width="30.5703125" style="2" customWidth="1"/>
    <col min="12538" max="12538" width="33.85546875" style="2" customWidth="1"/>
    <col min="12539" max="12539" width="5.140625" style="2" customWidth="1"/>
    <col min="12540" max="12541" width="17.5703125" style="2" customWidth="1"/>
    <col min="12542" max="12785" width="9.140625" style="2"/>
    <col min="12786" max="12786" width="3.7109375" style="2" customWidth="1"/>
    <col min="12787" max="12787" width="96.85546875" style="2" customWidth="1"/>
    <col min="12788" max="12788" width="30.85546875" style="2" customWidth="1"/>
    <col min="12789" max="12789" width="12.5703125" style="2" customWidth="1"/>
    <col min="12790" max="12790" width="5.140625" style="2" customWidth="1"/>
    <col min="12791" max="12791" width="9.140625" style="2"/>
    <col min="12792" max="12792" width="4.85546875" style="2" customWidth="1"/>
    <col min="12793" max="12793" width="30.5703125" style="2" customWidth="1"/>
    <col min="12794" max="12794" width="33.85546875" style="2" customWidth="1"/>
    <col min="12795" max="12795" width="5.140625" style="2" customWidth="1"/>
    <col min="12796" max="12797" width="17.5703125" style="2" customWidth="1"/>
    <col min="12798" max="13041" width="9.140625" style="2"/>
    <col min="13042" max="13042" width="3.7109375" style="2" customWidth="1"/>
    <col min="13043" max="13043" width="96.85546875" style="2" customWidth="1"/>
    <col min="13044" max="13044" width="30.85546875" style="2" customWidth="1"/>
    <col min="13045" max="13045" width="12.5703125" style="2" customWidth="1"/>
    <col min="13046" max="13046" width="5.140625" style="2" customWidth="1"/>
    <col min="13047" max="13047" width="9.140625" style="2"/>
    <col min="13048" max="13048" width="4.85546875" style="2" customWidth="1"/>
    <col min="13049" max="13049" width="30.5703125" style="2" customWidth="1"/>
    <col min="13050" max="13050" width="33.85546875" style="2" customWidth="1"/>
    <col min="13051" max="13051" width="5.140625" style="2" customWidth="1"/>
    <col min="13052" max="13053" width="17.5703125" style="2" customWidth="1"/>
    <col min="13054" max="13297" width="9.140625" style="2"/>
    <col min="13298" max="13298" width="3.7109375" style="2" customWidth="1"/>
    <col min="13299" max="13299" width="96.85546875" style="2" customWidth="1"/>
    <col min="13300" max="13300" width="30.85546875" style="2" customWidth="1"/>
    <col min="13301" max="13301" width="12.5703125" style="2" customWidth="1"/>
    <col min="13302" max="13302" width="5.140625" style="2" customWidth="1"/>
    <col min="13303" max="13303" width="9.140625" style="2"/>
    <col min="13304" max="13304" width="4.85546875" style="2" customWidth="1"/>
    <col min="13305" max="13305" width="30.5703125" style="2" customWidth="1"/>
    <col min="13306" max="13306" width="33.85546875" style="2" customWidth="1"/>
    <col min="13307" max="13307" width="5.140625" style="2" customWidth="1"/>
    <col min="13308" max="13309" width="17.5703125" style="2" customWidth="1"/>
    <col min="13310" max="13553" width="9.140625" style="2"/>
    <col min="13554" max="13554" width="3.7109375" style="2" customWidth="1"/>
    <col min="13555" max="13555" width="96.85546875" style="2" customWidth="1"/>
    <col min="13556" max="13556" width="30.85546875" style="2" customWidth="1"/>
    <col min="13557" max="13557" width="12.5703125" style="2" customWidth="1"/>
    <col min="13558" max="13558" width="5.140625" style="2" customWidth="1"/>
    <col min="13559" max="13559" width="9.140625" style="2"/>
    <col min="13560" max="13560" width="4.85546875" style="2" customWidth="1"/>
    <col min="13561" max="13561" width="30.5703125" style="2" customWidth="1"/>
    <col min="13562" max="13562" width="33.85546875" style="2" customWidth="1"/>
    <col min="13563" max="13563" width="5.140625" style="2" customWidth="1"/>
    <col min="13564" max="13565" width="17.5703125" style="2" customWidth="1"/>
    <col min="13566" max="13809" width="9.140625" style="2"/>
    <col min="13810" max="13810" width="3.7109375" style="2" customWidth="1"/>
    <col min="13811" max="13811" width="96.85546875" style="2" customWidth="1"/>
    <col min="13812" max="13812" width="30.85546875" style="2" customWidth="1"/>
    <col min="13813" max="13813" width="12.5703125" style="2" customWidth="1"/>
    <col min="13814" max="13814" width="5.140625" style="2" customWidth="1"/>
    <col min="13815" max="13815" width="9.140625" style="2"/>
    <col min="13816" max="13816" width="4.85546875" style="2" customWidth="1"/>
    <col min="13817" max="13817" width="30.5703125" style="2" customWidth="1"/>
    <col min="13818" max="13818" width="33.85546875" style="2" customWidth="1"/>
    <col min="13819" max="13819" width="5.140625" style="2" customWidth="1"/>
    <col min="13820" max="13821" width="17.5703125" style="2" customWidth="1"/>
    <col min="13822" max="14065" width="9.140625" style="2"/>
    <col min="14066" max="14066" width="3.7109375" style="2" customWidth="1"/>
    <col min="14067" max="14067" width="96.85546875" style="2" customWidth="1"/>
    <col min="14068" max="14068" width="30.85546875" style="2" customWidth="1"/>
    <col min="14069" max="14069" width="12.5703125" style="2" customWidth="1"/>
    <col min="14070" max="14070" width="5.140625" style="2" customWidth="1"/>
    <col min="14071" max="14071" width="9.140625" style="2"/>
    <col min="14072" max="14072" width="4.85546875" style="2" customWidth="1"/>
    <col min="14073" max="14073" width="30.5703125" style="2" customWidth="1"/>
    <col min="14074" max="14074" width="33.85546875" style="2" customWidth="1"/>
    <col min="14075" max="14075" width="5.140625" style="2" customWidth="1"/>
    <col min="14076" max="14077" width="17.5703125" style="2" customWidth="1"/>
    <col min="14078" max="14321" width="9.140625" style="2"/>
    <col min="14322" max="14322" width="3.7109375" style="2" customWidth="1"/>
    <col min="14323" max="14323" width="96.85546875" style="2" customWidth="1"/>
    <col min="14324" max="14324" width="30.85546875" style="2" customWidth="1"/>
    <col min="14325" max="14325" width="12.5703125" style="2" customWidth="1"/>
    <col min="14326" max="14326" width="5.140625" style="2" customWidth="1"/>
    <col min="14327" max="14327" width="9.140625" style="2"/>
    <col min="14328" max="14328" width="4.85546875" style="2" customWidth="1"/>
    <col min="14329" max="14329" width="30.5703125" style="2" customWidth="1"/>
    <col min="14330" max="14330" width="33.85546875" style="2" customWidth="1"/>
    <col min="14331" max="14331" width="5.140625" style="2" customWidth="1"/>
    <col min="14332" max="14333" width="17.5703125" style="2" customWidth="1"/>
    <col min="14334" max="14577" width="9.140625" style="2"/>
    <col min="14578" max="14578" width="3.7109375" style="2" customWidth="1"/>
    <col min="14579" max="14579" width="96.85546875" style="2" customWidth="1"/>
    <col min="14580" max="14580" width="30.85546875" style="2" customWidth="1"/>
    <col min="14581" max="14581" width="12.5703125" style="2" customWidth="1"/>
    <col min="14582" max="14582" width="5.140625" style="2" customWidth="1"/>
    <col min="14583" max="14583" width="9.140625" style="2"/>
    <col min="14584" max="14584" width="4.85546875" style="2" customWidth="1"/>
    <col min="14585" max="14585" width="30.5703125" style="2" customWidth="1"/>
    <col min="14586" max="14586" width="33.85546875" style="2" customWidth="1"/>
    <col min="14587" max="14587" width="5.140625" style="2" customWidth="1"/>
    <col min="14588" max="14589" width="17.5703125" style="2" customWidth="1"/>
    <col min="14590" max="14833" width="9.140625" style="2"/>
    <col min="14834" max="14834" width="3.7109375" style="2" customWidth="1"/>
    <col min="14835" max="14835" width="96.85546875" style="2" customWidth="1"/>
    <col min="14836" max="14836" width="30.85546875" style="2" customWidth="1"/>
    <col min="14837" max="14837" width="12.5703125" style="2" customWidth="1"/>
    <col min="14838" max="14838" width="5.140625" style="2" customWidth="1"/>
    <col min="14839" max="14839" width="9.140625" style="2"/>
    <col min="14840" max="14840" width="4.85546875" style="2" customWidth="1"/>
    <col min="14841" max="14841" width="30.5703125" style="2" customWidth="1"/>
    <col min="14842" max="14842" width="33.85546875" style="2" customWidth="1"/>
    <col min="14843" max="14843" width="5.140625" style="2" customWidth="1"/>
    <col min="14844" max="14845" width="17.5703125" style="2" customWidth="1"/>
    <col min="14846" max="15089" width="9.140625" style="2"/>
    <col min="15090" max="15090" width="3.7109375" style="2" customWidth="1"/>
    <col min="15091" max="15091" width="96.85546875" style="2" customWidth="1"/>
    <col min="15092" max="15092" width="30.85546875" style="2" customWidth="1"/>
    <col min="15093" max="15093" width="12.5703125" style="2" customWidth="1"/>
    <col min="15094" max="15094" width="5.140625" style="2" customWidth="1"/>
    <col min="15095" max="15095" width="9.140625" style="2"/>
    <col min="15096" max="15096" width="4.85546875" style="2" customWidth="1"/>
    <col min="15097" max="15097" width="30.5703125" style="2" customWidth="1"/>
    <col min="15098" max="15098" width="33.85546875" style="2" customWidth="1"/>
    <col min="15099" max="15099" width="5.140625" style="2" customWidth="1"/>
    <col min="15100" max="15101" width="17.5703125" style="2" customWidth="1"/>
    <col min="15102" max="15345" width="9.140625" style="2"/>
    <col min="15346" max="15346" width="3.7109375" style="2" customWidth="1"/>
    <col min="15347" max="15347" width="96.85546875" style="2" customWidth="1"/>
    <col min="15348" max="15348" width="30.85546875" style="2" customWidth="1"/>
    <col min="15349" max="15349" width="12.5703125" style="2" customWidth="1"/>
    <col min="15350" max="15350" width="5.140625" style="2" customWidth="1"/>
    <col min="15351" max="15351" width="9.140625" style="2"/>
    <col min="15352" max="15352" width="4.85546875" style="2" customWidth="1"/>
    <col min="15353" max="15353" width="30.5703125" style="2" customWidth="1"/>
    <col min="15354" max="15354" width="33.85546875" style="2" customWidth="1"/>
    <col min="15355" max="15355" width="5.140625" style="2" customWidth="1"/>
    <col min="15356" max="15357" width="17.5703125" style="2" customWidth="1"/>
    <col min="15358" max="15601" width="9.140625" style="2"/>
    <col min="15602" max="15602" width="3.7109375" style="2" customWidth="1"/>
    <col min="15603" max="15603" width="96.85546875" style="2" customWidth="1"/>
    <col min="15604" max="15604" width="30.85546875" style="2" customWidth="1"/>
    <col min="15605" max="15605" width="12.5703125" style="2" customWidth="1"/>
    <col min="15606" max="15606" width="5.140625" style="2" customWidth="1"/>
    <col min="15607" max="15607" width="9.140625" style="2"/>
    <col min="15608" max="15608" width="4.85546875" style="2" customWidth="1"/>
    <col min="15609" max="15609" width="30.5703125" style="2" customWidth="1"/>
    <col min="15610" max="15610" width="33.85546875" style="2" customWidth="1"/>
    <col min="15611" max="15611" width="5.140625" style="2" customWidth="1"/>
    <col min="15612" max="15613" width="17.5703125" style="2" customWidth="1"/>
    <col min="15614" max="15857" width="9.140625" style="2"/>
    <col min="15858" max="15858" width="3.7109375" style="2" customWidth="1"/>
    <col min="15859" max="15859" width="96.85546875" style="2" customWidth="1"/>
    <col min="15860" max="15860" width="30.85546875" style="2" customWidth="1"/>
    <col min="15861" max="15861" width="12.5703125" style="2" customWidth="1"/>
    <col min="15862" max="15862" width="5.140625" style="2" customWidth="1"/>
    <col min="15863" max="15863" width="9.140625" style="2"/>
    <col min="15864" max="15864" width="4.85546875" style="2" customWidth="1"/>
    <col min="15865" max="15865" width="30.5703125" style="2" customWidth="1"/>
    <col min="15866" max="15866" width="33.85546875" style="2" customWidth="1"/>
    <col min="15867" max="15867" width="5.140625" style="2" customWidth="1"/>
    <col min="15868" max="15869" width="17.5703125" style="2" customWidth="1"/>
    <col min="15870" max="16113" width="9.140625" style="2"/>
    <col min="16114" max="16114" width="3.7109375" style="2" customWidth="1"/>
    <col min="16115" max="16115" width="96.85546875" style="2" customWidth="1"/>
    <col min="16116" max="16116" width="30.85546875" style="2" customWidth="1"/>
    <col min="16117" max="16117" width="12.5703125" style="2" customWidth="1"/>
    <col min="16118" max="16118" width="5.140625" style="2" customWidth="1"/>
    <col min="16119" max="16119" width="9.140625" style="2"/>
    <col min="16120" max="16120" width="4.85546875" style="2" customWidth="1"/>
    <col min="16121" max="16121" width="30.5703125" style="2" customWidth="1"/>
    <col min="16122" max="16122" width="33.85546875" style="2" customWidth="1"/>
    <col min="16123" max="16123" width="5.140625" style="2" customWidth="1"/>
    <col min="16124" max="16125" width="17.5703125" style="2" customWidth="1"/>
    <col min="16126"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[19]И1!D13</f>
        <v>Субъект Российской Федерации</v>
      </c>
      <c r="C4" s="10" t="str">
        <f>[19]И1!E13</f>
        <v>Новосибирская область</v>
      </c>
    </row>
    <row r="5" spans="1:3" ht="15.95" customHeight="1">
      <c r="A5" s="8"/>
      <c r="B5" s="9" t="str">
        <f>[19]И1!D14</f>
        <v>Тип муниципального образования (выберите из списка)</v>
      </c>
      <c r="C5" s="10" t="str">
        <f>[19]И1!E14</f>
        <v xml:space="preserve">дачный поселок Мочище, Новосибирский муниципальный район </v>
      </c>
    </row>
    <row r="6" spans="1:3">
      <c r="A6" s="8"/>
      <c r="B6" s="9" t="str">
        <f>IF([19]И1!E15="","",[19]И1!D15)</f>
        <v/>
      </c>
      <c r="C6" s="7" t="str">
        <f>IF([19]И1!E15="","",[19]И1!E15)</f>
        <v/>
      </c>
    </row>
    <row r="7" spans="1:3">
      <c r="A7" s="8"/>
      <c r="B7" s="9" t="str">
        <f>[19]И1!D16</f>
        <v>Код ОКТМО</v>
      </c>
      <c r="C7" s="11" t="str">
        <f>[19]И1!E16</f>
        <v>50640431101</v>
      </c>
    </row>
    <row r="8" spans="1:3">
      <c r="A8" s="8"/>
      <c r="B8" s="12" t="str">
        <f>[19]И1!D17</f>
        <v>Система теплоснабжения</v>
      </c>
      <c r="C8" s="13">
        <f>[19]И1!E17</f>
        <v>0</v>
      </c>
    </row>
    <row r="9" spans="1:3">
      <c r="A9" s="8"/>
      <c r="B9" s="9" t="str">
        <f>[19]И1!D8</f>
        <v>Период регулирования (i)-й</v>
      </c>
      <c r="C9" s="14">
        <f>[19]И1!E8</f>
        <v>2024</v>
      </c>
    </row>
    <row r="10" spans="1:3">
      <c r="A10" s="8"/>
      <c r="B10" s="9" t="str">
        <f>[19]И1!D9</f>
        <v>Период регулирования (i-1)-й</v>
      </c>
      <c r="C10" s="14">
        <f>[19]И1!E9</f>
        <v>2023</v>
      </c>
    </row>
    <row r="11" spans="1:3">
      <c r="A11" s="8"/>
      <c r="B11" s="9" t="str">
        <f>[19]И1!D10</f>
        <v>Период регулирования (i-2)-й</v>
      </c>
      <c r="C11" s="14">
        <f>[19]И1!E10</f>
        <v>2022</v>
      </c>
    </row>
    <row r="12" spans="1:3">
      <c r="A12" s="8"/>
      <c r="B12" s="9" t="str">
        <f>[19]И1!D11</f>
        <v>Базовый год (б)</v>
      </c>
      <c r="C12" s="14">
        <f>[19]И1!E11</f>
        <v>2019</v>
      </c>
    </row>
    <row r="13" spans="1:3">
      <c r="A13" s="8"/>
      <c r="B13" s="9" t="str">
        <f>[19]И1!D18</f>
        <v>Вид топлива, использование которого преобладает в системе теплоснабжения</v>
      </c>
      <c r="C13" s="15" t="str">
        <f>[19]И1!E18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2966.7008172145388</v>
      </c>
    </row>
    <row r="18" spans="1:3" ht="42.75">
      <c r="A18" s="22" t="s">
        <v>8</v>
      </c>
      <c r="B18" s="25" t="s">
        <v>9</v>
      </c>
      <c r="C18" s="26">
        <f>[19]С1!F12</f>
        <v>994.35037159416254</v>
      </c>
    </row>
    <row r="19" spans="1:3" ht="42.75">
      <c r="A19" s="22" t="s">
        <v>10</v>
      </c>
      <c r="B19" s="25" t="s">
        <v>11</v>
      </c>
      <c r="C19" s="26">
        <f>[19]С2!F12</f>
        <v>1337.1646821037446</v>
      </c>
    </row>
    <row r="20" spans="1:3" ht="30">
      <c r="A20" s="22" t="s">
        <v>12</v>
      </c>
      <c r="B20" s="25" t="s">
        <v>13</v>
      </c>
      <c r="C20" s="26">
        <f>[19]С3!F12</f>
        <v>317.6025648848447</v>
      </c>
    </row>
    <row r="21" spans="1:3" ht="42.75">
      <c r="A21" s="22" t="s">
        <v>14</v>
      </c>
      <c r="B21" s="25" t="s">
        <v>228</v>
      </c>
      <c r="C21" s="26">
        <f>[19]С4!F12</f>
        <v>259.41259437267831</v>
      </c>
    </row>
    <row r="22" spans="1:3" ht="33" customHeight="1">
      <c r="A22" s="22" t="s">
        <v>16</v>
      </c>
      <c r="B22" s="25" t="s">
        <v>229</v>
      </c>
      <c r="C22" s="26">
        <f>[19]С5!F12</f>
        <v>58.170604259108607</v>
      </c>
    </row>
    <row r="23" spans="1:3" ht="45.75" customHeight="1" thickBot="1">
      <c r="A23" s="27" t="s">
        <v>18</v>
      </c>
      <c r="B23" s="143" t="s">
        <v>230</v>
      </c>
      <c r="C23" s="28">
        <f>[19]С6!F12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[19]С1.1!E16</f>
        <v>7900</v>
      </c>
    </row>
    <row r="29" spans="1:3" ht="42.75">
      <c r="A29" s="22" t="s">
        <v>10</v>
      </c>
      <c r="B29" s="33" t="s">
        <v>232</v>
      </c>
      <c r="C29" s="34">
        <f>[19]С1.1!E32</f>
        <v>5751.37</v>
      </c>
    </row>
    <row r="30" spans="1:3" ht="38.25">
      <c r="A30" s="22" t="s">
        <v>233</v>
      </c>
      <c r="B30" s="33" t="s">
        <v>234</v>
      </c>
      <c r="C30" s="85" t="str">
        <f>[19]С1.1!E25</f>
        <v>ООО "Газпром газораспределение Томск"</v>
      </c>
    </row>
    <row r="31" spans="1:3" ht="38.25">
      <c r="A31" s="22" t="s">
        <v>235</v>
      </c>
      <c r="B31" s="33" t="str">
        <f>[19]С1.1!D26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[19]С1.1!E26</f>
        <v>4699.5</v>
      </c>
    </row>
    <row r="32" spans="1:3" ht="25.5">
      <c r="A32" s="22" t="s">
        <v>236</v>
      </c>
      <c r="B32" s="33" t="str">
        <f>[19]С1.1!D27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[19]С1.1!E27</f>
        <v>795.43</v>
      </c>
    </row>
    <row r="33" spans="1:3" ht="25.5">
      <c r="A33" s="22" t="s">
        <v>237</v>
      </c>
      <c r="B33" s="33" t="str">
        <f>[19]С1.1!D28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[19]С1.1!E28</f>
        <v>136.54</v>
      </c>
    </row>
    <row r="34" spans="1:3" ht="38.25">
      <c r="A34" s="22" t="s">
        <v>238</v>
      </c>
      <c r="B34" s="33" t="str">
        <f>[19]С1.1!D29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[19]С1.1!E29</f>
        <v>119.9</v>
      </c>
    </row>
    <row r="35" spans="1:3" ht="17.25">
      <c r="A35" s="22" t="s">
        <v>12</v>
      </c>
      <c r="B35" s="33" t="s">
        <v>23</v>
      </c>
      <c r="C35" s="35">
        <f>[19]С1.1!E20</f>
        <v>8.5000000000000006E-2</v>
      </c>
    </row>
    <row r="36" spans="1:3" ht="17.25">
      <c r="A36" s="22" t="s">
        <v>14</v>
      </c>
      <c r="B36" s="33" t="s">
        <v>24</v>
      </c>
      <c r="C36" s="35">
        <f>[19]С1.1!E21</f>
        <v>0.112</v>
      </c>
    </row>
    <row r="37" spans="1:3" ht="30">
      <c r="A37" s="22" t="s">
        <v>16</v>
      </c>
      <c r="B37" s="36" t="s">
        <v>239</v>
      </c>
      <c r="C37" s="121">
        <f>[19]С1!F13</f>
        <v>156.1</v>
      </c>
    </row>
    <row r="38" spans="1:3">
      <c r="A38" s="22" t="s">
        <v>18</v>
      </c>
      <c r="B38" s="36" t="s">
        <v>26</v>
      </c>
      <c r="C38" s="38">
        <f>[19]С1!F16</f>
        <v>7000</v>
      </c>
    </row>
    <row r="39" spans="1:3" ht="14.25">
      <c r="A39" s="122" t="s">
        <v>27</v>
      </c>
      <c r="B39" s="39" t="s">
        <v>240</v>
      </c>
      <c r="C39" s="40">
        <f>[19]С1!F17</f>
        <v>1.1285714285714286</v>
      </c>
    </row>
    <row r="40" spans="1:3" ht="15.75">
      <c r="A40" s="123" t="s">
        <v>29</v>
      </c>
      <c r="B40" s="42" t="s">
        <v>30</v>
      </c>
      <c r="C40" s="40">
        <f>[19]С1!F20</f>
        <v>22.307053372799995</v>
      </c>
    </row>
    <row r="41" spans="1:3" ht="15.75">
      <c r="A41" s="123" t="s">
        <v>31</v>
      </c>
      <c r="B41" s="43" t="s">
        <v>32</v>
      </c>
      <c r="C41" s="40">
        <f>[19]С1!F21</f>
        <v>21.531904799999996</v>
      </c>
    </row>
    <row r="42" spans="1:3" ht="14.25">
      <c r="A42" s="123" t="s">
        <v>33</v>
      </c>
      <c r="B42" s="44" t="s">
        <v>34</v>
      </c>
      <c r="C42" s="40">
        <f>[19]С1!F22</f>
        <v>1.036</v>
      </c>
    </row>
    <row r="43" spans="1:3" ht="53.25" thickBot="1">
      <c r="A43" s="27" t="s">
        <v>35</v>
      </c>
      <c r="B43" s="45" t="s">
        <v>36</v>
      </c>
      <c r="C43" s="46" t="str">
        <f>[19]С1!F23</f>
        <v>-</v>
      </c>
    </row>
    <row r="44" spans="1:3" ht="13.5" thickBot="1">
      <c r="A44" s="47"/>
      <c r="B44" s="75"/>
      <c r="C44" s="15"/>
    </row>
    <row r="45" spans="1:3" ht="30" customHeight="1">
      <c r="A45" s="50" t="s">
        <v>37</v>
      </c>
      <c r="B45" s="145" t="s">
        <v>38</v>
      </c>
      <c r="C45" s="145"/>
    </row>
    <row r="46" spans="1:3" ht="25.5">
      <c r="A46" s="22" t="s">
        <v>39</v>
      </c>
      <c r="B46" s="36" t="s">
        <v>40</v>
      </c>
      <c r="C46" s="51" t="str">
        <f>[19]С2.1!E12</f>
        <v>V</v>
      </c>
    </row>
    <row r="47" spans="1:3" ht="25.5">
      <c r="A47" s="22" t="s">
        <v>41</v>
      </c>
      <c r="B47" s="33" t="s">
        <v>42</v>
      </c>
      <c r="C47" s="51" t="str">
        <f>[19]С2.1!E13</f>
        <v>6 и менее баллов</v>
      </c>
    </row>
    <row r="48" spans="1:3" ht="25.5">
      <c r="A48" s="22" t="s">
        <v>43</v>
      </c>
      <c r="B48" s="33" t="s">
        <v>241</v>
      </c>
      <c r="C48" s="51" t="str">
        <f>[19]С2.1!E14</f>
        <v>от 200 до 500</v>
      </c>
    </row>
    <row r="49" spans="1:3" ht="25.5">
      <c r="A49" s="22" t="s">
        <v>45</v>
      </c>
      <c r="B49" s="33" t="s">
        <v>242</v>
      </c>
      <c r="C49" s="52" t="str">
        <f>[19]С2.1!E15</f>
        <v>нет</v>
      </c>
    </row>
    <row r="50" spans="1:3" ht="30">
      <c r="A50" s="22" t="s">
        <v>47</v>
      </c>
      <c r="B50" s="33" t="s">
        <v>48</v>
      </c>
      <c r="C50" s="34">
        <f>[19]С2!F18</f>
        <v>35106.652004551666</v>
      </c>
    </row>
    <row r="51" spans="1:3" ht="30">
      <c r="A51" s="22" t="s">
        <v>49</v>
      </c>
      <c r="B51" s="53" t="s">
        <v>50</v>
      </c>
      <c r="C51" s="34">
        <f>IF([19]С2!F19&gt;0,[19]С2!F19,[19]С2!F20)</f>
        <v>23441.524932855718</v>
      </c>
    </row>
    <row r="52" spans="1:3" ht="25.5">
      <c r="A52" s="22" t="s">
        <v>51</v>
      </c>
      <c r="B52" s="54" t="s">
        <v>52</v>
      </c>
      <c r="C52" s="34">
        <f>[19]С2.1!E20</f>
        <v>-37</v>
      </c>
    </row>
    <row r="53" spans="1:3" ht="25.5">
      <c r="A53" s="22" t="s">
        <v>53</v>
      </c>
      <c r="B53" s="54" t="s">
        <v>54</v>
      </c>
      <c r="C53" s="34" t="str">
        <f>[19]С2.1!E23</f>
        <v>нет</v>
      </c>
    </row>
    <row r="54" spans="1:3" ht="38.25">
      <c r="A54" s="22" t="s">
        <v>55</v>
      </c>
      <c r="B54" s="55" t="s">
        <v>56</v>
      </c>
      <c r="C54" s="34">
        <f>[19]С2.2!E10</f>
        <v>1287</v>
      </c>
    </row>
    <row r="55" spans="1:3" ht="25.5">
      <c r="A55" s="22" t="s">
        <v>57</v>
      </c>
      <c r="B55" s="56" t="s">
        <v>58</v>
      </c>
      <c r="C55" s="34">
        <f>[19]С2.2!E12</f>
        <v>5.97</v>
      </c>
    </row>
    <row r="56" spans="1:3" ht="52.5">
      <c r="A56" s="22" t="s">
        <v>59</v>
      </c>
      <c r="B56" s="57" t="s">
        <v>60</v>
      </c>
      <c r="C56" s="34">
        <f>[19]С2.2!E13</f>
        <v>1</v>
      </c>
    </row>
    <row r="57" spans="1:3" ht="27.75">
      <c r="A57" s="22" t="s">
        <v>61</v>
      </c>
      <c r="B57" s="56" t="s">
        <v>62</v>
      </c>
      <c r="C57" s="34">
        <f>[19]С2.2!E14</f>
        <v>12104</v>
      </c>
    </row>
    <row r="58" spans="1:3" ht="25.5">
      <c r="A58" s="22" t="s">
        <v>63</v>
      </c>
      <c r="B58" s="57" t="s">
        <v>64</v>
      </c>
      <c r="C58" s="35">
        <f>[19]С2.2!E15</f>
        <v>4.8000000000000001E-2</v>
      </c>
    </row>
    <row r="59" spans="1:3">
      <c r="A59" s="22" t="s">
        <v>65</v>
      </c>
      <c r="B59" s="57" t="s">
        <v>66</v>
      </c>
      <c r="C59" s="124">
        <f>[19]С2.2!E16</f>
        <v>1</v>
      </c>
    </row>
    <row r="60" spans="1:3" ht="15.75">
      <c r="A60" s="22" t="s">
        <v>67</v>
      </c>
      <c r="B60" s="58" t="s">
        <v>68</v>
      </c>
      <c r="C60" s="34">
        <f>[19]С2!F21</f>
        <v>1</v>
      </c>
    </row>
    <row r="61" spans="1:3" ht="30">
      <c r="A61" s="59" t="s">
        <v>69</v>
      </c>
      <c r="B61" s="33" t="s">
        <v>243</v>
      </c>
      <c r="C61" s="34">
        <f>[19]С2!F13</f>
        <v>105136.23090983224</v>
      </c>
    </row>
    <row r="62" spans="1:3" ht="30">
      <c r="A62" s="59" t="s">
        <v>71</v>
      </c>
      <c r="B62" s="60" t="s">
        <v>244</v>
      </c>
      <c r="C62" s="34">
        <f>[19]С2!F14</f>
        <v>64899</v>
      </c>
    </row>
    <row r="63" spans="1:3" ht="15.75">
      <c r="A63" s="59" t="s">
        <v>73</v>
      </c>
      <c r="B63" s="60" t="s">
        <v>74</v>
      </c>
      <c r="C63" s="40">
        <f>[19]С2!F15</f>
        <v>1.071</v>
      </c>
    </row>
    <row r="64" spans="1:3" ht="15.75">
      <c r="A64" s="59" t="s">
        <v>75</v>
      </c>
      <c r="B64" s="60" t="s">
        <v>76</v>
      </c>
      <c r="C64" s="125">
        <f>[19]С2!F16</f>
        <v>1</v>
      </c>
    </row>
    <row r="65" spans="1:3" ht="17.25">
      <c r="A65" s="59" t="s">
        <v>77</v>
      </c>
      <c r="B65" s="60" t="s">
        <v>78</v>
      </c>
      <c r="C65" s="126">
        <f>[19]С2!F17</f>
        <v>1.01</v>
      </c>
    </row>
    <row r="66" spans="1:3" s="63" customFormat="1" ht="14.25">
      <c r="A66" s="59" t="s">
        <v>79</v>
      </c>
      <c r="B66" s="61" t="s">
        <v>80</v>
      </c>
      <c r="C66" s="62">
        <f>[19]С2!F35</f>
        <v>10</v>
      </c>
    </row>
    <row r="67" spans="1:3" ht="30">
      <c r="A67" s="59" t="s">
        <v>81</v>
      </c>
      <c r="B67" s="64" t="s">
        <v>82</v>
      </c>
      <c r="C67" s="34">
        <f>[19]С2!F28</f>
        <v>141.64867100230373</v>
      </c>
    </row>
    <row r="68" spans="1:3" ht="17.25">
      <c r="A68" s="59" t="s">
        <v>83</v>
      </c>
      <c r="B68" s="53" t="s">
        <v>245</v>
      </c>
      <c r="C68" s="40">
        <f>[19]С2!F29</f>
        <v>0.18916419899999998</v>
      </c>
    </row>
    <row r="69" spans="1:3" ht="17.25">
      <c r="A69" s="59" t="s">
        <v>85</v>
      </c>
      <c r="B69" s="58" t="s">
        <v>246</v>
      </c>
      <c r="C69" s="62">
        <f>[19]С2!F30</f>
        <v>500</v>
      </c>
    </row>
    <row r="70" spans="1:3" ht="42.75">
      <c r="A70" s="59" t="s">
        <v>87</v>
      </c>
      <c r="B70" s="33" t="s">
        <v>247</v>
      </c>
      <c r="C70" s="34">
        <f>[19]С2!F22</f>
        <v>39638.324046481182</v>
      </c>
    </row>
    <row r="71" spans="1:3" ht="30">
      <c r="A71" s="59" t="s">
        <v>89</v>
      </c>
      <c r="B71" s="60" t="s">
        <v>248</v>
      </c>
      <c r="C71" s="34">
        <f>[19]С2!F23</f>
        <v>21</v>
      </c>
    </row>
    <row r="72" spans="1:3" ht="30">
      <c r="A72" s="59" t="s">
        <v>91</v>
      </c>
      <c r="B72" s="53" t="s">
        <v>92</v>
      </c>
      <c r="C72" s="34">
        <f>[19]С2.1!E28</f>
        <v>14036.09995</v>
      </c>
    </row>
    <row r="73" spans="1:3" ht="38.25">
      <c r="A73" s="59" t="s">
        <v>93</v>
      </c>
      <c r="B73" s="65" t="s">
        <v>94</v>
      </c>
      <c r="C73" s="52">
        <f>[19]С2.3!E21</f>
        <v>0</v>
      </c>
    </row>
    <row r="74" spans="1:3" ht="25.5">
      <c r="A74" s="59" t="s">
        <v>95</v>
      </c>
      <c r="B74" s="66" t="s">
        <v>96</v>
      </c>
      <c r="C74" s="67">
        <f>[19]С2.3!E11</f>
        <v>5.45</v>
      </c>
    </row>
    <row r="75" spans="1:3" ht="25.5">
      <c r="A75" s="59" t="s">
        <v>97</v>
      </c>
      <c r="B75" s="66" t="s">
        <v>98</v>
      </c>
      <c r="C75" s="62">
        <f>[19]С2.3!E13</f>
        <v>300</v>
      </c>
    </row>
    <row r="76" spans="1:3" ht="25.5">
      <c r="A76" s="59" t="s">
        <v>99</v>
      </c>
      <c r="B76" s="65" t="s">
        <v>100</v>
      </c>
      <c r="C76" s="68">
        <f>IF([19]С2.3!E22&gt;0,[19]С2.3!E22,[19]С2.3!E14)</f>
        <v>61211</v>
      </c>
    </row>
    <row r="77" spans="1:3" ht="38.25">
      <c r="A77" s="59" t="s">
        <v>101</v>
      </c>
      <c r="B77" s="65" t="s">
        <v>102</v>
      </c>
      <c r="C77" s="68">
        <f>IF([19]С2.3!E23&gt;0,[19]С2.3!E23,[19]С2.3!E15)</f>
        <v>45675</v>
      </c>
    </row>
    <row r="78" spans="1:3" ht="30">
      <c r="A78" s="59" t="s">
        <v>103</v>
      </c>
      <c r="B78" s="53" t="s">
        <v>104</v>
      </c>
      <c r="C78" s="34">
        <f>[19]С2.1!E29</f>
        <v>9518.3274000000001</v>
      </c>
    </row>
    <row r="79" spans="1:3" ht="38.25">
      <c r="A79" s="59" t="s">
        <v>105</v>
      </c>
      <c r="B79" s="65" t="s">
        <v>106</v>
      </c>
      <c r="C79" s="52">
        <f>[19]С2.3!E25</f>
        <v>0</v>
      </c>
    </row>
    <row r="80" spans="1:3" ht="25.5">
      <c r="A80" s="59" t="s">
        <v>107</v>
      </c>
      <c r="B80" s="66" t="s">
        <v>108</v>
      </c>
      <c r="C80" s="67">
        <f>[19]С2.3!E12</f>
        <v>0.2</v>
      </c>
    </row>
    <row r="81" spans="1:3" ht="25.5">
      <c r="A81" s="59" t="s">
        <v>109</v>
      </c>
      <c r="B81" s="66" t="s">
        <v>98</v>
      </c>
      <c r="C81" s="62">
        <f>[19]С2.3!E13</f>
        <v>300</v>
      </c>
    </row>
    <row r="82" spans="1:3" ht="25.5">
      <c r="A82" s="59" t="s">
        <v>110</v>
      </c>
      <c r="B82" s="69" t="s">
        <v>111</v>
      </c>
      <c r="C82" s="68">
        <f>IF([19]С2.3!E26&gt;0,[19]С2.3!E26,[19]С2.3!E16)</f>
        <v>65637</v>
      </c>
    </row>
    <row r="83" spans="1:3" ht="38.25">
      <c r="A83" s="59" t="s">
        <v>112</v>
      </c>
      <c r="B83" s="69" t="s">
        <v>113</v>
      </c>
      <c r="C83" s="68">
        <f>IF([19]С2.3!E27&gt;0,[19]С2.3!E27,[19]С2.3!E17)</f>
        <v>31684</v>
      </c>
    </row>
    <row r="84" spans="1:3" ht="30">
      <c r="A84" s="59" t="s">
        <v>249</v>
      </c>
      <c r="B84" s="60" t="s">
        <v>250</v>
      </c>
      <c r="C84" s="68">
        <f>IF([19]С2.1!E19&gt;0,[19]С2.1!E19,[19]С2!F26)</f>
        <v>2892</v>
      </c>
    </row>
    <row r="85" spans="1:3" ht="17.25">
      <c r="A85" s="59" t="s">
        <v>114</v>
      </c>
      <c r="B85" s="33" t="s">
        <v>115</v>
      </c>
      <c r="C85" s="35">
        <f>[19]С2!F31</f>
        <v>9.5962865259740182E-2</v>
      </c>
    </row>
    <row r="86" spans="1:3" ht="30">
      <c r="A86" s="59" t="s">
        <v>116</v>
      </c>
      <c r="B86" s="53" t="s">
        <v>117</v>
      </c>
      <c r="C86" s="70">
        <f>[19]С2!F32</f>
        <v>8.4029304029304031E-2</v>
      </c>
    </row>
    <row r="87" spans="1:3" ht="17.25">
      <c r="A87" s="59" t="s">
        <v>118</v>
      </c>
      <c r="B87" s="71" t="s">
        <v>119</v>
      </c>
      <c r="C87" s="35">
        <f>[19]С2!F33</f>
        <v>0.13880000000000001</v>
      </c>
    </row>
    <row r="88" spans="1:3" s="63" customFormat="1" ht="18" thickBot="1">
      <c r="A88" s="72" t="s">
        <v>120</v>
      </c>
      <c r="B88" s="73" t="s">
        <v>121</v>
      </c>
      <c r="C88" s="74">
        <f>[19]С2!F34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[19]С3!F14</f>
        <v>4199.9055432306041</v>
      </c>
    </row>
    <row r="92" spans="1:3" s="63" customFormat="1" ht="42.75">
      <c r="A92" s="77" t="s">
        <v>126</v>
      </c>
      <c r="B92" s="53" t="s">
        <v>127</v>
      </c>
      <c r="C92" s="78">
        <f>[19]С3!F15</f>
        <v>0.2</v>
      </c>
    </row>
    <row r="93" spans="1:3" s="63" customFormat="1" ht="14.25">
      <c r="A93" s="77" t="s">
        <v>128</v>
      </c>
      <c r="B93" s="79" t="s">
        <v>129</v>
      </c>
      <c r="C93" s="62">
        <f>[19]С3!F18</f>
        <v>15</v>
      </c>
    </row>
    <row r="94" spans="1:3" s="63" customFormat="1" ht="17.25">
      <c r="A94" s="77" t="s">
        <v>130</v>
      </c>
      <c r="B94" s="33" t="s">
        <v>131</v>
      </c>
      <c r="C94" s="34">
        <f>[19]С3!F19</f>
        <v>2638.2577020926874</v>
      </c>
    </row>
    <row r="95" spans="1:3" s="63" customFormat="1" ht="55.5">
      <c r="A95" s="77" t="s">
        <v>132</v>
      </c>
      <c r="B95" s="53" t="s">
        <v>133</v>
      </c>
      <c r="C95" s="80">
        <f>[19]С3!F20</f>
        <v>2.1999999999999999E-2</v>
      </c>
    </row>
    <row r="96" spans="1:3" s="63" customFormat="1" ht="14.25">
      <c r="A96" s="77" t="s">
        <v>134</v>
      </c>
      <c r="B96" s="58" t="s">
        <v>80</v>
      </c>
      <c r="C96" s="62">
        <f>[19]С3!F21</f>
        <v>10</v>
      </c>
    </row>
    <row r="97" spans="1:3" s="63" customFormat="1" ht="17.25">
      <c r="A97" s="77" t="s">
        <v>135</v>
      </c>
      <c r="B97" s="33" t="s">
        <v>136</v>
      </c>
      <c r="C97" s="34">
        <f>[19]С3!F22</f>
        <v>0.42494601300691121</v>
      </c>
    </row>
    <row r="98" spans="1:3" s="63" customFormat="1" ht="55.5">
      <c r="A98" s="77" t="s">
        <v>137</v>
      </c>
      <c r="B98" s="53" t="s">
        <v>138</v>
      </c>
      <c r="C98" s="80">
        <f>[19]С3!F23</f>
        <v>3.0000000000000001E-3</v>
      </c>
    </row>
    <row r="99" spans="1:3" s="63" customFormat="1" ht="30.75" thickBot="1">
      <c r="A99" s="81" t="s">
        <v>139</v>
      </c>
      <c r="B99" s="82" t="s">
        <v>82</v>
      </c>
      <c r="C99" s="83">
        <f>[19]С3!F24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[19]С4!F16</f>
        <v>832.33500000000004</v>
      </c>
    </row>
    <row r="103" spans="1:3" ht="30">
      <c r="A103" s="59" t="s">
        <v>145</v>
      </c>
      <c r="B103" s="58" t="s">
        <v>252</v>
      </c>
      <c r="C103" s="34">
        <f>[19]С4!F17</f>
        <v>43385</v>
      </c>
    </row>
    <row r="104" spans="1:3" ht="17.25">
      <c r="A104" s="59" t="s">
        <v>147</v>
      </c>
      <c r="B104" s="58" t="s">
        <v>148</v>
      </c>
      <c r="C104" s="40">
        <f>[19]С4!F18</f>
        <v>1.4999999999999999E-2</v>
      </c>
    </row>
    <row r="105" spans="1:3" ht="30">
      <c r="A105" s="59" t="s">
        <v>149</v>
      </c>
      <c r="B105" s="58" t="s">
        <v>150</v>
      </c>
      <c r="C105" s="34">
        <f>[19]С4!F19</f>
        <v>12104</v>
      </c>
    </row>
    <row r="106" spans="1:3" ht="31.5">
      <c r="A106" s="59" t="s">
        <v>151</v>
      </c>
      <c r="B106" s="58" t="s">
        <v>152</v>
      </c>
      <c r="C106" s="40">
        <f>[19]С4!F20</f>
        <v>1.4999999999999999E-2</v>
      </c>
    </row>
    <row r="107" spans="1:3" ht="30">
      <c r="A107" s="59" t="s">
        <v>153</v>
      </c>
      <c r="B107" s="33" t="s">
        <v>253</v>
      </c>
      <c r="C107" s="34">
        <f>[19]С4!F21</f>
        <v>1221.9019409821399</v>
      </c>
    </row>
    <row r="108" spans="1:3" ht="45.6" customHeight="1">
      <c r="A108" s="59" t="s">
        <v>155</v>
      </c>
      <c r="B108" s="53" t="s">
        <v>156</v>
      </c>
      <c r="C108" s="85" t="str">
        <f>IF([19]С4.2!F8="да",[19]С4.2!D21,[19]С4.2!D15)</f>
        <v>АО "Новосибирскэнергосбыт"</v>
      </c>
    </row>
    <row r="109" spans="1:3" ht="68.25" customHeight="1">
      <c r="A109" s="59" t="s">
        <v>157</v>
      </c>
      <c r="B109" s="53" t="s">
        <v>158</v>
      </c>
      <c r="C109" s="34">
        <f>[19]С4!F22</f>
        <v>3.6112641666666665</v>
      </c>
    </row>
    <row r="110" spans="1:3" ht="30">
      <c r="A110" s="59" t="s">
        <v>159</v>
      </c>
      <c r="B110" s="58" t="s">
        <v>254</v>
      </c>
      <c r="C110" s="62">
        <f>[19]С4!F23</f>
        <v>110</v>
      </c>
    </row>
    <row r="111" spans="1:3" ht="14.25">
      <c r="A111" s="59" t="s">
        <v>161</v>
      </c>
      <c r="B111" s="53" t="s">
        <v>162</v>
      </c>
      <c r="C111" s="34">
        <f>[19]С4!F24</f>
        <v>8497.1999999999989</v>
      </c>
    </row>
    <row r="112" spans="1:3" ht="14.25">
      <c r="A112" s="59" t="s">
        <v>163</v>
      </c>
      <c r="B112" s="58" t="s">
        <v>164</v>
      </c>
      <c r="C112" s="40">
        <f>[19]С4!F25</f>
        <v>0.36199999999999999</v>
      </c>
    </row>
    <row r="113" spans="1:3" ht="17.25">
      <c r="A113" s="59" t="s">
        <v>165</v>
      </c>
      <c r="B113" s="33" t="s">
        <v>166</v>
      </c>
      <c r="C113" s="34">
        <f>[19]С4!F26</f>
        <v>41.823029999999996</v>
      </c>
    </row>
    <row r="114" spans="1:3" ht="25.5">
      <c r="A114" s="59" t="s">
        <v>167</v>
      </c>
      <c r="B114" s="53" t="s">
        <v>94</v>
      </c>
      <c r="C114" s="85">
        <f>[19]С4.3!E16</f>
        <v>0</v>
      </c>
    </row>
    <row r="115" spans="1:3" ht="25.5">
      <c r="A115" s="59" t="s">
        <v>168</v>
      </c>
      <c r="B115" s="53" t="s">
        <v>169</v>
      </c>
      <c r="C115" s="34">
        <f>[19]С4.3!E17</f>
        <v>20.93</v>
      </c>
    </row>
    <row r="116" spans="1:3" ht="38.25">
      <c r="A116" s="59" t="s">
        <v>170</v>
      </c>
      <c r="B116" s="53" t="s">
        <v>106</v>
      </c>
      <c r="C116" s="85">
        <f>[19]С4.3!E18</f>
        <v>0</v>
      </c>
    </row>
    <row r="117" spans="1:3">
      <c r="A117" s="59" t="s">
        <v>171</v>
      </c>
      <c r="B117" s="53" t="s">
        <v>172</v>
      </c>
      <c r="C117" s="34">
        <f>[19]С4.3!E19</f>
        <v>18.989999999999998</v>
      </c>
    </row>
    <row r="118" spans="1:3">
      <c r="A118" s="59" t="s">
        <v>173</v>
      </c>
      <c r="B118" s="58" t="s">
        <v>174</v>
      </c>
      <c r="C118" s="62">
        <f>[19]С4.3!E11</f>
        <v>1871</v>
      </c>
    </row>
    <row r="119" spans="1:3">
      <c r="A119" s="59" t="s">
        <v>175</v>
      </c>
      <c r="B119" s="58" t="s">
        <v>176</v>
      </c>
      <c r="C119" s="52">
        <f>[19]С4.3!E12</f>
        <v>61</v>
      </c>
    </row>
    <row r="120" spans="1:3">
      <c r="A120" s="59" t="s">
        <v>177</v>
      </c>
      <c r="B120" s="58" t="s">
        <v>178</v>
      </c>
      <c r="C120" s="52">
        <f>[19]С4.3!E13</f>
        <v>73</v>
      </c>
    </row>
    <row r="121" spans="1:3" ht="30">
      <c r="A121" s="59" t="s">
        <v>179</v>
      </c>
      <c r="B121" s="33" t="s">
        <v>255</v>
      </c>
      <c r="C121" s="34">
        <f>[19]С4!F27</f>
        <v>1296.7467102743137</v>
      </c>
    </row>
    <row r="122" spans="1:3" ht="25.5">
      <c r="A122" s="59" t="s">
        <v>181</v>
      </c>
      <c r="B122" s="53" t="s">
        <v>256</v>
      </c>
      <c r="C122" s="34">
        <f>[19]С4!F28</f>
        <v>995.96521526444985</v>
      </c>
    </row>
    <row r="123" spans="1:3" ht="42.75">
      <c r="A123" s="59" t="s">
        <v>183</v>
      </c>
      <c r="B123" s="53" t="s">
        <v>184</v>
      </c>
      <c r="C123" s="34">
        <f>[19]С4!F29</f>
        <v>300.78149500986387</v>
      </c>
    </row>
    <row r="124" spans="1:3" ht="30.75" thickBot="1">
      <c r="A124" s="72" t="s">
        <v>185</v>
      </c>
      <c r="B124" s="90" t="s">
        <v>186</v>
      </c>
      <c r="C124" s="83">
        <f>[19]С4!F30</f>
        <v>504.48964715831494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[19]С5!F17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IF([19]С6.1!E11="нет",[19]С6!F13,"")</f>
        <v/>
      </c>
    </row>
    <row r="131" spans="1:3" ht="42.75">
      <c r="A131" s="59" t="s">
        <v>204</v>
      </c>
      <c r="B131" s="86" t="s">
        <v>205</v>
      </c>
      <c r="C131" s="92" t="str">
        <f>IF([19]С6.1!E12="нет",[19]С6.1!E17,"")</f>
        <v/>
      </c>
    </row>
    <row r="132" spans="1:3" ht="68.25">
      <c r="A132" s="59" t="s">
        <v>206</v>
      </c>
      <c r="B132" s="91" t="s">
        <v>207</v>
      </c>
      <c r="C132" s="127" t="str">
        <f>IF([19]С6.1!E18="нет",[19]С6!F19,"")</f>
        <v/>
      </c>
    </row>
    <row r="133" spans="1:3" ht="55.5">
      <c r="A133" s="59" t="s">
        <v>208</v>
      </c>
      <c r="B133" s="86" t="s">
        <v>209</v>
      </c>
      <c r="C133" s="35" t="str">
        <f>IF([19]С6.1!E18="нет",[19]С6.1!E19,"")</f>
        <v/>
      </c>
    </row>
    <row r="134" spans="1:3" ht="61.5" customHeight="1">
      <c r="A134" s="59" t="s">
        <v>210</v>
      </c>
      <c r="B134" s="86" t="s">
        <v>257</v>
      </c>
      <c r="C134" s="35" t="str">
        <f>IF([19]С6.1!E18="нет",[19]С6.1!E22,"")</f>
        <v/>
      </c>
    </row>
    <row r="135" spans="1:3" ht="69" thickBot="1">
      <c r="A135" s="72" t="s">
        <v>212</v>
      </c>
      <c r="B135" s="98" t="s">
        <v>213</v>
      </c>
      <c r="C135" s="74" t="str">
        <f>IF([19]С6.1!E18="нет",[19]С6.1!E23,"")</f>
        <v/>
      </c>
    </row>
    <row r="136" spans="1:3" s="89" customFormat="1" ht="13.5" thickBot="1">
      <c r="A136" s="47"/>
      <c r="B136" s="75"/>
      <c r="C136" s="15"/>
    </row>
    <row r="137" spans="1:3" ht="15.75">
      <c r="A137" s="84" t="s">
        <v>214</v>
      </c>
      <c r="B137" s="99" t="s">
        <v>215</v>
      </c>
      <c r="C137" s="100">
        <f>[19]С2!F39</f>
        <v>21.531904799999996</v>
      </c>
    </row>
    <row r="138" spans="1:3" ht="14.25">
      <c r="A138" s="59" t="s">
        <v>216</v>
      </c>
      <c r="B138" s="58" t="s">
        <v>217</v>
      </c>
      <c r="C138" s="34">
        <f>[19]С2!F40</f>
        <v>7</v>
      </c>
    </row>
    <row r="139" spans="1:3" ht="17.25">
      <c r="A139" s="59" t="s">
        <v>218</v>
      </c>
      <c r="B139" s="58" t="s">
        <v>219</v>
      </c>
      <c r="C139" s="34">
        <f>[19]С2!F42</f>
        <v>0.97</v>
      </c>
    </row>
    <row r="140" spans="1:3" ht="15" thickBot="1">
      <c r="A140" s="72" t="s">
        <v>220</v>
      </c>
      <c r="B140" s="73" t="s">
        <v>221</v>
      </c>
      <c r="C140" s="46">
        <f>[19]С2!F44</f>
        <v>0.36199999999999999</v>
      </c>
    </row>
    <row r="141" spans="1:3" s="89" customFormat="1" ht="13.5" thickBot="1">
      <c r="A141" s="47"/>
      <c r="B141" s="75"/>
      <c r="C141" s="15"/>
    </row>
    <row r="142" spans="1:3" ht="17.25">
      <c r="A142" s="84" t="s">
        <v>222</v>
      </c>
      <c r="B142" s="103" t="s">
        <v>258</v>
      </c>
      <c r="C142" s="128">
        <f>[19]С2!F37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[19]С2.5!$E$11</f>
        <v>-2.9000000000000026E-2</v>
      </c>
    </row>
    <row r="146" spans="1:3">
      <c r="B146" s="131">
        <f>B145+1</f>
        <v>2021</v>
      </c>
      <c r="C146" s="133">
        <f>[19]С2.5!$F$11</f>
        <v>0.245</v>
      </c>
    </row>
    <row r="147" spans="1:3">
      <c r="B147" s="131">
        <f t="shared" ref="B147:B210" si="0">B146+1</f>
        <v>2022</v>
      </c>
      <c r="C147" s="134">
        <f>[19]С2.5!$G$11</f>
        <v>0.114</v>
      </c>
    </row>
    <row r="148" spans="1:3">
      <c r="B148" s="110">
        <f t="shared" si="0"/>
        <v>2023</v>
      </c>
      <c r="C148" s="135">
        <f>[19]С2.5!$H$11</f>
        <v>2.4E-2</v>
      </c>
    </row>
    <row r="149" spans="1:3" ht="13.5" thickBot="1">
      <c r="B149" s="110">
        <f t="shared" si="0"/>
        <v>2024</v>
      </c>
      <c r="C149" s="135">
        <f>[19]С2.5!$I$11</f>
        <v>8.5999999999999993E-2</v>
      </c>
    </row>
    <row r="150" spans="1:3" ht="13.5" hidden="1" thickBot="1">
      <c r="B150" s="110">
        <f t="shared" si="0"/>
        <v>2025</v>
      </c>
      <c r="C150" s="135">
        <f>[19]С2.5!$J$11</f>
        <v>0</v>
      </c>
    </row>
    <row r="151" spans="1:3" ht="13.5" hidden="1" thickBot="1">
      <c r="B151" s="110">
        <f t="shared" si="0"/>
        <v>2026</v>
      </c>
      <c r="C151" s="135">
        <f>[19]С2.5!$K$11</f>
        <v>0</v>
      </c>
    </row>
    <row r="152" spans="1:3" ht="13.5" hidden="1" thickBot="1">
      <c r="B152" s="110">
        <f t="shared" si="0"/>
        <v>2027</v>
      </c>
      <c r="C152" s="135">
        <f>[19]С2.5!$L$11</f>
        <v>0</v>
      </c>
    </row>
    <row r="153" spans="1:3" ht="13.5" hidden="1" thickBot="1">
      <c r="B153" s="110">
        <f t="shared" si="0"/>
        <v>2028</v>
      </c>
      <c r="C153" s="135">
        <f>[19]С2.5!$M$11</f>
        <v>0</v>
      </c>
    </row>
    <row r="154" spans="1:3" ht="13.5" hidden="1" thickBot="1">
      <c r="B154" s="110">
        <f t="shared" si="0"/>
        <v>2029</v>
      </c>
      <c r="C154" s="135">
        <f>[19]С2.5!$N$11</f>
        <v>0</v>
      </c>
    </row>
    <row r="155" spans="1:3" ht="13.5" hidden="1" thickBot="1">
      <c r="B155" s="110">
        <f t="shared" si="0"/>
        <v>2030</v>
      </c>
      <c r="C155" s="135">
        <f>[19]С2.5!$O$11</f>
        <v>0</v>
      </c>
    </row>
    <row r="156" spans="1:3" ht="13.5" hidden="1" thickBot="1">
      <c r="B156" s="110">
        <f t="shared" si="0"/>
        <v>2031</v>
      </c>
      <c r="C156" s="135">
        <f>[19]С2.5!$P$11</f>
        <v>0</v>
      </c>
    </row>
    <row r="157" spans="1:3" ht="13.5" hidden="1" thickBot="1">
      <c r="B157" s="110">
        <f t="shared" si="0"/>
        <v>2032</v>
      </c>
      <c r="C157" s="135">
        <f>[19]С2.5!$Q$11</f>
        <v>0</v>
      </c>
    </row>
    <row r="158" spans="1:3" ht="13.5" hidden="1" thickBot="1">
      <c r="B158" s="110">
        <f t="shared" si="0"/>
        <v>2033</v>
      </c>
      <c r="C158" s="135">
        <f>[19]С2.5!$R$11</f>
        <v>0</v>
      </c>
    </row>
    <row r="159" spans="1:3" ht="13.5" hidden="1" thickBot="1">
      <c r="B159" s="110">
        <f t="shared" si="0"/>
        <v>2034</v>
      </c>
      <c r="C159" s="135">
        <f>[19]С2.5!$S$11</f>
        <v>0</v>
      </c>
    </row>
    <row r="160" spans="1:3" ht="13.5" hidden="1" thickBot="1">
      <c r="B160" s="110">
        <f t="shared" si="0"/>
        <v>2035</v>
      </c>
      <c r="C160" s="135">
        <f>[19]С2.5!$T$11</f>
        <v>0</v>
      </c>
    </row>
    <row r="161" spans="2:3" ht="13.5" hidden="1" thickBot="1">
      <c r="B161" s="110">
        <f t="shared" si="0"/>
        <v>2036</v>
      </c>
      <c r="C161" s="135">
        <f>[19]С2.5!$U$11</f>
        <v>0</v>
      </c>
    </row>
    <row r="162" spans="2:3" ht="13.5" hidden="1" thickBot="1">
      <c r="B162" s="110">
        <f t="shared" si="0"/>
        <v>2037</v>
      </c>
      <c r="C162" s="135">
        <f>[19]С2.5!$V$11</f>
        <v>0</v>
      </c>
    </row>
    <row r="163" spans="2:3" ht="13.5" hidden="1" thickBot="1">
      <c r="B163" s="110">
        <f t="shared" si="0"/>
        <v>2038</v>
      </c>
      <c r="C163" s="135">
        <f>[19]С2.5!$W$11</f>
        <v>0</v>
      </c>
    </row>
    <row r="164" spans="2:3" ht="13.5" hidden="1" thickBot="1">
      <c r="B164" s="110">
        <f t="shared" si="0"/>
        <v>2039</v>
      </c>
      <c r="C164" s="135">
        <f>[19]С2.5!$X$11</f>
        <v>0</v>
      </c>
    </row>
    <row r="165" spans="2:3" ht="13.5" hidden="1" thickBot="1">
      <c r="B165" s="110">
        <f t="shared" si="0"/>
        <v>2040</v>
      </c>
      <c r="C165" s="135">
        <f>[19]С2.5!$Y$11</f>
        <v>0</v>
      </c>
    </row>
    <row r="166" spans="2:3" ht="13.5" hidden="1" thickBot="1">
      <c r="B166" s="110">
        <f t="shared" si="0"/>
        <v>2041</v>
      </c>
      <c r="C166" s="135">
        <f>[19]С2.5!$Z$11</f>
        <v>0</v>
      </c>
    </row>
    <row r="167" spans="2:3" ht="13.5" hidden="1" thickBot="1">
      <c r="B167" s="110">
        <f t="shared" si="0"/>
        <v>2042</v>
      </c>
      <c r="C167" s="135">
        <f>[19]С2.5!$AA$11</f>
        <v>0</v>
      </c>
    </row>
    <row r="168" spans="2:3" ht="13.5" hidden="1" thickBot="1">
      <c r="B168" s="110">
        <f t="shared" si="0"/>
        <v>2043</v>
      </c>
      <c r="C168" s="135">
        <f>[19]С2.5!$AB$11</f>
        <v>0</v>
      </c>
    </row>
    <row r="169" spans="2:3" ht="13.5" hidden="1" thickBot="1">
      <c r="B169" s="110">
        <f t="shared" si="0"/>
        <v>2044</v>
      </c>
      <c r="C169" s="135">
        <f>[19]С2.5!$AC$11</f>
        <v>0</v>
      </c>
    </row>
    <row r="170" spans="2:3" ht="13.5" hidden="1" thickBot="1">
      <c r="B170" s="110">
        <f t="shared" si="0"/>
        <v>2045</v>
      </c>
      <c r="C170" s="135">
        <f>[19]С2.5!$AD$11</f>
        <v>0</v>
      </c>
    </row>
    <row r="171" spans="2:3" ht="13.5" hidden="1" thickBot="1">
      <c r="B171" s="110">
        <f t="shared" si="0"/>
        <v>2046</v>
      </c>
      <c r="C171" s="135">
        <f>[19]С2.5!$AE$11</f>
        <v>0</v>
      </c>
    </row>
    <row r="172" spans="2:3" ht="13.5" hidden="1" thickBot="1">
      <c r="B172" s="110">
        <f t="shared" si="0"/>
        <v>2047</v>
      </c>
      <c r="C172" s="135">
        <f>[19]С2.5!$AF$11</f>
        <v>0</v>
      </c>
    </row>
    <row r="173" spans="2:3" ht="13.5" hidden="1" thickBot="1">
      <c r="B173" s="110">
        <f t="shared" si="0"/>
        <v>2048</v>
      </c>
      <c r="C173" s="135">
        <f>[19]С2.5!$AG$11</f>
        <v>0</v>
      </c>
    </row>
    <row r="174" spans="2:3" ht="13.5" hidden="1" thickBot="1">
      <c r="B174" s="110">
        <f t="shared" si="0"/>
        <v>2049</v>
      </c>
      <c r="C174" s="135">
        <f>[19]С2.5!$AH$11</f>
        <v>0</v>
      </c>
    </row>
    <row r="175" spans="2:3" ht="13.5" hidden="1" thickBot="1">
      <c r="B175" s="110">
        <f t="shared" si="0"/>
        <v>2050</v>
      </c>
      <c r="C175" s="135">
        <f>[19]С2.5!$AI$11</f>
        <v>0</v>
      </c>
    </row>
    <row r="176" spans="2:3" ht="13.5" hidden="1" thickBot="1">
      <c r="B176" s="110">
        <f t="shared" si="0"/>
        <v>2051</v>
      </c>
      <c r="C176" s="135">
        <f>[19]С2.5!$AJ$11</f>
        <v>0</v>
      </c>
    </row>
    <row r="177" spans="2:3" ht="13.5" hidden="1" thickBot="1">
      <c r="B177" s="110">
        <f t="shared" si="0"/>
        <v>2052</v>
      </c>
      <c r="C177" s="135">
        <f>[19]С2.5!$AK$11</f>
        <v>0</v>
      </c>
    </row>
    <row r="178" spans="2:3" ht="13.5" hidden="1" thickBot="1">
      <c r="B178" s="110">
        <f t="shared" si="0"/>
        <v>2053</v>
      </c>
      <c r="C178" s="135">
        <f>[19]С2.5!$AL$11</f>
        <v>0</v>
      </c>
    </row>
    <row r="179" spans="2:3" ht="13.5" hidden="1" thickBot="1">
      <c r="B179" s="110">
        <f t="shared" si="0"/>
        <v>2054</v>
      </c>
      <c r="C179" s="135">
        <f>[19]С2.5!$AM$11</f>
        <v>0</v>
      </c>
    </row>
    <row r="180" spans="2:3" ht="13.5" hidden="1" thickBot="1">
      <c r="B180" s="110">
        <f t="shared" si="0"/>
        <v>2055</v>
      </c>
      <c r="C180" s="135">
        <f>[19]С2.5!$AN$11</f>
        <v>0</v>
      </c>
    </row>
    <row r="181" spans="2:3" ht="13.5" hidden="1" thickBot="1">
      <c r="B181" s="110">
        <f t="shared" si="0"/>
        <v>2056</v>
      </c>
      <c r="C181" s="135">
        <f>[19]С2.5!$AO$11</f>
        <v>0</v>
      </c>
    </row>
    <row r="182" spans="2:3" ht="13.5" hidden="1" thickBot="1">
      <c r="B182" s="110">
        <f t="shared" si="0"/>
        <v>2057</v>
      </c>
      <c r="C182" s="135">
        <f>[19]С2.5!$AP$11</f>
        <v>0</v>
      </c>
    </row>
    <row r="183" spans="2:3" ht="13.5" hidden="1" thickBot="1">
      <c r="B183" s="110">
        <f t="shared" si="0"/>
        <v>2058</v>
      </c>
      <c r="C183" s="135">
        <f>[19]С2.5!$AQ$11</f>
        <v>0</v>
      </c>
    </row>
    <row r="184" spans="2:3" ht="13.5" hidden="1" thickBot="1">
      <c r="B184" s="110">
        <f t="shared" si="0"/>
        <v>2059</v>
      </c>
      <c r="C184" s="135">
        <f>[19]С2.5!$AR$11</f>
        <v>0</v>
      </c>
    </row>
    <row r="185" spans="2:3" ht="13.5" hidden="1" thickBot="1">
      <c r="B185" s="110">
        <f t="shared" si="0"/>
        <v>2060</v>
      </c>
      <c r="C185" s="135">
        <f>[19]С2.5!$AS$11</f>
        <v>0</v>
      </c>
    </row>
    <row r="186" spans="2:3" ht="13.5" hidden="1" thickBot="1">
      <c r="B186" s="110">
        <f t="shared" si="0"/>
        <v>2061</v>
      </c>
      <c r="C186" s="135">
        <f>[19]С2.5!$AT$11</f>
        <v>0</v>
      </c>
    </row>
    <row r="187" spans="2:3" ht="13.5" hidden="1" thickBot="1">
      <c r="B187" s="110">
        <f t="shared" si="0"/>
        <v>2062</v>
      </c>
      <c r="C187" s="135">
        <f>[19]С2.5!$AU$11</f>
        <v>0</v>
      </c>
    </row>
    <row r="188" spans="2:3" ht="13.5" hidden="1" thickBot="1">
      <c r="B188" s="110">
        <f t="shared" si="0"/>
        <v>2063</v>
      </c>
      <c r="C188" s="135">
        <f>[19]С2.5!$AV$11</f>
        <v>0</v>
      </c>
    </row>
    <row r="189" spans="2:3" ht="13.5" hidden="1" thickBot="1">
      <c r="B189" s="110">
        <f t="shared" si="0"/>
        <v>2064</v>
      </c>
      <c r="C189" s="135">
        <f>[19]С2.5!$AW$11</f>
        <v>0</v>
      </c>
    </row>
    <row r="190" spans="2:3" ht="13.5" hidden="1" thickBot="1">
      <c r="B190" s="110">
        <f t="shared" si="0"/>
        <v>2065</v>
      </c>
      <c r="C190" s="135">
        <f>[19]С2.5!$AX$11</f>
        <v>0</v>
      </c>
    </row>
    <row r="191" spans="2:3" ht="13.5" hidden="1" thickBot="1">
      <c r="B191" s="110">
        <f t="shared" si="0"/>
        <v>2066</v>
      </c>
      <c r="C191" s="135">
        <f>[19]С2.5!$AY$11</f>
        <v>0</v>
      </c>
    </row>
    <row r="192" spans="2:3" ht="13.5" hidden="1" thickBot="1">
      <c r="B192" s="110">
        <f t="shared" si="0"/>
        <v>2067</v>
      </c>
      <c r="C192" s="135">
        <f>[19]С2.5!$AZ$11</f>
        <v>0</v>
      </c>
    </row>
    <row r="193" spans="2:3" ht="13.5" hidden="1" thickBot="1">
      <c r="B193" s="110">
        <f t="shared" si="0"/>
        <v>2068</v>
      </c>
      <c r="C193" s="135">
        <f>[19]С2.5!$BA$11</f>
        <v>0</v>
      </c>
    </row>
    <row r="194" spans="2:3" ht="13.5" hidden="1" thickBot="1">
      <c r="B194" s="110">
        <f t="shared" si="0"/>
        <v>2069</v>
      </c>
      <c r="C194" s="135">
        <f>[19]С2.5!$BB$11</f>
        <v>0</v>
      </c>
    </row>
    <row r="195" spans="2:3" ht="13.5" hidden="1" thickBot="1">
      <c r="B195" s="110">
        <f t="shared" si="0"/>
        <v>2070</v>
      </c>
      <c r="C195" s="135">
        <f>[19]С2.5!$BC$11</f>
        <v>0</v>
      </c>
    </row>
    <row r="196" spans="2:3" ht="13.5" hidden="1" thickBot="1">
      <c r="B196" s="110">
        <f t="shared" si="0"/>
        <v>2071</v>
      </c>
      <c r="C196" s="135">
        <f>[19]С2.5!$BD$11</f>
        <v>0</v>
      </c>
    </row>
    <row r="197" spans="2:3" ht="13.5" hidden="1" thickBot="1">
      <c r="B197" s="110">
        <f t="shared" si="0"/>
        <v>2072</v>
      </c>
      <c r="C197" s="135">
        <f>[19]С2.5!$BE$11</f>
        <v>0</v>
      </c>
    </row>
    <row r="198" spans="2:3" ht="13.5" hidden="1" thickBot="1">
      <c r="B198" s="110">
        <f t="shared" si="0"/>
        <v>2073</v>
      </c>
      <c r="C198" s="135">
        <f>[19]С2.5!$BF$11</f>
        <v>0</v>
      </c>
    </row>
    <row r="199" spans="2:3" ht="13.5" hidden="1" thickBot="1">
      <c r="B199" s="110">
        <f t="shared" si="0"/>
        <v>2074</v>
      </c>
      <c r="C199" s="135">
        <f>[19]С2.5!$BG$11</f>
        <v>0</v>
      </c>
    </row>
    <row r="200" spans="2:3" ht="13.5" hidden="1" thickBot="1">
      <c r="B200" s="110">
        <f t="shared" si="0"/>
        <v>2075</v>
      </c>
      <c r="C200" s="135">
        <f>[19]С2.5!$BH$11</f>
        <v>0</v>
      </c>
    </row>
    <row r="201" spans="2:3" ht="13.5" hidden="1" thickBot="1">
      <c r="B201" s="110">
        <f t="shared" si="0"/>
        <v>2076</v>
      </c>
      <c r="C201" s="135">
        <f>[19]С2.5!$BI$11</f>
        <v>0</v>
      </c>
    </row>
    <row r="202" spans="2:3" ht="13.5" hidden="1" thickBot="1">
      <c r="B202" s="110">
        <f t="shared" si="0"/>
        <v>2077</v>
      </c>
      <c r="C202" s="135">
        <f>[19]С2.5!$BJ$11</f>
        <v>0</v>
      </c>
    </row>
    <row r="203" spans="2:3" ht="13.5" hidden="1" thickBot="1">
      <c r="B203" s="110">
        <f t="shared" si="0"/>
        <v>2078</v>
      </c>
      <c r="C203" s="135">
        <f>[19]С2.5!$BK$11</f>
        <v>0</v>
      </c>
    </row>
    <row r="204" spans="2:3" ht="13.5" hidden="1" thickBot="1">
      <c r="B204" s="110">
        <f t="shared" si="0"/>
        <v>2079</v>
      </c>
      <c r="C204" s="135">
        <f>[19]С2.5!$BL$11</f>
        <v>0</v>
      </c>
    </row>
    <row r="205" spans="2:3" ht="13.5" hidden="1" thickBot="1">
      <c r="B205" s="110">
        <f t="shared" si="0"/>
        <v>2080</v>
      </c>
      <c r="C205" s="135">
        <f>[19]С2.5!$BM$11</f>
        <v>0</v>
      </c>
    </row>
    <row r="206" spans="2:3" ht="13.5" hidden="1" thickBot="1">
      <c r="B206" s="110">
        <f t="shared" si="0"/>
        <v>2081</v>
      </c>
      <c r="C206" s="135">
        <f>[19]С2.5!$BN$11</f>
        <v>0</v>
      </c>
    </row>
    <row r="207" spans="2:3" ht="13.5" hidden="1" thickBot="1">
      <c r="B207" s="110">
        <f t="shared" si="0"/>
        <v>2082</v>
      </c>
      <c r="C207" s="135">
        <f>[19]С2.5!$BO$11</f>
        <v>0</v>
      </c>
    </row>
    <row r="208" spans="2:3" ht="13.5" hidden="1" thickBot="1">
      <c r="B208" s="110">
        <f t="shared" si="0"/>
        <v>2083</v>
      </c>
      <c r="C208" s="135">
        <f>[19]С2.5!$BP$11</f>
        <v>0</v>
      </c>
    </row>
    <row r="209" spans="2:3" ht="13.5" hidden="1" thickBot="1">
      <c r="B209" s="110">
        <f t="shared" si="0"/>
        <v>2084</v>
      </c>
      <c r="C209" s="135">
        <f>[19]С2.5!$BQ$11</f>
        <v>0</v>
      </c>
    </row>
    <row r="210" spans="2:3" ht="13.5" hidden="1" thickBot="1">
      <c r="B210" s="110">
        <f t="shared" si="0"/>
        <v>2085</v>
      </c>
      <c r="C210" s="135">
        <f>[19]С2.5!$BR$11</f>
        <v>0</v>
      </c>
    </row>
    <row r="211" spans="2:3" ht="13.5" hidden="1" thickBot="1">
      <c r="B211" s="110">
        <f t="shared" ref="B211:B224" si="1">B210+1</f>
        <v>2086</v>
      </c>
      <c r="C211" s="135">
        <f>[19]С2.5!$BS$11</f>
        <v>0</v>
      </c>
    </row>
    <row r="212" spans="2:3" ht="13.5" hidden="1" thickBot="1">
      <c r="B212" s="110">
        <f t="shared" si="1"/>
        <v>2087</v>
      </c>
      <c r="C212" s="135">
        <f>[19]С2.5!$BT$11</f>
        <v>0</v>
      </c>
    </row>
    <row r="213" spans="2:3" ht="13.5" hidden="1" thickBot="1">
      <c r="B213" s="110">
        <f t="shared" si="1"/>
        <v>2088</v>
      </c>
      <c r="C213" s="135">
        <f>[19]С2.5!$BU$11</f>
        <v>0</v>
      </c>
    </row>
    <row r="214" spans="2:3" ht="13.5" hidden="1" thickBot="1">
      <c r="B214" s="110">
        <f t="shared" si="1"/>
        <v>2089</v>
      </c>
      <c r="C214" s="135">
        <f>[19]С2.5!$BV$11</f>
        <v>0</v>
      </c>
    </row>
    <row r="215" spans="2:3" ht="13.5" hidden="1" thickBot="1">
      <c r="B215" s="110">
        <f t="shared" si="1"/>
        <v>2090</v>
      </c>
      <c r="C215" s="135">
        <f>[19]С2.5!$BW$11</f>
        <v>0</v>
      </c>
    </row>
    <row r="216" spans="2:3" ht="13.5" hidden="1" thickBot="1">
      <c r="B216" s="110">
        <f t="shared" si="1"/>
        <v>2091</v>
      </c>
      <c r="C216" s="135">
        <f>[19]С2.5!$BX$11</f>
        <v>0</v>
      </c>
    </row>
    <row r="217" spans="2:3" ht="13.5" hidden="1" thickBot="1">
      <c r="B217" s="110">
        <f t="shared" si="1"/>
        <v>2092</v>
      </c>
      <c r="C217" s="135">
        <f>[19]С2.5!$BY$11</f>
        <v>0</v>
      </c>
    </row>
    <row r="218" spans="2:3" ht="13.5" hidden="1" thickBot="1">
      <c r="B218" s="110">
        <f t="shared" si="1"/>
        <v>2093</v>
      </c>
      <c r="C218" s="135">
        <f>[19]С2.5!$BZ$11</f>
        <v>0</v>
      </c>
    </row>
    <row r="219" spans="2:3" ht="13.5" hidden="1" thickBot="1">
      <c r="B219" s="110">
        <f t="shared" si="1"/>
        <v>2094</v>
      </c>
      <c r="C219" s="135">
        <f>[19]С2.5!$CA$11</f>
        <v>0</v>
      </c>
    </row>
    <row r="220" spans="2:3" ht="13.5" hidden="1" thickBot="1">
      <c r="B220" s="110">
        <f t="shared" si="1"/>
        <v>2095</v>
      </c>
      <c r="C220" s="135">
        <f>[19]С2.5!$CB$11</f>
        <v>0</v>
      </c>
    </row>
    <row r="221" spans="2:3" ht="13.5" hidden="1" thickBot="1">
      <c r="B221" s="110">
        <f t="shared" si="1"/>
        <v>2096</v>
      </c>
      <c r="C221" s="135">
        <f>[19]С2.5!$CC$11</f>
        <v>0</v>
      </c>
    </row>
    <row r="222" spans="2:3" ht="13.5" hidden="1" thickBot="1">
      <c r="B222" s="110">
        <f t="shared" si="1"/>
        <v>2097</v>
      </c>
      <c r="C222" s="135">
        <f>[19]С2.5!$CD$11</f>
        <v>0</v>
      </c>
    </row>
    <row r="223" spans="2:3" ht="13.5" hidden="1" thickBot="1">
      <c r="B223" s="110">
        <f t="shared" si="1"/>
        <v>2098</v>
      </c>
      <c r="C223" s="135">
        <f>[19]С2.5!$CE$11</f>
        <v>0</v>
      </c>
    </row>
    <row r="224" spans="2:3" ht="13.5" hidden="1" thickBot="1">
      <c r="B224" s="110">
        <f t="shared" si="1"/>
        <v>2099</v>
      </c>
      <c r="C224" s="135">
        <f>[19]С2.5!$CF$11</f>
        <v>0</v>
      </c>
    </row>
    <row r="225" spans="2:3" ht="13.5" hidden="1" thickBot="1">
      <c r="B225" s="112">
        <f>B162+1</f>
        <v>2038</v>
      </c>
      <c r="C225" s="136" t="e">
        <f>[19]С2.5!#REF!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3" width="9.140625" style="2"/>
    <col min="154" max="235" width="0" style="2" hidden="1" customWidth="1"/>
    <col min="236" max="244" width="9.140625" style="2"/>
    <col min="245" max="245" width="3.710937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710937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710937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710937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710937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710937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710937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710937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710937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710937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710937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710937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710937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710937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710937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710937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710937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710937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710937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710937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710937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710937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710937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710937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710937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710937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710937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710937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710937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710937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710937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710937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710937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710937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710937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710937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710937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710937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710937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710937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710937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710937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710937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710937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710937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710937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710937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710937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710937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710937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710937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710937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710937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710937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710937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710937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710937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710937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710937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710937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710937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710937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710937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[20]И1!D13</f>
        <v>Субъект Российской Федерации</v>
      </c>
      <c r="C4" s="10" t="str">
        <f>[20]И1!E13</f>
        <v>Новосибирская область</v>
      </c>
    </row>
    <row r="5" spans="1:3" ht="15.95" customHeight="1">
      <c r="A5" s="8"/>
      <c r="B5" s="9" t="str">
        <f>[20]И1!D14</f>
        <v>Тип муниципального образования (выберите из списка)</v>
      </c>
      <c r="C5" s="10" t="str">
        <f>[20]И1!E14</f>
        <v xml:space="preserve">село Новолуговое, Новосибирский муниципальный район </v>
      </c>
    </row>
    <row r="6" spans="1:3">
      <c r="A6" s="8"/>
      <c r="B6" s="9" t="str">
        <f>IF([20]И1!E15="","",[20]И1!D15)</f>
        <v/>
      </c>
      <c r="C6" s="7" t="str">
        <f>IF([20]И1!E15="","",[20]И1!E15)</f>
        <v/>
      </c>
    </row>
    <row r="7" spans="1:3">
      <c r="A7" s="8"/>
      <c r="B7" s="9" t="str">
        <f>[20]И1!D16</f>
        <v>Код ОКТМО</v>
      </c>
      <c r="C7" s="11" t="str">
        <f>[20]И1!E16</f>
        <v>50640434101</v>
      </c>
    </row>
    <row r="8" spans="1:3">
      <c r="A8" s="8"/>
      <c r="B8" s="12" t="str">
        <f>[20]И1!D17</f>
        <v>Система теплоснабжения</v>
      </c>
      <c r="C8" s="13">
        <f>[20]И1!E17</f>
        <v>0</v>
      </c>
    </row>
    <row r="9" spans="1:3">
      <c r="A9" s="8"/>
      <c r="B9" s="9" t="str">
        <f>[20]И1!D8</f>
        <v>Период регулирования (i)-й</v>
      </c>
      <c r="C9" s="14">
        <f>[20]И1!E8</f>
        <v>2024</v>
      </c>
    </row>
    <row r="10" spans="1:3">
      <c r="A10" s="8"/>
      <c r="B10" s="9" t="str">
        <f>[20]И1!D9</f>
        <v>Период регулирования (i-1)-й</v>
      </c>
      <c r="C10" s="14">
        <f>[20]И1!E9</f>
        <v>2023</v>
      </c>
    </row>
    <row r="11" spans="1:3">
      <c r="A11" s="8"/>
      <c r="B11" s="9" t="str">
        <f>[20]И1!D10</f>
        <v>Период регулирования (i-2)-й</v>
      </c>
      <c r="C11" s="14">
        <f>[20]И1!E10</f>
        <v>2022</v>
      </c>
    </row>
    <row r="12" spans="1:3">
      <c r="A12" s="8"/>
      <c r="B12" s="9" t="str">
        <f>[20]И1!D11</f>
        <v>Базовый год (б)</v>
      </c>
      <c r="C12" s="14">
        <f>[20]И1!E11</f>
        <v>2019</v>
      </c>
    </row>
    <row r="13" spans="1:3">
      <c r="A13" s="8"/>
      <c r="B13" s="9" t="str">
        <f>[20]И1!D18</f>
        <v>Вид топлива, использование которого преобладает в системе теплоснабжения</v>
      </c>
      <c r="C13" s="15" t="str">
        <f>[20]И1!E18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2965.8763022190569</v>
      </c>
    </row>
    <row r="18" spans="1:3" ht="42.75">
      <c r="A18" s="22" t="s">
        <v>8</v>
      </c>
      <c r="B18" s="25" t="s">
        <v>9</v>
      </c>
      <c r="C18" s="26">
        <f>[20]С1!F12</f>
        <v>994.35037159416254</v>
      </c>
    </row>
    <row r="19" spans="1:3" ht="42.75">
      <c r="A19" s="22" t="s">
        <v>10</v>
      </c>
      <c r="B19" s="25" t="s">
        <v>11</v>
      </c>
      <c r="C19" s="26">
        <f>[20]С2!F12</f>
        <v>1337.1646821037446</v>
      </c>
    </row>
    <row r="20" spans="1:3" ht="30">
      <c r="A20" s="22" t="s">
        <v>12</v>
      </c>
      <c r="B20" s="25" t="s">
        <v>13</v>
      </c>
      <c r="C20" s="26">
        <f>[20]С3!F12</f>
        <v>317.6025648848447</v>
      </c>
    </row>
    <row r="21" spans="1:3" ht="42.75">
      <c r="A21" s="22" t="s">
        <v>14</v>
      </c>
      <c r="B21" s="25" t="s">
        <v>228</v>
      </c>
      <c r="C21" s="26">
        <f>[20]С4!F12</f>
        <v>258.60424633789228</v>
      </c>
    </row>
    <row r="22" spans="1:3" ht="33" customHeight="1">
      <c r="A22" s="22" t="s">
        <v>16</v>
      </c>
      <c r="B22" s="25" t="s">
        <v>229</v>
      </c>
      <c r="C22" s="26">
        <f>[20]С5!F12</f>
        <v>58.15443729841288</v>
      </c>
    </row>
    <row r="23" spans="1:3" ht="45.75" customHeight="1" thickBot="1">
      <c r="A23" s="27" t="s">
        <v>18</v>
      </c>
      <c r="B23" s="141" t="s">
        <v>230</v>
      </c>
      <c r="C23" s="28">
        <f>[20]С6!F12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[20]С1.1!E16</f>
        <v>7900</v>
      </c>
    </row>
    <row r="29" spans="1:3" ht="42.75">
      <c r="A29" s="22" t="s">
        <v>10</v>
      </c>
      <c r="B29" s="33" t="s">
        <v>232</v>
      </c>
      <c r="C29" s="34">
        <f>[20]С1.1!E32</f>
        <v>5751.37</v>
      </c>
    </row>
    <row r="30" spans="1:3" ht="38.25">
      <c r="A30" s="22" t="s">
        <v>233</v>
      </c>
      <c r="B30" s="33" t="s">
        <v>234</v>
      </c>
      <c r="C30" s="85" t="str">
        <f>[20]С1.1!E25</f>
        <v>ООО "Газпром газораспределение Томск"</v>
      </c>
    </row>
    <row r="31" spans="1:3" ht="38.25">
      <c r="A31" s="22" t="s">
        <v>235</v>
      </c>
      <c r="B31" s="33" t="str">
        <f>[20]С1.1!D26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[20]С1.1!E26</f>
        <v>4699.5</v>
      </c>
    </row>
    <row r="32" spans="1:3" ht="25.5">
      <c r="A32" s="22" t="s">
        <v>236</v>
      </c>
      <c r="B32" s="33" t="str">
        <f>[20]С1.1!D27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[20]С1.1!E27</f>
        <v>795.43</v>
      </c>
    </row>
    <row r="33" spans="1:3" ht="25.5">
      <c r="A33" s="22" t="s">
        <v>237</v>
      </c>
      <c r="B33" s="33" t="str">
        <f>[20]С1.1!D28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[20]С1.1!E28</f>
        <v>136.54</v>
      </c>
    </row>
    <row r="34" spans="1:3" ht="38.25">
      <c r="A34" s="22" t="s">
        <v>238</v>
      </c>
      <c r="B34" s="33" t="str">
        <f>[20]С1.1!D29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[20]С1.1!E29</f>
        <v>119.9</v>
      </c>
    </row>
    <row r="35" spans="1:3" ht="17.25">
      <c r="A35" s="22" t="s">
        <v>12</v>
      </c>
      <c r="B35" s="33" t="s">
        <v>23</v>
      </c>
      <c r="C35" s="35">
        <f>[20]С1.1!E20</f>
        <v>8.5000000000000006E-2</v>
      </c>
    </row>
    <row r="36" spans="1:3" ht="17.25">
      <c r="A36" s="22" t="s">
        <v>14</v>
      </c>
      <c r="B36" s="33" t="s">
        <v>24</v>
      </c>
      <c r="C36" s="35">
        <f>[20]С1.1!E21</f>
        <v>0.112</v>
      </c>
    </row>
    <row r="37" spans="1:3" ht="30">
      <c r="A37" s="22" t="s">
        <v>16</v>
      </c>
      <c r="B37" s="36" t="s">
        <v>239</v>
      </c>
      <c r="C37" s="121">
        <f>[20]С1!F13</f>
        <v>156.1</v>
      </c>
    </row>
    <row r="38" spans="1:3">
      <c r="A38" s="22" t="s">
        <v>18</v>
      </c>
      <c r="B38" s="36" t="s">
        <v>26</v>
      </c>
      <c r="C38" s="38">
        <f>[20]С1!F16</f>
        <v>7000</v>
      </c>
    </row>
    <row r="39" spans="1:3" ht="14.25">
      <c r="A39" s="122" t="s">
        <v>27</v>
      </c>
      <c r="B39" s="39" t="s">
        <v>240</v>
      </c>
      <c r="C39" s="40">
        <f>[20]С1!F17</f>
        <v>1.1285714285714286</v>
      </c>
    </row>
    <row r="40" spans="1:3" ht="15.75">
      <c r="A40" s="123" t="s">
        <v>29</v>
      </c>
      <c r="B40" s="42" t="s">
        <v>30</v>
      </c>
      <c r="C40" s="40">
        <f>[20]С1!F20</f>
        <v>22.307053372799995</v>
      </c>
    </row>
    <row r="41" spans="1:3" ht="15.75">
      <c r="A41" s="123" t="s">
        <v>31</v>
      </c>
      <c r="B41" s="43" t="s">
        <v>32</v>
      </c>
      <c r="C41" s="40">
        <f>[20]С1!F21</f>
        <v>21.531904799999996</v>
      </c>
    </row>
    <row r="42" spans="1:3" ht="14.25">
      <c r="A42" s="123" t="s">
        <v>33</v>
      </c>
      <c r="B42" s="44" t="s">
        <v>34</v>
      </c>
      <c r="C42" s="40">
        <f>[20]С1!F22</f>
        <v>1.036</v>
      </c>
    </row>
    <row r="43" spans="1:3" ht="53.25" thickBot="1">
      <c r="A43" s="27" t="s">
        <v>35</v>
      </c>
      <c r="B43" s="45" t="s">
        <v>36</v>
      </c>
      <c r="C43" s="46" t="str">
        <f>[20]С1!F23</f>
        <v>-</v>
      </c>
    </row>
    <row r="44" spans="1:3" ht="13.5" thickBot="1">
      <c r="A44" s="47"/>
      <c r="B44" s="75"/>
      <c r="C44" s="15"/>
    </row>
    <row r="45" spans="1:3" ht="30" customHeight="1">
      <c r="A45" s="50" t="s">
        <v>37</v>
      </c>
      <c r="B45" s="145" t="s">
        <v>38</v>
      </c>
      <c r="C45" s="145"/>
    </row>
    <row r="46" spans="1:3" ht="25.5">
      <c r="A46" s="22" t="s">
        <v>39</v>
      </c>
      <c r="B46" s="36" t="s">
        <v>40</v>
      </c>
      <c r="C46" s="51" t="str">
        <f>[20]С2.1!E12</f>
        <v>V</v>
      </c>
    </row>
    <row r="47" spans="1:3" ht="25.5">
      <c r="A47" s="22" t="s">
        <v>41</v>
      </c>
      <c r="B47" s="33" t="s">
        <v>42</v>
      </c>
      <c r="C47" s="51" t="str">
        <f>[20]С2.1!E13</f>
        <v>6 и менее баллов</v>
      </c>
    </row>
    <row r="48" spans="1:3" ht="25.5">
      <c r="A48" s="22" t="s">
        <v>43</v>
      </c>
      <c r="B48" s="33" t="s">
        <v>241</v>
      </c>
      <c r="C48" s="51" t="str">
        <f>[20]С2.1!E14</f>
        <v>от 200 до 500</v>
      </c>
    </row>
    <row r="49" spans="1:3" ht="25.5">
      <c r="A49" s="22" t="s">
        <v>45</v>
      </c>
      <c r="B49" s="33" t="s">
        <v>242</v>
      </c>
      <c r="C49" s="52" t="str">
        <f>[20]С2.1!E15</f>
        <v>нет</v>
      </c>
    </row>
    <row r="50" spans="1:3" ht="30">
      <c r="A50" s="22" t="s">
        <v>47</v>
      </c>
      <c r="B50" s="33" t="s">
        <v>48</v>
      </c>
      <c r="C50" s="34">
        <f>[20]С2!F18</f>
        <v>35106.652004551666</v>
      </c>
    </row>
    <row r="51" spans="1:3" ht="30">
      <c r="A51" s="22" t="s">
        <v>49</v>
      </c>
      <c r="B51" s="53" t="s">
        <v>50</v>
      </c>
      <c r="C51" s="34">
        <f>IF([20]С2!F19&gt;0,[20]С2!F19,[20]С2!F20)</f>
        <v>23441.524932855718</v>
      </c>
    </row>
    <row r="52" spans="1:3" ht="25.5">
      <c r="A52" s="22" t="s">
        <v>51</v>
      </c>
      <c r="B52" s="54" t="s">
        <v>52</v>
      </c>
      <c r="C52" s="34">
        <f>[20]С2.1!E20</f>
        <v>-37</v>
      </c>
    </row>
    <row r="53" spans="1:3" ht="25.5">
      <c r="A53" s="22" t="s">
        <v>53</v>
      </c>
      <c r="B53" s="54" t="s">
        <v>54</v>
      </c>
      <c r="C53" s="34" t="str">
        <f>[20]С2.1!E23</f>
        <v>нет</v>
      </c>
    </row>
    <row r="54" spans="1:3" ht="38.25">
      <c r="A54" s="22" t="s">
        <v>55</v>
      </c>
      <c r="B54" s="55" t="s">
        <v>56</v>
      </c>
      <c r="C54" s="34">
        <f>[20]С2.2!E10</f>
        <v>1287</v>
      </c>
    </row>
    <row r="55" spans="1:3" ht="25.5">
      <c r="A55" s="22" t="s">
        <v>57</v>
      </c>
      <c r="B55" s="56" t="s">
        <v>58</v>
      </c>
      <c r="C55" s="34">
        <f>[20]С2.2!E12</f>
        <v>5.97</v>
      </c>
    </row>
    <row r="56" spans="1:3" ht="52.5">
      <c r="A56" s="22" t="s">
        <v>59</v>
      </c>
      <c r="B56" s="57" t="s">
        <v>60</v>
      </c>
      <c r="C56" s="34">
        <f>[20]С2.2!E13</f>
        <v>1</v>
      </c>
    </row>
    <row r="57" spans="1:3" ht="27.75">
      <c r="A57" s="22" t="s">
        <v>61</v>
      </c>
      <c r="B57" s="56" t="s">
        <v>62</v>
      </c>
      <c r="C57" s="34">
        <f>[20]С2.2!E14</f>
        <v>12104</v>
      </c>
    </row>
    <row r="58" spans="1:3" ht="25.5">
      <c r="A58" s="22" t="s">
        <v>63</v>
      </c>
      <c r="B58" s="57" t="s">
        <v>64</v>
      </c>
      <c r="C58" s="35">
        <f>[20]С2.2!E15</f>
        <v>4.8000000000000001E-2</v>
      </c>
    </row>
    <row r="59" spans="1:3">
      <c r="A59" s="22" t="s">
        <v>65</v>
      </c>
      <c r="B59" s="57" t="s">
        <v>66</v>
      </c>
      <c r="C59" s="124">
        <f>[20]С2.2!E16</f>
        <v>1</v>
      </c>
    </row>
    <row r="60" spans="1:3" ht="15.75">
      <c r="A60" s="22" t="s">
        <v>67</v>
      </c>
      <c r="B60" s="58" t="s">
        <v>68</v>
      </c>
      <c r="C60" s="34">
        <f>[20]С2!F21</f>
        <v>1</v>
      </c>
    </row>
    <row r="61" spans="1:3" ht="30">
      <c r="A61" s="59" t="s">
        <v>69</v>
      </c>
      <c r="B61" s="33" t="s">
        <v>243</v>
      </c>
      <c r="C61" s="34">
        <f>[20]С2!F13</f>
        <v>105136.23090983224</v>
      </c>
    </row>
    <row r="62" spans="1:3" ht="30">
      <c r="A62" s="59" t="s">
        <v>71</v>
      </c>
      <c r="B62" s="60" t="s">
        <v>244</v>
      </c>
      <c r="C62" s="34">
        <f>[20]С2!F14</f>
        <v>64899</v>
      </c>
    </row>
    <row r="63" spans="1:3" ht="15.75">
      <c r="A63" s="59" t="s">
        <v>73</v>
      </c>
      <c r="B63" s="60" t="s">
        <v>74</v>
      </c>
      <c r="C63" s="40">
        <f>[20]С2!F15</f>
        <v>1.071</v>
      </c>
    </row>
    <row r="64" spans="1:3" ht="15.75">
      <c r="A64" s="59" t="s">
        <v>75</v>
      </c>
      <c r="B64" s="60" t="s">
        <v>76</v>
      </c>
      <c r="C64" s="125">
        <f>[20]С2!F16</f>
        <v>1</v>
      </c>
    </row>
    <row r="65" spans="1:3" ht="17.25">
      <c r="A65" s="59" t="s">
        <v>77</v>
      </c>
      <c r="B65" s="60" t="s">
        <v>78</v>
      </c>
      <c r="C65" s="126">
        <f>[20]С2!F17</f>
        <v>1.01</v>
      </c>
    </row>
    <row r="66" spans="1:3" s="63" customFormat="1" ht="14.25">
      <c r="A66" s="59" t="s">
        <v>79</v>
      </c>
      <c r="B66" s="61" t="s">
        <v>80</v>
      </c>
      <c r="C66" s="62">
        <f>[20]С2!F35</f>
        <v>10</v>
      </c>
    </row>
    <row r="67" spans="1:3" ht="30">
      <c r="A67" s="59" t="s">
        <v>81</v>
      </c>
      <c r="B67" s="64" t="s">
        <v>82</v>
      </c>
      <c r="C67" s="34">
        <f>[20]С2!F28</f>
        <v>141.64867100230373</v>
      </c>
    </row>
    <row r="68" spans="1:3" ht="17.25">
      <c r="A68" s="59" t="s">
        <v>83</v>
      </c>
      <c r="B68" s="53" t="s">
        <v>245</v>
      </c>
      <c r="C68" s="40">
        <f>[20]С2!F29</f>
        <v>0.18916419899999998</v>
      </c>
    </row>
    <row r="69" spans="1:3" ht="17.25">
      <c r="A69" s="59" t="s">
        <v>85</v>
      </c>
      <c r="B69" s="58" t="s">
        <v>246</v>
      </c>
      <c r="C69" s="62">
        <f>[20]С2!F30</f>
        <v>500</v>
      </c>
    </row>
    <row r="70" spans="1:3" ht="42.75">
      <c r="A70" s="59" t="s">
        <v>87</v>
      </c>
      <c r="B70" s="33" t="s">
        <v>247</v>
      </c>
      <c r="C70" s="34">
        <f>[20]С2!F22</f>
        <v>39638.324046481182</v>
      </c>
    </row>
    <row r="71" spans="1:3" ht="30">
      <c r="A71" s="59" t="s">
        <v>89</v>
      </c>
      <c r="B71" s="60" t="s">
        <v>248</v>
      </c>
      <c r="C71" s="34">
        <f>[20]С2!F23</f>
        <v>21</v>
      </c>
    </row>
    <row r="72" spans="1:3" ht="30">
      <c r="A72" s="59" t="s">
        <v>91</v>
      </c>
      <c r="B72" s="53" t="s">
        <v>92</v>
      </c>
      <c r="C72" s="34">
        <f>[20]С2.1!E28</f>
        <v>14036.09995</v>
      </c>
    </row>
    <row r="73" spans="1:3" ht="38.25">
      <c r="A73" s="59" t="s">
        <v>93</v>
      </c>
      <c r="B73" s="65" t="s">
        <v>94</v>
      </c>
      <c r="C73" s="52">
        <f>[20]С2.3!E21</f>
        <v>0</v>
      </c>
    </row>
    <row r="74" spans="1:3" ht="25.5">
      <c r="A74" s="59" t="s">
        <v>95</v>
      </c>
      <c r="B74" s="66" t="s">
        <v>96</v>
      </c>
      <c r="C74" s="67">
        <f>[20]С2.3!E11</f>
        <v>5.45</v>
      </c>
    </row>
    <row r="75" spans="1:3" ht="25.5">
      <c r="A75" s="59" t="s">
        <v>97</v>
      </c>
      <c r="B75" s="66" t="s">
        <v>98</v>
      </c>
      <c r="C75" s="62">
        <f>[20]С2.3!E13</f>
        <v>300</v>
      </c>
    </row>
    <row r="76" spans="1:3" ht="25.5">
      <c r="A76" s="59" t="s">
        <v>99</v>
      </c>
      <c r="B76" s="65" t="s">
        <v>100</v>
      </c>
      <c r="C76" s="68">
        <f>IF([20]С2.3!E22&gt;0,[20]С2.3!E22,[20]С2.3!E14)</f>
        <v>61211</v>
      </c>
    </row>
    <row r="77" spans="1:3" ht="38.25">
      <c r="A77" s="59" t="s">
        <v>101</v>
      </c>
      <c r="B77" s="65" t="s">
        <v>102</v>
      </c>
      <c r="C77" s="68">
        <f>IF([20]С2.3!E23&gt;0,[20]С2.3!E23,[20]С2.3!E15)</f>
        <v>45675</v>
      </c>
    </row>
    <row r="78" spans="1:3" ht="30">
      <c r="A78" s="59" t="s">
        <v>103</v>
      </c>
      <c r="B78" s="53" t="s">
        <v>104</v>
      </c>
      <c r="C78" s="34">
        <f>[20]С2.1!E29</f>
        <v>9518.3274000000001</v>
      </c>
    </row>
    <row r="79" spans="1:3" ht="38.25">
      <c r="A79" s="59" t="s">
        <v>105</v>
      </c>
      <c r="B79" s="65" t="s">
        <v>106</v>
      </c>
      <c r="C79" s="52">
        <f>[20]С2.3!E25</f>
        <v>0</v>
      </c>
    </row>
    <row r="80" spans="1:3" ht="25.5">
      <c r="A80" s="59" t="s">
        <v>107</v>
      </c>
      <c r="B80" s="66" t="s">
        <v>108</v>
      </c>
      <c r="C80" s="67">
        <f>[20]С2.3!E12</f>
        <v>0.2</v>
      </c>
    </row>
    <row r="81" spans="1:3" ht="25.5">
      <c r="A81" s="59" t="s">
        <v>109</v>
      </c>
      <c r="B81" s="66" t="s">
        <v>98</v>
      </c>
      <c r="C81" s="62">
        <f>[20]С2.3!E13</f>
        <v>300</v>
      </c>
    </row>
    <row r="82" spans="1:3" ht="25.5">
      <c r="A82" s="59" t="s">
        <v>110</v>
      </c>
      <c r="B82" s="69" t="s">
        <v>111</v>
      </c>
      <c r="C82" s="68">
        <f>IF([20]С2.3!E26&gt;0,[20]С2.3!E26,[20]С2.3!E16)</f>
        <v>65637</v>
      </c>
    </row>
    <row r="83" spans="1:3" ht="38.25">
      <c r="A83" s="59" t="s">
        <v>112</v>
      </c>
      <c r="B83" s="69" t="s">
        <v>113</v>
      </c>
      <c r="C83" s="68">
        <f>IF([20]С2.3!E27&gt;0,[20]С2.3!E27,[20]С2.3!E17)</f>
        <v>31684</v>
      </c>
    </row>
    <row r="84" spans="1:3" ht="30">
      <c r="A84" s="59" t="s">
        <v>249</v>
      </c>
      <c r="B84" s="60" t="s">
        <v>250</v>
      </c>
      <c r="C84" s="68">
        <f>IF([20]С2.1!E19&gt;0,[20]С2.1!E19,[20]С2!F26)</f>
        <v>2892</v>
      </c>
    </row>
    <row r="85" spans="1:3" ht="17.25">
      <c r="A85" s="59" t="s">
        <v>114</v>
      </c>
      <c r="B85" s="33" t="s">
        <v>115</v>
      </c>
      <c r="C85" s="35">
        <f>[20]С2!F31</f>
        <v>9.5962865259740182E-2</v>
      </c>
    </row>
    <row r="86" spans="1:3" ht="30">
      <c r="A86" s="59" t="s">
        <v>116</v>
      </c>
      <c r="B86" s="53" t="s">
        <v>117</v>
      </c>
      <c r="C86" s="70">
        <f>[20]С2!F32</f>
        <v>8.4029304029304031E-2</v>
      </c>
    </row>
    <row r="87" spans="1:3" ht="17.25">
      <c r="A87" s="59" t="s">
        <v>118</v>
      </c>
      <c r="B87" s="71" t="s">
        <v>119</v>
      </c>
      <c r="C87" s="35">
        <f>[20]С2!F33</f>
        <v>0.13880000000000001</v>
      </c>
    </row>
    <row r="88" spans="1:3" s="63" customFormat="1" ht="18" thickBot="1">
      <c r="A88" s="72" t="s">
        <v>120</v>
      </c>
      <c r="B88" s="73" t="s">
        <v>121</v>
      </c>
      <c r="C88" s="74">
        <f>[20]С2!F34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[20]С3!F14</f>
        <v>4199.9055432306041</v>
      </c>
    </row>
    <row r="92" spans="1:3" s="63" customFormat="1" ht="42.75">
      <c r="A92" s="77" t="s">
        <v>126</v>
      </c>
      <c r="B92" s="53" t="s">
        <v>127</v>
      </c>
      <c r="C92" s="78">
        <f>[20]С3!F15</f>
        <v>0.2</v>
      </c>
    </row>
    <row r="93" spans="1:3" s="63" customFormat="1" ht="14.25">
      <c r="A93" s="77" t="s">
        <v>128</v>
      </c>
      <c r="B93" s="79" t="s">
        <v>129</v>
      </c>
      <c r="C93" s="62">
        <f>[20]С3!F18</f>
        <v>15</v>
      </c>
    </row>
    <row r="94" spans="1:3" s="63" customFormat="1" ht="17.25">
      <c r="A94" s="77" t="s">
        <v>130</v>
      </c>
      <c r="B94" s="33" t="s">
        <v>131</v>
      </c>
      <c r="C94" s="34">
        <f>[20]С3!F19</f>
        <v>2638.2577020926874</v>
      </c>
    </row>
    <row r="95" spans="1:3" s="63" customFormat="1" ht="55.5">
      <c r="A95" s="77" t="s">
        <v>132</v>
      </c>
      <c r="B95" s="53" t="s">
        <v>133</v>
      </c>
      <c r="C95" s="80">
        <f>[20]С3!F20</f>
        <v>2.1999999999999999E-2</v>
      </c>
    </row>
    <row r="96" spans="1:3" s="63" customFormat="1" ht="14.25">
      <c r="A96" s="77" t="s">
        <v>134</v>
      </c>
      <c r="B96" s="58" t="s">
        <v>80</v>
      </c>
      <c r="C96" s="62">
        <f>[20]С3!F21</f>
        <v>10</v>
      </c>
    </row>
    <row r="97" spans="1:3" s="63" customFormat="1" ht="17.25">
      <c r="A97" s="77" t="s">
        <v>135</v>
      </c>
      <c r="B97" s="33" t="s">
        <v>136</v>
      </c>
      <c r="C97" s="34">
        <f>[20]С3!F22</f>
        <v>0.42494601300691121</v>
      </c>
    </row>
    <row r="98" spans="1:3" s="63" customFormat="1" ht="55.5">
      <c r="A98" s="77" t="s">
        <v>137</v>
      </c>
      <c r="B98" s="53" t="s">
        <v>138</v>
      </c>
      <c r="C98" s="80">
        <f>[20]С3!F23</f>
        <v>3.0000000000000001E-3</v>
      </c>
    </row>
    <row r="99" spans="1:3" s="63" customFormat="1" ht="30.75" thickBot="1">
      <c r="A99" s="81" t="s">
        <v>139</v>
      </c>
      <c r="B99" s="82" t="s">
        <v>82</v>
      </c>
      <c r="C99" s="83">
        <f>[20]С3!F24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[20]С4!F16</f>
        <v>832.33500000000004</v>
      </c>
    </row>
    <row r="103" spans="1:3" ht="30">
      <c r="A103" s="59" t="s">
        <v>145</v>
      </c>
      <c r="B103" s="58" t="s">
        <v>252</v>
      </c>
      <c r="C103" s="34">
        <f>[20]С4!F17</f>
        <v>43385</v>
      </c>
    </row>
    <row r="104" spans="1:3" ht="17.25">
      <c r="A104" s="59" t="s">
        <v>147</v>
      </c>
      <c r="B104" s="58" t="s">
        <v>148</v>
      </c>
      <c r="C104" s="40">
        <f>[20]С4!F18</f>
        <v>1.4999999999999999E-2</v>
      </c>
    </row>
    <row r="105" spans="1:3" ht="30">
      <c r="A105" s="59" t="s">
        <v>149</v>
      </c>
      <c r="B105" s="58" t="s">
        <v>150</v>
      </c>
      <c r="C105" s="34">
        <f>[20]С4!F19</f>
        <v>12104</v>
      </c>
    </row>
    <row r="106" spans="1:3" ht="31.5">
      <c r="A106" s="59" t="s">
        <v>151</v>
      </c>
      <c r="B106" s="58" t="s">
        <v>152</v>
      </c>
      <c r="C106" s="40">
        <f>[20]С4!F20</f>
        <v>1.4999999999999999E-2</v>
      </c>
    </row>
    <row r="107" spans="1:3" ht="30">
      <c r="A107" s="59" t="s">
        <v>153</v>
      </c>
      <c r="B107" s="33" t="s">
        <v>253</v>
      </c>
      <c r="C107" s="34">
        <f>[20]С4!F21</f>
        <v>1221.9019409821399</v>
      </c>
    </row>
    <row r="108" spans="1:3" ht="45.6" customHeight="1">
      <c r="A108" s="59" t="s">
        <v>155</v>
      </c>
      <c r="B108" s="53" t="s">
        <v>156</v>
      </c>
      <c r="C108" s="85" t="str">
        <f>IF([20]С4.2!F8="да",[20]С4.2!D21,[20]С4.2!D15)</f>
        <v>АО "Новосибирскэнергосбыт"</v>
      </c>
    </row>
    <row r="109" spans="1:3" ht="68.25" customHeight="1">
      <c r="A109" s="59" t="s">
        <v>157</v>
      </c>
      <c r="B109" s="53" t="s">
        <v>158</v>
      </c>
      <c r="C109" s="34">
        <f>[20]С4!F22</f>
        <v>3.6112641666666665</v>
      </c>
    </row>
    <row r="110" spans="1:3" ht="30">
      <c r="A110" s="59" t="s">
        <v>159</v>
      </c>
      <c r="B110" s="58" t="s">
        <v>254</v>
      </c>
      <c r="C110" s="62">
        <f>[20]С4!F23</f>
        <v>110</v>
      </c>
    </row>
    <row r="111" spans="1:3" ht="14.25">
      <c r="A111" s="59" t="s">
        <v>161</v>
      </c>
      <c r="B111" s="53" t="s">
        <v>162</v>
      </c>
      <c r="C111" s="34">
        <f>[20]С4!F24</f>
        <v>8497.1999999999989</v>
      </c>
    </row>
    <row r="112" spans="1:3" ht="14.25">
      <c r="A112" s="59" t="s">
        <v>163</v>
      </c>
      <c r="B112" s="58" t="s">
        <v>164</v>
      </c>
      <c r="C112" s="40">
        <f>[20]С4!F25</f>
        <v>0.36199999999999999</v>
      </c>
    </row>
    <row r="113" spans="1:3" ht="17.25">
      <c r="A113" s="59" t="s">
        <v>165</v>
      </c>
      <c r="B113" s="33" t="s">
        <v>166</v>
      </c>
      <c r="C113" s="34">
        <f>[20]С4!F26</f>
        <v>30.754549999999998</v>
      </c>
    </row>
    <row r="114" spans="1:3" ht="25.5">
      <c r="A114" s="59" t="s">
        <v>167</v>
      </c>
      <c r="B114" s="53" t="s">
        <v>94</v>
      </c>
      <c r="C114" s="85">
        <f>[20]С4.3!E16</f>
        <v>0</v>
      </c>
    </row>
    <row r="115" spans="1:3" ht="25.5">
      <c r="A115" s="59" t="s">
        <v>168</v>
      </c>
      <c r="B115" s="53" t="s">
        <v>169</v>
      </c>
      <c r="C115" s="34">
        <f>[20]С4.3!E17</f>
        <v>15.47</v>
      </c>
    </row>
    <row r="116" spans="1:3" ht="38.25">
      <c r="A116" s="59" t="s">
        <v>170</v>
      </c>
      <c r="B116" s="53" t="s">
        <v>106</v>
      </c>
      <c r="C116" s="85">
        <f>[20]С4.3!E18</f>
        <v>0</v>
      </c>
    </row>
    <row r="117" spans="1:3">
      <c r="A117" s="59" t="s">
        <v>171</v>
      </c>
      <c r="B117" s="53" t="s">
        <v>172</v>
      </c>
      <c r="C117" s="34">
        <f>[20]С4.3!E19</f>
        <v>11.87</v>
      </c>
    </row>
    <row r="118" spans="1:3">
      <c r="A118" s="59" t="s">
        <v>173</v>
      </c>
      <c r="B118" s="58" t="s">
        <v>174</v>
      </c>
      <c r="C118" s="62">
        <f>[20]С4.3!E11</f>
        <v>1871</v>
      </c>
    </row>
    <row r="119" spans="1:3">
      <c r="A119" s="59" t="s">
        <v>175</v>
      </c>
      <c r="B119" s="58" t="s">
        <v>176</v>
      </c>
      <c r="C119" s="52">
        <f>[20]С4.3!E12</f>
        <v>61</v>
      </c>
    </row>
    <row r="120" spans="1:3">
      <c r="A120" s="59" t="s">
        <v>177</v>
      </c>
      <c r="B120" s="58" t="s">
        <v>178</v>
      </c>
      <c r="C120" s="52">
        <f>[20]С4.3!E13</f>
        <v>73</v>
      </c>
    </row>
    <row r="121" spans="1:3" ht="30">
      <c r="A121" s="59" t="s">
        <v>179</v>
      </c>
      <c r="B121" s="33" t="s">
        <v>255</v>
      </c>
      <c r="C121" s="34">
        <f>[20]С4!F27</f>
        <v>1296.7467102743137</v>
      </c>
    </row>
    <row r="122" spans="1:3" ht="25.5">
      <c r="A122" s="59" t="s">
        <v>181</v>
      </c>
      <c r="B122" s="53" t="s">
        <v>256</v>
      </c>
      <c r="C122" s="34">
        <f>[20]С4!F28</f>
        <v>995.96521526444985</v>
      </c>
    </row>
    <row r="123" spans="1:3" ht="42.75">
      <c r="A123" s="59" t="s">
        <v>183</v>
      </c>
      <c r="B123" s="53" t="s">
        <v>184</v>
      </c>
      <c r="C123" s="34">
        <f>[20]С4!F29</f>
        <v>300.78149500986387</v>
      </c>
    </row>
    <row r="124" spans="1:3" ht="30.75" thickBot="1">
      <c r="A124" s="72" t="s">
        <v>185</v>
      </c>
      <c r="B124" s="90" t="s">
        <v>186</v>
      </c>
      <c r="C124" s="83">
        <f>[20]С4!F30</f>
        <v>503.66082463782544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[20]С5!F17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IF([20]С6.1!E11="нет",[20]С6!F13,"")</f>
        <v/>
      </c>
    </row>
    <row r="131" spans="1:3" ht="42.75">
      <c r="A131" s="59" t="s">
        <v>204</v>
      </c>
      <c r="B131" s="86" t="s">
        <v>205</v>
      </c>
      <c r="C131" s="92" t="str">
        <f>IF([20]С6.1!E12="нет",[20]С6.1!E17,"")</f>
        <v/>
      </c>
    </row>
    <row r="132" spans="1:3" ht="68.25">
      <c r="A132" s="59" t="s">
        <v>206</v>
      </c>
      <c r="B132" s="91" t="s">
        <v>207</v>
      </c>
      <c r="C132" s="127" t="str">
        <f>IF([20]С6.1!E18="нет",[20]С6!F19,"")</f>
        <v/>
      </c>
    </row>
    <row r="133" spans="1:3" ht="55.5">
      <c r="A133" s="59" t="s">
        <v>208</v>
      </c>
      <c r="B133" s="86" t="s">
        <v>209</v>
      </c>
      <c r="C133" s="35" t="str">
        <f>IF([20]С6.1!E18="нет",[20]С6.1!E19,"")</f>
        <v/>
      </c>
    </row>
    <row r="134" spans="1:3" ht="61.5" customHeight="1">
      <c r="A134" s="59" t="s">
        <v>210</v>
      </c>
      <c r="B134" s="86" t="s">
        <v>257</v>
      </c>
      <c r="C134" s="35" t="str">
        <f>IF([20]С6.1!E18="нет",[20]С6.1!E22,"")</f>
        <v/>
      </c>
    </row>
    <row r="135" spans="1:3" ht="69" thickBot="1">
      <c r="A135" s="72" t="s">
        <v>212</v>
      </c>
      <c r="B135" s="98" t="s">
        <v>213</v>
      </c>
      <c r="C135" s="74" t="str">
        <f>IF([20]С6.1!E18="нет",[20]С6.1!E23,"")</f>
        <v/>
      </c>
    </row>
    <row r="136" spans="1:3" s="89" customFormat="1" ht="13.5" thickBot="1">
      <c r="A136" s="47"/>
      <c r="B136" s="75"/>
      <c r="C136" s="15"/>
    </row>
    <row r="137" spans="1:3" ht="15.75">
      <c r="A137" s="84" t="s">
        <v>214</v>
      </c>
      <c r="B137" s="99" t="s">
        <v>215</v>
      </c>
      <c r="C137" s="100">
        <f>[20]С2!F39</f>
        <v>21.531904799999996</v>
      </c>
    </row>
    <row r="138" spans="1:3" ht="14.25">
      <c r="A138" s="59" t="s">
        <v>216</v>
      </c>
      <c r="B138" s="58" t="s">
        <v>217</v>
      </c>
      <c r="C138" s="34">
        <f>[20]С2!F40</f>
        <v>7</v>
      </c>
    </row>
    <row r="139" spans="1:3" ht="17.25">
      <c r="A139" s="59" t="s">
        <v>218</v>
      </c>
      <c r="B139" s="58" t="s">
        <v>219</v>
      </c>
      <c r="C139" s="34">
        <f>[20]С2!F42</f>
        <v>0.97</v>
      </c>
    </row>
    <row r="140" spans="1:3" ht="15" thickBot="1">
      <c r="A140" s="72" t="s">
        <v>220</v>
      </c>
      <c r="B140" s="73" t="s">
        <v>221</v>
      </c>
      <c r="C140" s="46">
        <f>[20]С2!F44</f>
        <v>0.36199999999999999</v>
      </c>
    </row>
    <row r="141" spans="1:3" s="89" customFormat="1" ht="13.5" thickBot="1">
      <c r="A141" s="47"/>
      <c r="B141" s="75"/>
      <c r="C141" s="15"/>
    </row>
    <row r="142" spans="1:3" ht="17.25">
      <c r="A142" s="84" t="s">
        <v>222</v>
      </c>
      <c r="B142" s="103" t="s">
        <v>258</v>
      </c>
      <c r="C142" s="128">
        <f>[20]С2!F37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[20]С2.5!$E$11</f>
        <v>-2.9000000000000026E-2</v>
      </c>
    </row>
    <row r="146" spans="1:3">
      <c r="B146" s="131">
        <f>B145+1</f>
        <v>2021</v>
      </c>
      <c r="C146" s="133">
        <f>[20]С2.5!$F$11</f>
        <v>0.245</v>
      </c>
    </row>
    <row r="147" spans="1:3">
      <c r="B147" s="131">
        <f t="shared" ref="B147:B210" si="0">B146+1</f>
        <v>2022</v>
      </c>
      <c r="C147" s="134">
        <f>[20]С2.5!$G$11</f>
        <v>0.114</v>
      </c>
    </row>
    <row r="148" spans="1:3">
      <c r="B148" s="110">
        <f t="shared" si="0"/>
        <v>2023</v>
      </c>
      <c r="C148" s="135">
        <f>[20]С2.5!$H$11</f>
        <v>2.4E-2</v>
      </c>
    </row>
    <row r="149" spans="1:3" ht="13.5" thickBot="1">
      <c r="B149" s="110">
        <f t="shared" si="0"/>
        <v>2024</v>
      </c>
      <c r="C149" s="135">
        <f>[20]С2.5!$I$11</f>
        <v>8.5999999999999993E-2</v>
      </c>
    </row>
    <row r="150" spans="1:3" ht="13.5" hidden="1" thickBot="1">
      <c r="B150" s="110">
        <f t="shared" si="0"/>
        <v>2025</v>
      </c>
      <c r="C150" s="135">
        <f>[20]С2.5!$J$11</f>
        <v>0</v>
      </c>
    </row>
    <row r="151" spans="1:3" ht="13.5" hidden="1" thickBot="1">
      <c r="B151" s="110">
        <f t="shared" si="0"/>
        <v>2026</v>
      </c>
      <c r="C151" s="135">
        <f>[20]С2.5!$K$11</f>
        <v>0</v>
      </c>
    </row>
    <row r="152" spans="1:3" ht="13.5" hidden="1" thickBot="1">
      <c r="B152" s="110">
        <f t="shared" si="0"/>
        <v>2027</v>
      </c>
      <c r="C152" s="135">
        <f>[20]С2.5!$L$11</f>
        <v>0</v>
      </c>
    </row>
    <row r="153" spans="1:3" ht="13.5" hidden="1" thickBot="1">
      <c r="B153" s="110">
        <f t="shared" si="0"/>
        <v>2028</v>
      </c>
      <c r="C153" s="135">
        <f>[20]С2.5!$M$11</f>
        <v>0</v>
      </c>
    </row>
    <row r="154" spans="1:3" ht="13.5" hidden="1" thickBot="1">
      <c r="B154" s="110">
        <f t="shared" si="0"/>
        <v>2029</v>
      </c>
      <c r="C154" s="135">
        <f>[20]С2.5!$N$11</f>
        <v>0</v>
      </c>
    </row>
    <row r="155" spans="1:3" ht="13.5" hidden="1" thickBot="1">
      <c r="B155" s="110">
        <f t="shared" si="0"/>
        <v>2030</v>
      </c>
      <c r="C155" s="135">
        <f>[20]С2.5!$O$11</f>
        <v>0</v>
      </c>
    </row>
    <row r="156" spans="1:3" ht="13.5" hidden="1" thickBot="1">
      <c r="B156" s="110">
        <f t="shared" si="0"/>
        <v>2031</v>
      </c>
      <c r="C156" s="135">
        <f>[20]С2.5!$P$11</f>
        <v>0</v>
      </c>
    </row>
    <row r="157" spans="1:3" ht="13.5" hidden="1" thickBot="1">
      <c r="B157" s="110">
        <f t="shared" si="0"/>
        <v>2032</v>
      </c>
      <c r="C157" s="135">
        <f>[20]С2.5!$Q$11</f>
        <v>0</v>
      </c>
    </row>
    <row r="158" spans="1:3" ht="13.5" hidden="1" thickBot="1">
      <c r="B158" s="110">
        <f t="shared" si="0"/>
        <v>2033</v>
      </c>
      <c r="C158" s="135">
        <f>[20]С2.5!$R$11</f>
        <v>0</v>
      </c>
    </row>
    <row r="159" spans="1:3" ht="13.5" hidden="1" thickBot="1">
      <c r="B159" s="110">
        <f t="shared" si="0"/>
        <v>2034</v>
      </c>
      <c r="C159" s="135">
        <f>[20]С2.5!$S$11</f>
        <v>0</v>
      </c>
    </row>
    <row r="160" spans="1:3" ht="13.5" hidden="1" thickBot="1">
      <c r="B160" s="110">
        <f t="shared" si="0"/>
        <v>2035</v>
      </c>
      <c r="C160" s="135">
        <f>[20]С2.5!$T$11</f>
        <v>0</v>
      </c>
    </row>
    <row r="161" spans="2:3" ht="13.5" hidden="1" thickBot="1">
      <c r="B161" s="110">
        <f t="shared" si="0"/>
        <v>2036</v>
      </c>
      <c r="C161" s="135">
        <f>[20]С2.5!$U$11</f>
        <v>0</v>
      </c>
    </row>
    <row r="162" spans="2:3" ht="13.5" hidden="1" thickBot="1">
      <c r="B162" s="110">
        <f t="shared" si="0"/>
        <v>2037</v>
      </c>
      <c r="C162" s="135">
        <f>[20]С2.5!$V$11</f>
        <v>0</v>
      </c>
    </row>
    <row r="163" spans="2:3" ht="13.5" hidden="1" thickBot="1">
      <c r="B163" s="110">
        <f t="shared" si="0"/>
        <v>2038</v>
      </c>
      <c r="C163" s="135">
        <f>[20]С2.5!$W$11</f>
        <v>0</v>
      </c>
    </row>
    <row r="164" spans="2:3" ht="13.5" hidden="1" thickBot="1">
      <c r="B164" s="110">
        <f t="shared" si="0"/>
        <v>2039</v>
      </c>
      <c r="C164" s="135">
        <f>[20]С2.5!$X$11</f>
        <v>0</v>
      </c>
    </row>
    <row r="165" spans="2:3" ht="13.5" hidden="1" thickBot="1">
      <c r="B165" s="110">
        <f t="shared" si="0"/>
        <v>2040</v>
      </c>
      <c r="C165" s="135">
        <f>[20]С2.5!$Y$11</f>
        <v>0</v>
      </c>
    </row>
    <row r="166" spans="2:3" ht="13.5" hidden="1" thickBot="1">
      <c r="B166" s="110">
        <f t="shared" si="0"/>
        <v>2041</v>
      </c>
      <c r="C166" s="135">
        <f>[20]С2.5!$Z$11</f>
        <v>0</v>
      </c>
    </row>
    <row r="167" spans="2:3" ht="13.5" hidden="1" thickBot="1">
      <c r="B167" s="110">
        <f t="shared" si="0"/>
        <v>2042</v>
      </c>
      <c r="C167" s="135">
        <f>[20]С2.5!$AA$11</f>
        <v>0</v>
      </c>
    </row>
    <row r="168" spans="2:3" ht="13.5" hidden="1" thickBot="1">
      <c r="B168" s="110">
        <f t="shared" si="0"/>
        <v>2043</v>
      </c>
      <c r="C168" s="135">
        <f>[20]С2.5!$AB$11</f>
        <v>0</v>
      </c>
    </row>
    <row r="169" spans="2:3" ht="13.5" hidden="1" thickBot="1">
      <c r="B169" s="110">
        <f t="shared" si="0"/>
        <v>2044</v>
      </c>
      <c r="C169" s="135">
        <f>[20]С2.5!$AC$11</f>
        <v>0</v>
      </c>
    </row>
    <row r="170" spans="2:3" ht="13.5" hidden="1" thickBot="1">
      <c r="B170" s="110">
        <f t="shared" si="0"/>
        <v>2045</v>
      </c>
      <c r="C170" s="135">
        <f>[20]С2.5!$AD$11</f>
        <v>0</v>
      </c>
    </row>
    <row r="171" spans="2:3" ht="13.5" hidden="1" thickBot="1">
      <c r="B171" s="110">
        <f t="shared" si="0"/>
        <v>2046</v>
      </c>
      <c r="C171" s="135">
        <f>[20]С2.5!$AE$11</f>
        <v>0</v>
      </c>
    </row>
    <row r="172" spans="2:3" ht="13.5" hidden="1" thickBot="1">
      <c r="B172" s="110">
        <f t="shared" si="0"/>
        <v>2047</v>
      </c>
      <c r="C172" s="135">
        <f>[20]С2.5!$AF$11</f>
        <v>0</v>
      </c>
    </row>
    <row r="173" spans="2:3" ht="13.5" hidden="1" thickBot="1">
      <c r="B173" s="110">
        <f t="shared" si="0"/>
        <v>2048</v>
      </c>
      <c r="C173" s="135">
        <f>[20]С2.5!$AG$11</f>
        <v>0</v>
      </c>
    </row>
    <row r="174" spans="2:3" ht="13.5" hidden="1" thickBot="1">
      <c r="B174" s="110">
        <f t="shared" si="0"/>
        <v>2049</v>
      </c>
      <c r="C174" s="135">
        <f>[20]С2.5!$AH$11</f>
        <v>0</v>
      </c>
    </row>
    <row r="175" spans="2:3" ht="13.5" hidden="1" thickBot="1">
      <c r="B175" s="110">
        <f t="shared" si="0"/>
        <v>2050</v>
      </c>
      <c r="C175" s="135">
        <f>[20]С2.5!$AI$11</f>
        <v>0</v>
      </c>
    </row>
    <row r="176" spans="2:3" ht="13.5" hidden="1" thickBot="1">
      <c r="B176" s="110">
        <f t="shared" si="0"/>
        <v>2051</v>
      </c>
      <c r="C176" s="135">
        <f>[20]С2.5!$AJ$11</f>
        <v>0</v>
      </c>
    </row>
    <row r="177" spans="2:3" ht="13.5" hidden="1" thickBot="1">
      <c r="B177" s="110">
        <f t="shared" si="0"/>
        <v>2052</v>
      </c>
      <c r="C177" s="135">
        <f>[20]С2.5!$AK$11</f>
        <v>0</v>
      </c>
    </row>
    <row r="178" spans="2:3" ht="13.5" hidden="1" thickBot="1">
      <c r="B178" s="110">
        <f t="shared" si="0"/>
        <v>2053</v>
      </c>
      <c r="C178" s="135">
        <f>[20]С2.5!$AL$11</f>
        <v>0</v>
      </c>
    </row>
    <row r="179" spans="2:3" ht="13.5" hidden="1" thickBot="1">
      <c r="B179" s="110">
        <f t="shared" si="0"/>
        <v>2054</v>
      </c>
      <c r="C179" s="135">
        <f>[20]С2.5!$AM$11</f>
        <v>0</v>
      </c>
    </row>
    <row r="180" spans="2:3" ht="13.5" hidden="1" thickBot="1">
      <c r="B180" s="110">
        <f t="shared" si="0"/>
        <v>2055</v>
      </c>
      <c r="C180" s="135">
        <f>[20]С2.5!$AN$11</f>
        <v>0</v>
      </c>
    </row>
    <row r="181" spans="2:3" ht="13.5" hidden="1" thickBot="1">
      <c r="B181" s="110">
        <f t="shared" si="0"/>
        <v>2056</v>
      </c>
      <c r="C181" s="135">
        <f>[20]С2.5!$AO$11</f>
        <v>0</v>
      </c>
    </row>
    <row r="182" spans="2:3" ht="13.5" hidden="1" thickBot="1">
      <c r="B182" s="110">
        <f t="shared" si="0"/>
        <v>2057</v>
      </c>
      <c r="C182" s="135">
        <f>[20]С2.5!$AP$11</f>
        <v>0</v>
      </c>
    </row>
    <row r="183" spans="2:3" ht="13.5" hidden="1" thickBot="1">
      <c r="B183" s="110">
        <f t="shared" si="0"/>
        <v>2058</v>
      </c>
      <c r="C183" s="135">
        <f>[20]С2.5!$AQ$11</f>
        <v>0</v>
      </c>
    </row>
    <row r="184" spans="2:3" ht="13.5" hidden="1" thickBot="1">
      <c r="B184" s="110">
        <f t="shared" si="0"/>
        <v>2059</v>
      </c>
      <c r="C184" s="135">
        <f>[20]С2.5!$AR$11</f>
        <v>0</v>
      </c>
    </row>
    <row r="185" spans="2:3" ht="13.5" hidden="1" thickBot="1">
      <c r="B185" s="110">
        <f t="shared" si="0"/>
        <v>2060</v>
      </c>
      <c r="C185" s="135">
        <f>[20]С2.5!$AS$11</f>
        <v>0</v>
      </c>
    </row>
    <row r="186" spans="2:3" ht="13.5" hidden="1" thickBot="1">
      <c r="B186" s="110">
        <f t="shared" si="0"/>
        <v>2061</v>
      </c>
      <c r="C186" s="135">
        <f>[20]С2.5!$AT$11</f>
        <v>0</v>
      </c>
    </row>
    <row r="187" spans="2:3" ht="13.5" hidden="1" thickBot="1">
      <c r="B187" s="110">
        <f t="shared" si="0"/>
        <v>2062</v>
      </c>
      <c r="C187" s="135">
        <f>[20]С2.5!$AU$11</f>
        <v>0</v>
      </c>
    </row>
    <row r="188" spans="2:3" ht="13.5" hidden="1" thickBot="1">
      <c r="B188" s="110">
        <f t="shared" si="0"/>
        <v>2063</v>
      </c>
      <c r="C188" s="135">
        <f>[20]С2.5!$AV$11</f>
        <v>0</v>
      </c>
    </row>
    <row r="189" spans="2:3" ht="13.5" hidden="1" thickBot="1">
      <c r="B189" s="110">
        <f t="shared" si="0"/>
        <v>2064</v>
      </c>
      <c r="C189" s="135">
        <f>[20]С2.5!$AW$11</f>
        <v>0</v>
      </c>
    </row>
    <row r="190" spans="2:3" ht="13.5" hidden="1" thickBot="1">
      <c r="B190" s="110">
        <f t="shared" si="0"/>
        <v>2065</v>
      </c>
      <c r="C190" s="135">
        <f>[20]С2.5!$AX$11</f>
        <v>0</v>
      </c>
    </row>
    <row r="191" spans="2:3" ht="13.5" hidden="1" thickBot="1">
      <c r="B191" s="110">
        <f t="shared" si="0"/>
        <v>2066</v>
      </c>
      <c r="C191" s="135">
        <f>[20]С2.5!$AY$11</f>
        <v>0</v>
      </c>
    </row>
    <row r="192" spans="2:3" ht="13.5" hidden="1" thickBot="1">
      <c r="B192" s="110">
        <f t="shared" si="0"/>
        <v>2067</v>
      </c>
      <c r="C192" s="135">
        <f>[20]С2.5!$AZ$11</f>
        <v>0</v>
      </c>
    </row>
    <row r="193" spans="2:3" ht="13.5" hidden="1" thickBot="1">
      <c r="B193" s="110">
        <f t="shared" si="0"/>
        <v>2068</v>
      </c>
      <c r="C193" s="135">
        <f>[20]С2.5!$BA$11</f>
        <v>0</v>
      </c>
    </row>
    <row r="194" spans="2:3" ht="13.5" hidden="1" thickBot="1">
      <c r="B194" s="110">
        <f t="shared" si="0"/>
        <v>2069</v>
      </c>
      <c r="C194" s="135">
        <f>[20]С2.5!$BB$11</f>
        <v>0</v>
      </c>
    </row>
    <row r="195" spans="2:3" ht="13.5" hidden="1" thickBot="1">
      <c r="B195" s="110">
        <f t="shared" si="0"/>
        <v>2070</v>
      </c>
      <c r="C195" s="135">
        <f>[20]С2.5!$BC$11</f>
        <v>0</v>
      </c>
    </row>
    <row r="196" spans="2:3" ht="13.5" hidden="1" thickBot="1">
      <c r="B196" s="110">
        <f t="shared" si="0"/>
        <v>2071</v>
      </c>
      <c r="C196" s="135">
        <f>[20]С2.5!$BD$11</f>
        <v>0</v>
      </c>
    </row>
    <row r="197" spans="2:3" ht="13.5" hidden="1" thickBot="1">
      <c r="B197" s="110">
        <f t="shared" si="0"/>
        <v>2072</v>
      </c>
      <c r="C197" s="135">
        <f>[20]С2.5!$BE$11</f>
        <v>0</v>
      </c>
    </row>
    <row r="198" spans="2:3" ht="13.5" hidden="1" thickBot="1">
      <c r="B198" s="110">
        <f t="shared" si="0"/>
        <v>2073</v>
      </c>
      <c r="C198" s="135">
        <f>[20]С2.5!$BF$11</f>
        <v>0</v>
      </c>
    </row>
    <row r="199" spans="2:3" ht="13.5" hidden="1" thickBot="1">
      <c r="B199" s="110">
        <f t="shared" si="0"/>
        <v>2074</v>
      </c>
      <c r="C199" s="135">
        <f>[20]С2.5!$BG$11</f>
        <v>0</v>
      </c>
    </row>
    <row r="200" spans="2:3" ht="13.5" hidden="1" thickBot="1">
      <c r="B200" s="110">
        <f t="shared" si="0"/>
        <v>2075</v>
      </c>
      <c r="C200" s="135">
        <f>[20]С2.5!$BH$11</f>
        <v>0</v>
      </c>
    </row>
    <row r="201" spans="2:3" ht="13.5" hidden="1" thickBot="1">
      <c r="B201" s="110">
        <f t="shared" si="0"/>
        <v>2076</v>
      </c>
      <c r="C201" s="135">
        <f>[20]С2.5!$BI$11</f>
        <v>0</v>
      </c>
    </row>
    <row r="202" spans="2:3" ht="13.5" hidden="1" thickBot="1">
      <c r="B202" s="110">
        <f t="shared" si="0"/>
        <v>2077</v>
      </c>
      <c r="C202" s="135">
        <f>[20]С2.5!$BJ$11</f>
        <v>0</v>
      </c>
    </row>
    <row r="203" spans="2:3" ht="13.5" hidden="1" thickBot="1">
      <c r="B203" s="110">
        <f t="shared" si="0"/>
        <v>2078</v>
      </c>
      <c r="C203" s="135">
        <f>[20]С2.5!$BK$11</f>
        <v>0</v>
      </c>
    </row>
    <row r="204" spans="2:3" ht="13.5" hidden="1" thickBot="1">
      <c r="B204" s="110">
        <f t="shared" si="0"/>
        <v>2079</v>
      </c>
      <c r="C204" s="135">
        <f>[20]С2.5!$BL$11</f>
        <v>0</v>
      </c>
    </row>
    <row r="205" spans="2:3" ht="13.5" hidden="1" thickBot="1">
      <c r="B205" s="110">
        <f t="shared" si="0"/>
        <v>2080</v>
      </c>
      <c r="C205" s="135">
        <f>[20]С2.5!$BM$11</f>
        <v>0</v>
      </c>
    </row>
    <row r="206" spans="2:3" ht="13.5" hidden="1" thickBot="1">
      <c r="B206" s="110">
        <f t="shared" si="0"/>
        <v>2081</v>
      </c>
      <c r="C206" s="135">
        <f>[20]С2.5!$BN$11</f>
        <v>0</v>
      </c>
    </row>
    <row r="207" spans="2:3" ht="13.5" hidden="1" thickBot="1">
      <c r="B207" s="110">
        <f t="shared" si="0"/>
        <v>2082</v>
      </c>
      <c r="C207" s="135">
        <f>[20]С2.5!$BO$11</f>
        <v>0</v>
      </c>
    </row>
    <row r="208" spans="2:3" ht="13.5" hidden="1" thickBot="1">
      <c r="B208" s="110">
        <f t="shared" si="0"/>
        <v>2083</v>
      </c>
      <c r="C208" s="135">
        <f>[20]С2.5!$BP$11</f>
        <v>0</v>
      </c>
    </row>
    <row r="209" spans="2:3" ht="13.5" hidden="1" thickBot="1">
      <c r="B209" s="110">
        <f t="shared" si="0"/>
        <v>2084</v>
      </c>
      <c r="C209" s="135">
        <f>[20]С2.5!$BQ$11</f>
        <v>0</v>
      </c>
    </row>
    <row r="210" spans="2:3" ht="13.5" hidden="1" thickBot="1">
      <c r="B210" s="110">
        <f t="shared" si="0"/>
        <v>2085</v>
      </c>
      <c r="C210" s="135">
        <f>[20]С2.5!$BR$11</f>
        <v>0</v>
      </c>
    </row>
    <row r="211" spans="2:3" ht="13.5" hidden="1" thickBot="1">
      <c r="B211" s="110">
        <f t="shared" ref="B211:B224" si="1">B210+1</f>
        <v>2086</v>
      </c>
      <c r="C211" s="135">
        <f>[20]С2.5!$BS$11</f>
        <v>0</v>
      </c>
    </row>
    <row r="212" spans="2:3" ht="13.5" hidden="1" thickBot="1">
      <c r="B212" s="110">
        <f t="shared" si="1"/>
        <v>2087</v>
      </c>
      <c r="C212" s="135">
        <f>[20]С2.5!$BT$11</f>
        <v>0</v>
      </c>
    </row>
    <row r="213" spans="2:3" ht="13.5" hidden="1" thickBot="1">
      <c r="B213" s="110">
        <f t="shared" si="1"/>
        <v>2088</v>
      </c>
      <c r="C213" s="135">
        <f>[20]С2.5!$BU$11</f>
        <v>0</v>
      </c>
    </row>
    <row r="214" spans="2:3" ht="13.5" hidden="1" thickBot="1">
      <c r="B214" s="110">
        <f t="shared" si="1"/>
        <v>2089</v>
      </c>
      <c r="C214" s="135">
        <f>[20]С2.5!$BV$11</f>
        <v>0</v>
      </c>
    </row>
    <row r="215" spans="2:3" ht="13.5" hidden="1" thickBot="1">
      <c r="B215" s="110">
        <f t="shared" si="1"/>
        <v>2090</v>
      </c>
      <c r="C215" s="135">
        <f>[20]С2.5!$BW$11</f>
        <v>0</v>
      </c>
    </row>
    <row r="216" spans="2:3" ht="13.5" hidden="1" thickBot="1">
      <c r="B216" s="110">
        <f t="shared" si="1"/>
        <v>2091</v>
      </c>
      <c r="C216" s="135">
        <f>[20]С2.5!$BX$11</f>
        <v>0</v>
      </c>
    </row>
    <row r="217" spans="2:3" ht="13.5" hidden="1" thickBot="1">
      <c r="B217" s="110">
        <f t="shared" si="1"/>
        <v>2092</v>
      </c>
      <c r="C217" s="135">
        <f>[20]С2.5!$BY$11</f>
        <v>0</v>
      </c>
    </row>
    <row r="218" spans="2:3" ht="13.5" hidden="1" thickBot="1">
      <c r="B218" s="110">
        <f t="shared" si="1"/>
        <v>2093</v>
      </c>
      <c r="C218" s="135">
        <f>[20]С2.5!$BZ$11</f>
        <v>0</v>
      </c>
    </row>
    <row r="219" spans="2:3" ht="13.5" hidden="1" thickBot="1">
      <c r="B219" s="110">
        <f t="shared" si="1"/>
        <v>2094</v>
      </c>
      <c r="C219" s="135">
        <f>[20]С2.5!$CA$11</f>
        <v>0</v>
      </c>
    </row>
    <row r="220" spans="2:3" ht="13.5" hidden="1" thickBot="1">
      <c r="B220" s="110">
        <f t="shared" si="1"/>
        <v>2095</v>
      </c>
      <c r="C220" s="135">
        <f>[20]С2.5!$CB$11</f>
        <v>0</v>
      </c>
    </row>
    <row r="221" spans="2:3" ht="13.5" hidden="1" thickBot="1">
      <c r="B221" s="110">
        <f t="shared" si="1"/>
        <v>2096</v>
      </c>
      <c r="C221" s="135">
        <f>[20]С2.5!$CC$11</f>
        <v>0</v>
      </c>
    </row>
    <row r="222" spans="2:3" ht="13.5" hidden="1" thickBot="1">
      <c r="B222" s="110">
        <f t="shared" si="1"/>
        <v>2097</v>
      </c>
      <c r="C222" s="135">
        <f>[20]С2.5!$CD$11</f>
        <v>0</v>
      </c>
    </row>
    <row r="223" spans="2:3" ht="13.5" hidden="1" thickBot="1">
      <c r="B223" s="110">
        <f t="shared" si="1"/>
        <v>2098</v>
      </c>
      <c r="C223" s="135">
        <f>[20]С2.5!$CE$11</f>
        <v>0</v>
      </c>
    </row>
    <row r="224" spans="2:3" ht="13.5" hidden="1" thickBot="1">
      <c r="B224" s="110">
        <f t="shared" si="1"/>
        <v>2099</v>
      </c>
      <c r="C224" s="135">
        <f>[20]С2.5!$CF$11</f>
        <v>0</v>
      </c>
    </row>
    <row r="225" spans="2:3" ht="13.5" hidden="1" thickBot="1">
      <c r="B225" s="112">
        <f>B162+1</f>
        <v>2038</v>
      </c>
      <c r="C225" s="136" t="e">
        <f>[20]С2.5!#REF!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1" width="9.140625" style="2"/>
    <col min="152" max="233" width="0" style="2" hidden="1" customWidth="1"/>
    <col min="234" max="242" width="9.140625" style="2"/>
    <col min="243" max="243" width="3.7109375" style="2" customWidth="1"/>
    <col min="244" max="244" width="96.85546875" style="2" customWidth="1"/>
    <col min="245" max="245" width="30.85546875" style="2" customWidth="1"/>
    <col min="246" max="246" width="12.5703125" style="2" customWidth="1"/>
    <col min="247" max="247" width="5.140625" style="2" customWidth="1"/>
    <col min="248" max="248" width="9.140625" style="2"/>
    <col min="249" max="249" width="4.85546875" style="2" customWidth="1"/>
    <col min="250" max="250" width="30.5703125" style="2" customWidth="1"/>
    <col min="251" max="251" width="33.85546875" style="2" customWidth="1"/>
    <col min="252" max="252" width="5.140625" style="2" customWidth="1"/>
    <col min="253" max="254" width="17.5703125" style="2" customWidth="1"/>
    <col min="255" max="498" width="9.140625" style="2"/>
    <col min="499" max="499" width="3.7109375" style="2" customWidth="1"/>
    <col min="500" max="500" width="96.85546875" style="2" customWidth="1"/>
    <col min="501" max="501" width="30.85546875" style="2" customWidth="1"/>
    <col min="502" max="502" width="12.5703125" style="2" customWidth="1"/>
    <col min="503" max="503" width="5.140625" style="2" customWidth="1"/>
    <col min="504" max="504" width="9.140625" style="2"/>
    <col min="505" max="505" width="4.85546875" style="2" customWidth="1"/>
    <col min="506" max="506" width="30.5703125" style="2" customWidth="1"/>
    <col min="507" max="507" width="33.85546875" style="2" customWidth="1"/>
    <col min="508" max="508" width="5.140625" style="2" customWidth="1"/>
    <col min="509" max="510" width="17.5703125" style="2" customWidth="1"/>
    <col min="511" max="754" width="9.140625" style="2"/>
    <col min="755" max="755" width="3.7109375" style="2" customWidth="1"/>
    <col min="756" max="756" width="96.85546875" style="2" customWidth="1"/>
    <col min="757" max="757" width="30.85546875" style="2" customWidth="1"/>
    <col min="758" max="758" width="12.5703125" style="2" customWidth="1"/>
    <col min="759" max="759" width="5.140625" style="2" customWidth="1"/>
    <col min="760" max="760" width="9.140625" style="2"/>
    <col min="761" max="761" width="4.85546875" style="2" customWidth="1"/>
    <col min="762" max="762" width="30.5703125" style="2" customWidth="1"/>
    <col min="763" max="763" width="33.85546875" style="2" customWidth="1"/>
    <col min="764" max="764" width="5.140625" style="2" customWidth="1"/>
    <col min="765" max="766" width="17.5703125" style="2" customWidth="1"/>
    <col min="767" max="1010" width="9.140625" style="2"/>
    <col min="1011" max="1011" width="3.7109375" style="2" customWidth="1"/>
    <col min="1012" max="1012" width="96.85546875" style="2" customWidth="1"/>
    <col min="1013" max="1013" width="30.85546875" style="2" customWidth="1"/>
    <col min="1014" max="1014" width="12.5703125" style="2" customWidth="1"/>
    <col min="1015" max="1015" width="5.140625" style="2" customWidth="1"/>
    <col min="1016" max="1016" width="9.140625" style="2"/>
    <col min="1017" max="1017" width="4.85546875" style="2" customWidth="1"/>
    <col min="1018" max="1018" width="30.5703125" style="2" customWidth="1"/>
    <col min="1019" max="1019" width="33.85546875" style="2" customWidth="1"/>
    <col min="1020" max="1020" width="5.140625" style="2" customWidth="1"/>
    <col min="1021" max="1022" width="17.5703125" style="2" customWidth="1"/>
    <col min="1023" max="1266" width="9.140625" style="2"/>
    <col min="1267" max="1267" width="3.7109375" style="2" customWidth="1"/>
    <col min="1268" max="1268" width="96.85546875" style="2" customWidth="1"/>
    <col min="1269" max="1269" width="30.85546875" style="2" customWidth="1"/>
    <col min="1270" max="1270" width="12.5703125" style="2" customWidth="1"/>
    <col min="1271" max="1271" width="5.140625" style="2" customWidth="1"/>
    <col min="1272" max="1272" width="9.140625" style="2"/>
    <col min="1273" max="1273" width="4.85546875" style="2" customWidth="1"/>
    <col min="1274" max="1274" width="30.5703125" style="2" customWidth="1"/>
    <col min="1275" max="1275" width="33.85546875" style="2" customWidth="1"/>
    <col min="1276" max="1276" width="5.140625" style="2" customWidth="1"/>
    <col min="1277" max="1278" width="17.5703125" style="2" customWidth="1"/>
    <col min="1279" max="1522" width="9.140625" style="2"/>
    <col min="1523" max="1523" width="3.7109375" style="2" customWidth="1"/>
    <col min="1524" max="1524" width="96.85546875" style="2" customWidth="1"/>
    <col min="1525" max="1525" width="30.85546875" style="2" customWidth="1"/>
    <col min="1526" max="1526" width="12.5703125" style="2" customWidth="1"/>
    <col min="1527" max="1527" width="5.140625" style="2" customWidth="1"/>
    <col min="1528" max="1528" width="9.140625" style="2"/>
    <col min="1529" max="1529" width="4.85546875" style="2" customWidth="1"/>
    <col min="1530" max="1530" width="30.5703125" style="2" customWidth="1"/>
    <col min="1531" max="1531" width="33.85546875" style="2" customWidth="1"/>
    <col min="1532" max="1532" width="5.140625" style="2" customWidth="1"/>
    <col min="1533" max="1534" width="17.5703125" style="2" customWidth="1"/>
    <col min="1535" max="1778" width="9.140625" style="2"/>
    <col min="1779" max="1779" width="3.7109375" style="2" customWidth="1"/>
    <col min="1780" max="1780" width="96.85546875" style="2" customWidth="1"/>
    <col min="1781" max="1781" width="30.85546875" style="2" customWidth="1"/>
    <col min="1782" max="1782" width="12.5703125" style="2" customWidth="1"/>
    <col min="1783" max="1783" width="5.140625" style="2" customWidth="1"/>
    <col min="1784" max="1784" width="9.140625" style="2"/>
    <col min="1785" max="1785" width="4.85546875" style="2" customWidth="1"/>
    <col min="1786" max="1786" width="30.5703125" style="2" customWidth="1"/>
    <col min="1787" max="1787" width="33.85546875" style="2" customWidth="1"/>
    <col min="1788" max="1788" width="5.140625" style="2" customWidth="1"/>
    <col min="1789" max="1790" width="17.5703125" style="2" customWidth="1"/>
    <col min="1791" max="2034" width="9.140625" style="2"/>
    <col min="2035" max="2035" width="3.7109375" style="2" customWidth="1"/>
    <col min="2036" max="2036" width="96.85546875" style="2" customWidth="1"/>
    <col min="2037" max="2037" width="30.85546875" style="2" customWidth="1"/>
    <col min="2038" max="2038" width="12.5703125" style="2" customWidth="1"/>
    <col min="2039" max="2039" width="5.140625" style="2" customWidth="1"/>
    <col min="2040" max="2040" width="9.140625" style="2"/>
    <col min="2041" max="2041" width="4.85546875" style="2" customWidth="1"/>
    <col min="2042" max="2042" width="30.5703125" style="2" customWidth="1"/>
    <col min="2043" max="2043" width="33.85546875" style="2" customWidth="1"/>
    <col min="2044" max="2044" width="5.140625" style="2" customWidth="1"/>
    <col min="2045" max="2046" width="17.5703125" style="2" customWidth="1"/>
    <col min="2047" max="2290" width="9.140625" style="2"/>
    <col min="2291" max="2291" width="3.7109375" style="2" customWidth="1"/>
    <col min="2292" max="2292" width="96.85546875" style="2" customWidth="1"/>
    <col min="2293" max="2293" width="30.85546875" style="2" customWidth="1"/>
    <col min="2294" max="2294" width="12.5703125" style="2" customWidth="1"/>
    <col min="2295" max="2295" width="5.140625" style="2" customWidth="1"/>
    <col min="2296" max="2296" width="9.140625" style="2"/>
    <col min="2297" max="2297" width="4.85546875" style="2" customWidth="1"/>
    <col min="2298" max="2298" width="30.5703125" style="2" customWidth="1"/>
    <col min="2299" max="2299" width="33.85546875" style="2" customWidth="1"/>
    <col min="2300" max="2300" width="5.140625" style="2" customWidth="1"/>
    <col min="2301" max="2302" width="17.5703125" style="2" customWidth="1"/>
    <col min="2303" max="2546" width="9.140625" style="2"/>
    <col min="2547" max="2547" width="3.7109375" style="2" customWidth="1"/>
    <col min="2548" max="2548" width="96.85546875" style="2" customWidth="1"/>
    <col min="2549" max="2549" width="30.85546875" style="2" customWidth="1"/>
    <col min="2550" max="2550" width="12.5703125" style="2" customWidth="1"/>
    <col min="2551" max="2551" width="5.140625" style="2" customWidth="1"/>
    <col min="2552" max="2552" width="9.140625" style="2"/>
    <col min="2553" max="2553" width="4.85546875" style="2" customWidth="1"/>
    <col min="2554" max="2554" width="30.5703125" style="2" customWidth="1"/>
    <col min="2555" max="2555" width="33.85546875" style="2" customWidth="1"/>
    <col min="2556" max="2556" width="5.140625" style="2" customWidth="1"/>
    <col min="2557" max="2558" width="17.5703125" style="2" customWidth="1"/>
    <col min="2559" max="2802" width="9.140625" style="2"/>
    <col min="2803" max="2803" width="3.7109375" style="2" customWidth="1"/>
    <col min="2804" max="2804" width="96.85546875" style="2" customWidth="1"/>
    <col min="2805" max="2805" width="30.85546875" style="2" customWidth="1"/>
    <col min="2806" max="2806" width="12.5703125" style="2" customWidth="1"/>
    <col min="2807" max="2807" width="5.140625" style="2" customWidth="1"/>
    <col min="2808" max="2808" width="9.140625" style="2"/>
    <col min="2809" max="2809" width="4.85546875" style="2" customWidth="1"/>
    <col min="2810" max="2810" width="30.5703125" style="2" customWidth="1"/>
    <col min="2811" max="2811" width="33.85546875" style="2" customWidth="1"/>
    <col min="2812" max="2812" width="5.140625" style="2" customWidth="1"/>
    <col min="2813" max="2814" width="17.5703125" style="2" customWidth="1"/>
    <col min="2815" max="3058" width="9.140625" style="2"/>
    <col min="3059" max="3059" width="3.7109375" style="2" customWidth="1"/>
    <col min="3060" max="3060" width="96.85546875" style="2" customWidth="1"/>
    <col min="3061" max="3061" width="30.85546875" style="2" customWidth="1"/>
    <col min="3062" max="3062" width="12.5703125" style="2" customWidth="1"/>
    <col min="3063" max="3063" width="5.140625" style="2" customWidth="1"/>
    <col min="3064" max="3064" width="9.140625" style="2"/>
    <col min="3065" max="3065" width="4.85546875" style="2" customWidth="1"/>
    <col min="3066" max="3066" width="30.5703125" style="2" customWidth="1"/>
    <col min="3067" max="3067" width="33.85546875" style="2" customWidth="1"/>
    <col min="3068" max="3068" width="5.140625" style="2" customWidth="1"/>
    <col min="3069" max="3070" width="17.5703125" style="2" customWidth="1"/>
    <col min="3071" max="3314" width="9.140625" style="2"/>
    <col min="3315" max="3315" width="3.7109375" style="2" customWidth="1"/>
    <col min="3316" max="3316" width="96.85546875" style="2" customWidth="1"/>
    <col min="3317" max="3317" width="30.85546875" style="2" customWidth="1"/>
    <col min="3318" max="3318" width="12.5703125" style="2" customWidth="1"/>
    <col min="3319" max="3319" width="5.140625" style="2" customWidth="1"/>
    <col min="3320" max="3320" width="9.140625" style="2"/>
    <col min="3321" max="3321" width="4.85546875" style="2" customWidth="1"/>
    <col min="3322" max="3322" width="30.5703125" style="2" customWidth="1"/>
    <col min="3323" max="3323" width="33.85546875" style="2" customWidth="1"/>
    <col min="3324" max="3324" width="5.140625" style="2" customWidth="1"/>
    <col min="3325" max="3326" width="17.5703125" style="2" customWidth="1"/>
    <col min="3327" max="3570" width="9.140625" style="2"/>
    <col min="3571" max="3571" width="3.7109375" style="2" customWidth="1"/>
    <col min="3572" max="3572" width="96.85546875" style="2" customWidth="1"/>
    <col min="3573" max="3573" width="30.85546875" style="2" customWidth="1"/>
    <col min="3574" max="3574" width="12.5703125" style="2" customWidth="1"/>
    <col min="3575" max="3575" width="5.140625" style="2" customWidth="1"/>
    <col min="3576" max="3576" width="9.140625" style="2"/>
    <col min="3577" max="3577" width="4.85546875" style="2" customWidth="1"/>
    <col min="3578" max="3578" width="30.5703125" style="2" customWidth="1"/>
    <col min="3579" max="3579" width="33.85546875" style="2" customWidth="1"/>
    <col min="3580" max="3580" width="5.140625" style="2" customWidth="1"/>
    <col min="3581" max="3582" width="17.5703125" style="2" customWidth="1"/>
    <col min="3583" max="3826" width="9.140625" style="2"/>
    <col min="3827" max="3827" width="3.7109375" style="2" customWidth="1"/>
    <col min="3828" max="3828" width="96.85546875" style="2" customWidth="1"/>
    <col min="3829" max="3829" width="30.85546875" style="2" customWidth="1"/>
    <col min="3830" max="3830" width="12.5703125" style="2" customWidth="1"/>
    <col min="3831" max="3831" width="5.140625" style="2" customWidth="1"/>
    <col min="3832" max="3832" width="9.140625" style="2"/>
    <col min="3833" max="3833" width="4.85546875" style="2" customWidth="1"/>
    <col min="3834" max="3834" width="30.5703125" style="2" customWidth="1"/>
    <col min="3835" max="3835" width="33.85546875" style="2" customWidth="1"/>
    <col min="3836" max="3836" width="5.140625" style="2" customWidth="1"/>
    <col min="3837" max="3838" width="17.5703125" style="2" customWidth="1"/>
    <col min="3839" max="4082" width="9.140625" style="2"/>
    <col min="4083" max="4083" width="3.7109375" style="2" customWidth="1"/>
    <col min="4084" max="4084" width="96.85546875" style="2" customWidth="1"/>
    <col min="4085" max="4085" width="30.85546875" style="2" customWidth="1"/>
    <col min="4086" max="4086" width="12.5703125" style="2" customWidth="1"/>
    <col min="4087" max="4087" width="5.140625" style="2" customWidth="1"/>
    <col min="4088" max="4088" width="9.140625" style="2"/>
    <col min="4089" max="4089" width="4.85546875" style="2" customWidth="1"/>
    <col min="4090" max="4090" width="30.5703125" style="2" customWidth="1"/>
    <col min="4091" max="4091" width="33.85546875" style="2" customWidth="1"/>
    <col min="4092" max="4092" width="5.140625" style="2" customWidth="1"/>
    <col min="4093" max="4094" width="17.5703125" style="2" customWidth="1"/>
    <col min="4095" max="4338" width="9.140625" style="2"/>
    <col min="4339" max="4339" width="3.7109375" style="2" customWidth="1"/>
    <col min="4340" max="4340" width="96.85546875" style="2" customWidth="1"/>
    <col min="4341" max="4341" width="30.85546875" style="2" customWidth="1"/>
    <col min="4342" max="4342" width="12.5703125" style="2" customWidth="1"/>
    <col min="4343" max="4343" width="5.140625" style="2" customWidth="1"/>
    <col min="4344" max="4344" width="9.140625" style="2"/>
    <col min="4345" max="4345" width="4.85546875" style="2" customWidth="1"/>
    <col min="4346" max="4346" width="30.5703125" style="2" customWidth="1"/>
    <col min="4347" max="4347" width="33.85546875" style="2" customWidth="1"/>
    <col min="4348" max="4348" width="5.140625" style="2" customWidth="1"/>
    <col min="4349" max="4350" width="17.5703125" style="2" customWidth="1"/>
    <col min="4351" max="4594" width="9.140625" style="2"/>
    <col min="4595" max="4595" width="3.7109375" style="2" customWidth="1"/>
    <col min="4596" max="4596" width="96.85546875" style="2" customWidth="1"/>
    <col min="4597" max="4597" width="30.85546875" style="2" customWidth="1"/>
    <col min="4598" max="4598" width="12.5703125" style="2" customWidth="1"/>
    <col min="4599" max="4599" width="5.140625" style="2" customWidth="1"/>
    <col min="4600" max="4600" width="9.140625" style="2"/>
    <col min="4601" max="4601" width="4.85546875" style="2" customWidth="1"/>
    <col min="4602" max="4602" width="30.5703125" style="2" customWidth="1"/>
    <col min="4603" max="4603" width="33.85546875" style="2" customWidth="1"/>
    <col min="4604" max="4604" width="5.140625" style="2" customWidth="1"/>
    <col min="4605" max="4606" width="17.5703125" style="2" customWidth="1"/>
    <col min="4607" max="4850" width="9.140625" style="2"/>
    <col min="4851" max="4851" width="3.7109375" style="2" customWidth="1"/>
    <col min="4852" max="4852" width="96.85546875" style="2" customWidth="1"/>
    <col min="4853" max="4853" width="30.85546875" style="2" customWidth="1"/>
    <col min="4854" max="4854" width="12.5703125" style="2" customWidth="1"/>
    <col min="4855" max="4855" width="5.140625" style="2" customWidth="1"/>
    <col min="4856" max="4856" width="9.140625" style="2"/>
    <col min="4857" max="4857" width="4.85546875" style="2" customWidth="1"/>
    <col min="4858" max="4858" width="30.5703125" style="2" customWidth="1"/>
    <col min="4859" max="4859" width="33.85546875" style="2" customWidth="1"/>
    <col min="4860" max="4860" width="5.140625" style="2" customWidth="1"/>
    <col min="4861" max="4862" width="17.5703125" style="2" customWidth="1"/>
    <col min="4863" max="5106" width="9.140625" style="2"/>
    <col min="5107" max="5107" width="3.7109375" style="2" customWidth="1"/>
    <col min="5108" max="5108" width="96.85546875" style="2" customWidth="1"/>
    <col min="5109" max="5109" width="30.85546875" style="2" customWidth="1"/>
    <col min="5110" max="5110" width="12.5703125" style="2" customWidth="1"/>
    <col min="5111" max="5111" width="5.140625" style="2" customWidth="1"/>
    <col min="5112" max="5112" width="9.140625" style="2"/>
    <col min="5113" max="5113" width="4.85546875" style="2" customWidth="1"/>
    <col min="5114" max="5114" width="30.5703125" style="2" customWidth="1"/>
    <col min="5115" max="5115" width="33.85546875" style="2" customWidth="1"/>
    <col min="5116" max="5116" width="5.140625" style="2" customWidth="1"/>
    <col min="5117" max="5118" width="17.5703125" style="2" customWidth="1"/>
    <col min="5119" max="5362" width="9.140625" style="2"/>
    <col min="5363" max="5363" width="3.7109375" style="2" customWidth="1"/>
    <col min="5364" max="5364" width="96.85546875" style="2" customWidth="1"/>
    <col min="5365" max="5365" width="30.85546875" style="2" customWidth="1"/>
    <col min="5366" max="5366" width="12.5703125" style="2" customWidth="1"/>
    <col min="5367" max="5367" width="5.140625" style="2" customWidth="1"/>
    <col min="5368" max="5368" width="9.140625" style="2"/>
    <col min="5369" max="5369" width="4.85546875" style="2" customWidth="1"/>
    <col min="5370" max="5370" width="30.5703125" style="2" customWidth="1"/>
    <col min="5371" max="5371" width="33.85546875" style="2" customWidth="1"/>
    <col min="5372" max="5372" width="5.140625" style="2" customWidth="1"/>
    <col min="5373" max="5374" width="17.5703125" style="2" customWidth="1"/>
    <col min="5375" max="5618" width="9.140625" style="2"/>
    <col min="5619" max="5619" width="3.7109375" style="2" customWidth="1"/>
    <col min="5620" max="5620" width="96.85546875" style="2" customWidth="1"/>
    <col min="5621" max="5621" width="30.85546875" style="2" customWidth="1"/>
    <col min="5622" max="5622" width="12.5703125" style="2" customWidth="1"/>
    <col min="5623" max="5623" width="5.140625" style="2" customWidth="1"/>
    <col min="5624" max="5624" width="9.140625" style="2"/>
    <col min="5625" max="5625" width="4.85546875" style="2" customWidth="1"/>
    <col min="5626" max="5626" width="30.5703125" style="2" customWidth="1"/>
    <col min="5627" max="5627" width="33.85546875" style="2" customWidth="1"/>
    <col min="5628" max="5628" width="5.140625" style="2" customWidth="1"/>
    <col min="5629" max="5630" width="17.5703125" style="2" customWidth="1"/>
    <col min="5631" max="5874" width="9.140625" style="2"/>
    <col min="5875" max="5875" width="3.7109375" style="2" customWidth="1"/>
    <col min="5876" max="5876" width="96.85546875" style="2" customWidth="1"/>
    <col min="5877" max="5877" width="30.85546875" style="2" customWidth="1"/>
    <col min="5878" max="5878" width="12.5703125" style="2" customWidth="1"/>
    <col min="5879" max="5879" width="5.140625" style="2" customWidth="1"/>
    <col min="5880" max="5880" width="9.140625" style="2"/>
    <col min="5881" max="5881" width="4.85546875" style="2" customWidth="1"/>
    <col min="5882" max="5882" width="30.5703125" style="2" customWidth="1"/>
    <col min="5883" max="5883" width="33.85546875" style="2" customWidth="1"/>
    <col min="5884" max="5884" width="5.140625" style="2" customWidth="1"/>
    <col min="5885" max="5886" width="17.5703125" style="2" customWidth="1"/>
    <col min="5887" max="6130" width="9.140625" style="2"/>
    <col min="6131" max="6131" width="3.7109375" style="2" customWidth="1"/>
    <col min="6132" max="6132" width="96.85546875" style="2" customWidth="1"/>
    <col min="6133" max="6133" width="30.85546875" style="2" customWidth="1"/>
    <col min="6134" max="6134" width="12.5703125" style="2" customWidth="1"/>
    <col min="6135" max="6135" width="5.140625" style="2" customWidth="1"/>
    <col min="6136" max="6136" width="9.140625" style="2"/>
    <col min="6137" max="6137" width="4.85546875" style="2" customWidth="1"/>
    <col min="6138" max="6138" width="30.5703125" style="2" customWidth="1"/>
    <col min="6139" max="6139" width="33.85546875" style="2" customWidth="1"/>
    <col min="6140" max="6140" width="5.140625" style="2" customWidth="1"/>
    <col min="6141" max="6142" width="17.5703125" style="2" customWidth="1"/>
    <col min="6143" max="6386" width="9.140625" style="2"/>
    <col min="6387" max="6387" width="3.7109375" style="2" customWidth="1"/>
    <col min="6388" max="6388" width="96.85546875" style="2" customWidth="1"/>
    <col min="6389" max="6389" width="30.85546875" style="2" customWidth="1"/>
    <col min="6390" max="6390" width="12.5703125" style="2" customWidth="1"/>
    <col min="6391" max="6391" width="5.140625" style="2" customWidth="1"/>
    <col min="6392" max="6392" width="9.140625" style="2"/>
    <col min="6393" max="6393" width="4.85546875" style="2" customWidth="1"/>
    <col min="6394" max="6394" width="30.5703125" style="2" customWidth="1"/>
    <col min="6395" max="6395" width="33.85546875" style="2" customWidth="1"/>
    <col min="6396" max="6396" width="5.140625" style="2" customWidth="1"/>
    <col min="6397" max="6398" width="17.5703125" style="2" customWidth="1"/>
    <col min="6399" max="6642" width="9.140625" style="2"/>
    <col min="6643" max="6643" width="3.7109375" style="2" customWidth="1"/>
    <col min="6644" max="6644" width="96.85546875" style="2" customWidth="1"/>
    <col min="6645" max="6645" width="30.85546875" style="2" customWidth="1"/>
    <col min="6646" max="6646" width="12.5703125" style="2" customWidth="1"/>
    <col min="6647" max="6647" width="5.140625" style="2" customWidth="1"/>
    <col min="6648" max="6648" width="9.140625" style="2"/>
    <col min="6649" max="6649" width="4.85546875" style="2" customWidth="1"/>
    <col min="6650" max="6650" width="30.5703125" style="2" customWidth="1"/>
    <col min="6651" max="6651" width="33.85546875" style="2" customWidth="1"/>
    <col min="6652" max="6652" width="5.140625" style="2" customWidth="1"/>
    <col min="6653" max="6654" width="17.5703125" style="2" customWidth="1"/>
    <col min="6655" max="6898" width="9.140625" style="2"/>
    <col min="6899" max="6899" width="3.7109375" style="2" customWidth="1"/>
    <col min="6900" max="6900" width="96.85546875" style="2" customWidth="1"/>
    <col min="6901" max="6901" width="30.85546875" style="2" customWidth="1"/>
    <col min="6902" max="6902" width="12.5703125" style="2" customWidth="1"/>
    <col min="6903" max="6903" width="5.140625" style="2" customWidth="1"/>
    <col min="6904" max="6904" width="9.140625" style="2"/>
    <col min="6905" max="6905" width="4.85546875" style="2" customWidth="1"/>
    <col min="6906" max="6906" width="30.5703125" style="2" customWidth="1"/>
    <col min="6907" max="6907" width="33.85546875" style="2" customWidth="1"/>
    <col min="6908" max="6908" width="5.140625" style="2" customWidth="1"/>
    <col min="6909" max="6910" width="17.5703125" style="2" customWidth="1"/>
    <col min="6911" max="7154" width="9.140625" style="2"/>
    <col min="7155" max="7155" width="3.7109375" style="2" customWidth="1"/>
    <col min="7156" max="7156" width="96.85546875" style="2" customWidth="1"/>
    <col min="7157" max="7157" width="30.85546875" style="2" customWidth="1"/>
    <col min="7158" max="7158" width="12.5703125" style="2" customWidth="1"/>
    <col min="7159" max="7159" width="5.140625" style="2" customWidth="1"/>
    <col min="7160" max="7160" width="9.140625" style="2"/>
    <col min="7161" max="7161" width="4.85546875" style="2" customWidth="1"/>
    <col min="7162" max="7162" width="30.5703125" style="2" customWidth="1"/>
    <col min="7163" max="7163" width="33.85546875" style="2" customWidth="1"/>
    <col min="7164" max="7164" width="5.140625" style="2" customWidth="1"/>
    <col min="7165" max="7166" width="17.5703125" style="2" customWidth="1"/>
    <col min="7167" max="7410" width="9.140625" style="2"/>
    <col min="7411" max="7411" width="3.7109375" style="2" customWidth="1"/>
    <col min="7412" max="7412" width="96.85546875" style="2" customWidth="1"/>
    <col min="7413" max="7413" width="30.85546875" style="2" customWidth="1"/>
    <col min="7414" max="7414" width="12.5703125" style="2" customWidth="1"/>
    <col min="7415" max="7415" width="5.140625" style="2" customWidth="1"/>
    <col min="7416" max="7416" width="9.140625" style="2"/>
    <col min="7417" max="7417" width="4.85546875" style="2" customWidth="1"/>
    <col min="7418" max="7418" width="30.5703125" style="2" customWidth="1"/>
    <col min="7419" max="7419" width="33.85546875" style="2" customWidth="1"/>
    <col min="7420" max="7420" width="5.140625" style="2" customWidth="1"/>
    <col min="7421" max="7422" width="17.5703125" style="2" customWidth="1"/>
    <col min="7423" max="7666" width="9.140625" style="2"/>
    <col min="7667" max="7667" width="3.7109375" style="2" customWidth="1"/>
    <col min="7668" max="7668" width="96.85546875" style="2" customWidth="1"/>
    <col min="7669" max="7669" width="30.85546875" style="2" customWidth="1"/>
    <col min="7670" max="7670" width="12.5703125" style="2" customWidth="1"/>
    <col min="7671" max="7671" width="5.140625" style="2" customWidth="1"/>
    <col min="7672" max="7672" width="9.140625" style="2"/>
    <col min="7673" max="7673" width="4.85546875" style="2" customWidth="1"/>
    <col min="7674" max="7674" width="30.5703125" style="2" customWidth="1"/>
    <col min="7675" max="7675" width="33.85546875" style="2" customWidth="1"/>
    <col min="7676" max="7676" width="5.140625" style="2" customWidth="1"/>
    <col min="7677" max="7678" width="17.5703125" style="2" customWidth="1"/>
    <col min="7679" max="7922" width="9.140625" style="2"/>
    <col min="7923" max="7923" width="3.7109375" style="2" customWidth="1"/>
    <col min="7924" max="7924" width="96.85546875" style="2" customWidth="1"/>
    <col min="7925" max="7925" width="30.85546875" style="2" customWidth="1"/>
    <col min="7926" max="7926" width="12.5703125" style="2" customWidth="1"/>
    <col min="7927" max="7927" width="5.140625" style="2" customWidth="1"/>
    <col min="7928" max="7928" width="9.140625" style="2"/>
    <col min="7929" max="7929" width="4.85546875" style="2" customWidth="1"/>
    <col min="7930" max="7930" width="30.5703125" style="2" customWidth="1"/>
    <col min="7931" max="7931" width="33.85546875" style="2" customWidth="1"/>
    <col min="7932" max="7932" width="5.140625" style="2" customWidth="1"/>
    <col min="7933" max="7934" width="17.5703125" style="2" customWidth="1"/>
    <col min="7935" max="8178" width="9.140625" style="2"/>
    <col min="8179" max="8179" width="3.7109375" style="2" customWidth="1"/>
    <col min="8180" max="8180" width="96.85546875" style="2" customWidth="1"/>
    <col min="8181" max="8181" width="30.85546875" style="2" customWidth="1"/>
    <col min="8182" max="8182" width="12.5703125" style="2" customWidth="1"/>
    <col min="8183" max="8183" width="5.140625" style="2" customWidth="1"/>
    <col min="8184" max="8184" width="9.140625" style="2"/>
    <col min="8185" max="8185" width="4.85546875" style="2" customWidth="1"/>
    <col min="8186" max="8186" width="30.5703125" style="2" customWidth="1"/>
    <col min="8187" max="8187" width="33.85546875" style="2" customWidth="1"/>
    <col min="8188" max="8188" width="5.140625" style="2" customWidth="1"/>
    <col min="8189" max="8190" width="17.5703125" style="2" customWidth="1"/>
    <col min="8191" max="8434" width="9.140625" style="2"/>
    <col min="8435" max="8435" width="3.7109375" style="2" customWidth="1"/>
    <col min="8436" max="8436" width="96.85546875" style="2" customWidth="1"/>
    <col min="8437" max="8437" width="30.85546875" style="2" customWidth="1"/>
    <col min="8438" max="8438" width="12.5703125" style="2" customWidth="1"/>
    <col min="8439" max="8439" width="5.140625" style="2" customWidth="1"/>
    <col min="8440" max="8440" width="9.140625" style="2"/>
    <col min="8441" max="8441" width="4.85546875" style="2" customWidth="1"/>
    <col min="8442" max="8442" width="30.5703125" style="2" customWidth="1"/>
    <col min="8443" max="8443" width="33.85546875" style="2" customWidth="1"/>
    <col min="8444" max="8444" width="5.140625" style="2" customWidth="1"/>
    <col min="8445" max="8446" width="17.5703125" style="2" customWidth="1"/>
    <col min="8447" max="8690" width="9.140625" style="2"/>
    <col min="8691" max="8691" width="3.7109375" style="2" customWidth="1"/>
    <col min="8692" max="8692" width="96.85546875" style="2" customWidth="1"/>
    <col min="8693" max="8693" width="30.85546875" style="2" customWidth="1"/>
    <col min="8694" max="8694" width="12.5703125" style="2" customWidth="1"/>
    <col min="8695" max="8695" width="5.140625" style="2" customWidth="1"/>
    <col min="8696" max="8696" width="9.140625" style="2"/>
    <col min="8697" max="8697" width="4.85546875" style="2" customWidth="1"/>
    <col min="8698" max="8698" width="30.5703125" style="2" customWidth="1"/>
    <col min="8699" max="8699" width="33.85546875" style="2" customWidth="1"/>
    <col min="8700" max="8700" width="5.140625" style="2" customWidth="1"/>
    <col min="8701" max="8702" width="17.5703125" style="2" customWidth="1"/>
    <col min="8703" max="8946" width="9.140625" style="2"/>
    <col min="8947" max="8947" width="3.7109375" style="2" customWidth="1"/>
    <col min="8948" max="8948" width="96.85546875" style="2" customWidth="1"/>
    <col min="8949" max="8949" width="30.85546875" style="2" customWidth="1"/>
    <col min="8950" max="8950" width="12.5703125" style="2" customWidth="1"/>
    <col min="8951" max="8951" width="5.140625" style="2" customWidth="1"/>
    <col min="8952" max="8952" width="9.140625" style="2"/>
    <col min="8953" max="8953" width="4.85546875" style="2" customWidth="1"/>
    <col min="8954" max="8954" width="30.5703125" style="2" customWidth="1"/>
    <col min="8955" max="8955" width="33.85546875" style="2" customWidth="1"/>
    <col min="8956" max="8956" width="5.140625" style="2" customWidth="1"/>
    <col min="8957" max="8958" width="17.5703125" style="2" customWidth="1"/>
    <col min="8959" max="9202" width="9.140625" style="2"/>
    <col min="9203" max="9203" width="3.7109375" style="2" customWidth="1"/>
    <col min="9204" max="9204" width="96.85546875" style="2" customWidth="1"/>
    <col min="9205" max="9205" width="30.85546875" style="2" customWidth="1"/>
    <col min="9206" max="9206" width="12.5703125" style="2" customWidth="1"/>
    <col min="9207" max="9207" width="5.140625" style="2" customWidth="1"/>
    <col min="9208" max="9208" width="9.140625" style="2"/>
    <col min="9209" max="9209" width="4.85546875" style="2" customWidth="1"/>
    <col min="9210" max="9210" width="30.5703125" style="2" customWidth="1"/>
    <col min="9211" max="9211" width="33.85546875" style="2" customWidth="1"/>
    <col min="9212" max="9212" width="5.140625" style="2" customWidth="1"/>
    <col min="9213" max="9214" width="17.5703125" style="2" customWidth="1"/>
    <col min="9215" max="9458" width="9.140625" style="2"/>
    <col min="9459" max="9459" width="3.7109375" style="2" customWidth="1"/>
    <col min="9460" max="9460" width="96.85546875" style="2" customWidth="1"/>
    <col min="9461" max="9461" width="30.85546875" style="2" customWidth="1"/>
    <col min="9462" max="9462" width="12.5703125" style="2" customWidth="1"/>
    <col min="9463" max="9463" width="5.140625" style="2" customWidth="1"/>
    <col min="9464" max="9464" width="9.140625" style="2"/>
    <col min="9465" max="9465" width="4.85546875" style="2" customWidth="1"/>
    <col min="9466" max="9466" width="30.5703125" style="2" customWidth="1"/>
    <col min="9467" max="9467" width="33.85546875" style="2" customWidth="1"/>
    <col min="9468" max="9468" width="5.140625" style="2" customWidth="1"/>
    <col min="9469" max="9470" width="17.5703125" style="2" customWidth="1"/>
    <col min="9471" max="9714" width="9.140625" style="2"/>
    <col min="9715" max="9715" width="3.7109375" style="2" customWidth="1"/>
    <col min="9716" max="9716" width="96.85546875" style="2" customWidth="1"/>
    <col min="9717" max="9717" width="30.85546875" style="2" customWidth="1"/>
    <col min="9718" max="9718" width="12.5703125" style="2" customWidth="1"/>
    <col min="9719" max="9719" width="5.140625" style="2" customWidth="1"/>
    <col min="9720" max="9720" width="9.140625" style="2"/>
    <col min="9721" max="9721" width="4.85546875" style="2" customWidth="1"/>
    <col min="9722" max="9722" width="30.5703125" style="2" customWidth="1"/>
    <col min="9723" max="9723" width="33.85546875" style="2" customWidth="1"/>
    <col min="9724" max="9724" width="5.140625" style="2" customWidth="1"/>
    <col min="9725" max="9726" width="17.5703125" style="2" customWidth="1"/>
    <col min="9727" max="9970" width="9.140625" style="2"/>
    <col min="9971" max="9971" width="3.7109375" style="2" customWidth="1"/>
    <col min="9972" max="9972" width="96.85546875" style="2" customWidth="1"/>
    <col min="9973" max="9973" width="30.85546875" style="2" customWidth="1"/>
    <col min="9974" max="9974" width="12.5703125" style="2" customWidth="1"/>
    <col min="9975" max="9975" width="5.140625" style="2" customWidth="1"/>
    <col min="9976" max="9976" width="9.140625" style="2"/>
    <col min="9977" max="9977" width="4.85546875" style="2" customWidth="1"/>
    <col min="9978" max="9978" width="30.5703125" style="2" customWidth="1"/>
    <col min="9979" max="9979" width="33.85546875" style="2" customWidth="1"/>
    <col min="9980" max="9980" width="5.140625" style="2" customWidth="1"/>
    <col min="9981" max="9982" width="17.5703125" style="2" customWidth="1"/>
    <col min="9983" max="10226" width="9.140625" style="2"/>
    <col min="10227" max="10227" width="3.7109375" style="2" customWidth="1"/>
    <col min="10228" max="10228" width="96.85546875" style="2" customWidth="1"/>
    <col min="10229" max="10229" width="30.85546875" style="2" customWidth="1"/>
    <col min="10230" max="10230" width="12.5703125" style="2" customWidth="1"/>
    <col min="10231" max="10231" width="5.140625" style="2" customWidth="1"/>
    <col min="10232" max="10232" width="9.140625" style="2"/>
    <col min="10233" max="10233" width="4.85546875" style="2" customWidth="1"/>
    <col min="10234" max="10234" width="30.5703125" style="2" customWidth="1"/>
    <col min="10235" max="10235" width="33.85546875" style="2" customWidth="1"/>
    <col min="10236" max="10236" width="5.140625" style="2" customWidth="1"/>
    <col min="10237" max="10238" width="17.5703125" style="2" customWidth="1"/>
    <col min="10239" max="10482" width="9.140625" style="2"/>
    <col min="10483" max="10483" width="3.7109375" style="2" customWidth="1"/>
    <col min="10484" max="10484" width="96.85546875" style="2" customWidth="1"/>
    <col min="10485" max="10485" width="30.85546875" style="2" customWidth="1"/>
    <col min="10486" max="10486" width="12.5703125" style="2" customWidth="1"/>
    <col min="10487" max="10487" width="5.140625" style="2" customWidth="1"/>
    <col min="10488" max="10488" width="9.140625" style="2"/>
    <col min="10489" max="10489" width="4.85546875" style="2" customWidth="1"/>
    <col min="10490" max="10490" width="30.5703125" style="2" customWidth="1"/>
    <col min="10491" max="10491" width="33.85546875" style="2" customWidth="1"/>
    <col min="10492" max="10492" width="5.140625" style="2" customWidth="1"/>
    <col min="10493" max="10494" width="17.5703125" style="2" customWidth="1"/>
    <col min="10495" max="10738" width="9.140625" style="2"/>
    <col min="10739" max="10739" width="3.7109375" style="2" customWidth="1"/>
    <col min="10740" max="10740" width="96.85546875" style="2" customWidth="1"/>
    <col min="10741" max="10741" width="30.85546875" style="2" customWidth="1"/>
    <col min="10742" max="10742" width="12.5703125" style="2" customWidth="1"/>
    <col min="10743" max="10743" width="5.140625" style="2" customWidth="1"/>
    <col min="10744" max="10744" width="9.140625" style="2"/>
    <col min="10745" max="10745" width="4.85546875" style="2" customWidth="1"/>
    <col min="10746" max="10746" width="30.5703125" style="2" customWidth="1"/>
    <col min="10747" max="10747" width="33.85546875" style="2" customWidth="1"/>
    <col min="10748" max="10748" width="5.140625" style="2" customWidth="1"/>
    <col min="10749" max="10750" width="17.5703125" style="2" customWidth="1"/>
    <col min="10751" max="10994" width="9.140625" style="2"/>
    <col min="10995" max="10995" width="3.7109375" style="2" customWidth="1"/>
    <col min="10996" max="10996" width="96.85546875" style="2" customWidth="1"/>
    <col min="10997" max="10997" width="30.85546875" style="2" customWidth="1"/>
    <col min="10998" max="10998" width="12.5703125" style="2" customWidth="1"/>
    <col min="10999" max="10999" width="5.140625" style="2" customWidth="1"/>
    <col min="11000" max="11000" width="9.140625" style="2"/>
    <col min="11001" max="11001" width="4.85546875" style="2" customWidth="1"/>
    <col min="11002" max="11002" width="30.5703125" style="2" customWidth="1"/>
    <col min="11003" max="11003" width="33.85546875" style="2" customWidth="1"/>
    <col min="11004" max="11004" width="5.140625" style="2" customWidth="1"/>
    <col min="11005" max="11006" width="17.5703125" style="2" customWidth="1"/>
    <col min="11007" max="11250" width="9.140625" style="2"/>
    <col min="11251" max="11251" width="3.7109375" style="2" customWidth="1"/>
    <col min="11252" max="11252" width="96.85546875" style="2" customWidth="1"/>
    <col min="11253" max="11253" width="30.85546875" style="2" customWidth="1"/>
    <col min="11254" max="11254" width="12.5703125" style="2" customWidth="1"/>
    <col min="11255" max="11255" width="5.140625" style="2" customWidth="1"/>
    <col min="11256" max="11256" width="9.140625" style="2"/>
    <col min="11257" max="11257" width="4.85546875" style="2" customWidth="1"/>
    <col min="11258" max="11258" width="30.5703125" style="2" customWidth="1"/>
    <col min="11259" max="11259" width="33.85546875" style="2" customWidth="1"/>
    <col min="11260" max="11260" width="5.140625" style="2" customWidth="1"/>
    <col min="11261" max="11262" width="17.5703125" style="2" customWidth="1"/>
    <col min="11263" max="11506" width="9.140625" style="2"/>
    <col min="11507" max="11507" width="3.7109375" style="2" customWidth="1"/>
    <col min="11508" max="11508" width="96.85546875" style="2" customWidth="1"/>
    <col min="11509" max="11509" width="30.85546875" style="2" customWidth="1"/>
    <col min="11510" max="11510" width="12.5703125" style="2" customWidth="1"/>
    <col min="11511" max="11511" width="5.140625" style="2" customWidth="1"/>
    <col min="11512" max="11512" width="9.140625" style="2"/>
    <col min="11513" max="11513" width="4.85546875" style="2" customWidth="1"/>
    <col min="11514" max="11514" width="30.5703125" style="2" customWidth="1"/>
    <col min="11515" max="11515" width="33.85546875" style="2" customWidth="1"/>
    <col min="11516" max="11516" width="5.140625" style="2" customWidth="1"/>
    <col min="11517" max="11518" width="17.5703125" style="2" customWidth="1"/>
    <col min="11519" max="11762" width="9.140625" style="2"/>
    <col min="11763" max="11763" width="3.7109375" style="2" customWidth="1"/>
    <col min="11764" max="11764" width="96.85546875" style="2" customWidth="1"/>
    <col min="11765" max="11765" width="30.85546875" style="2" customWidth="1"/>
    <col min="11766" max="11766" width="12.5703125" style="2" customWidth="1"/>
    <col min="11767" max="11767" width="5.140625" style="2" customWidth="1"/>
    <col min="11768" max="11768" width="9.140625" style="2"/>
    <col min="11769" max="11769" width="4.85546875" style="2" customWidth="1"/>
    <col min="11770" max="11770" width="30.5703125" style="2" customWidth="1"/>
    <col min="11771" max="11771" width="33.85546875" style="2" customWidth="1"/>
    <col min="11772" max="11772" width="5.140625" style="2" customWidth="1"/>
    <col min="11773" max="11774" width="17.5703125" style="2" customWidth="1"/>
    <col min="11775" max="12018" width="9.140625" style="2"/>
    <col min="12019" max="12019" width="3.7109375" style="2" customWidth="1"/>
    <col min="12020" max="12020" width="96.85546875" style="2" customWidth="1"/>
    <col min="12021" max="12021" width="30.85546875" style="2" customWidth="1"/>
    <col min="12022" max="12022" width="12.5703125" style="2" customWidth="1"/>
    <col min="12023" max="12023" width="5.140625" style="2" customWidth="1"/>
    <col min="12024" max="12024" width="9.140625" style="2"/>
    <col min="12025" max="12025" width="4.85546875" style="2" customWidth="1"/>
    <col min="12026" max="12026" width="30.5703125" style="2" customWidth="1"/>
    <col min="12027" max="12027" width="33.85546875" style="2" customWidth="1"/>
    <col min="12028" max="12028" width="5.140625" style="2" customWidth="1"/>
    <col min="12029" max="12030" width="17.5703125" style="2" customWidth="1"/>
    <col min="12031" max="12274" width="9.140625" style="2"/>
    <col min="12275" max="12275" width="3.7109375" style="2" customWidth="1"/>
    <col min="12276" max="12276" width="96.85546875" style="2" customWidth="1"/>
    <col min="12277" max="12277" width="30.85546875" style="2" customWidth="1"/>
    <col min="12278" max="12278" width="12.5703125" style="2" customWidth="1"/>
    <col min="12279" max="12279" width="5.140625" style="2" customWidth="1"/>
    <col min="12280" max="12280" width="9.140625" style="2"/>
    <col min="12281" max="12281" width="4.85546875" style="2" customWidth="1"/>
    <col min="12282" max="12282" width="30.5703125" style="2" customWidth="1"/>
    <col min="12283" max="12283" width="33.85546875" style="2" customWidth="1"/>
    <col min="12284" max="12284" width="5.140625" style="2" customWidth="1"/>
    <col min="12285" max="12286" width="17.5703125" style="2" customWidth="1"/>
    <col min="12287" max="12530" width="9.140625" style="2"/>
    <col min="12531" max="12531" width="3.7109375" style="2" customWidth="1"/>
    <col min="12532" max="12532" width="96.85546875" style="2" customWidth="1"/>
    <col min="12533" max="12533" width="30.85546875" style="2" customWidth="1"/>
    <col min="12534" max="12534" width="12.5703125" style="2" customWidth="1"/>
    <col min="12535" max="12535" width="5.140625" style="2" customWidth="1"/>
    <col min="12536" max="12536" width="9.140625" style="2"/>
    <col min="12537" max="12537" width="4.85546875" style="2" customWidth="1"/>
    <col min="12538" max="12538" width="30.5703125" style="2" customWidth="1"/>
    <col min="12539" max="12539" width="33.85546875" style="2" customWidth="1"/>
    <col min="12540" max="12540" width="5.140625" style="2" customWidth="1"/>
    <col min="12541" max="12542" width="17.5703125" style="2" customWidth="1"/>
    <col min="12543" max="12786" width="9.140625" style="2"/>
    <col min="12787" max="12787" width="3.7109375" style="2" customWidth="1"/>
    <col min="12788" max="12788" width="96.85546875" style="2" customWidth="1"/>
    <col min="12789" max="12789" width="30.85546875" style="2" customWidth="1"/>
    <col min="12790" max="12790" width="12.5703125" style="2" customWidth="1"/>
    <col min="12791" max="12791" width="5.140625" style="2" customWidth="1"/>
    <col min="12792" max="12792" width="9.140625" style="2"/>
    <col min="12793" max="12793" width="4.85546875" style="2" customWidth="1"/>
    <col min="12794" max="12794" width="30.5703125" style="2" customWidth="1"/>
    <col min="12795" max="12795" width="33.85546875" style="2" customWidth="1"/>
    <col min="12796" max="12796" width="5.140625" style="2" customWidth="1"/>
    <col min="12797" max="12798" width="17.5703125" style="2" customWidth="1"/>
    <col min="12799" max="13042" width="9.140625" style="2"/>
    <col min="13043" max="13043" width="3.7109375" style="2" customWidth="1"/>
    <col min="13044" max="13044" width="96.85546875" style="2" customWidth="1"/>
    <col min="13045" max="13045" width="30.85546875" style="2" customWidth="1"/>
    <col min="13046" max="13046" width="12.5703125" style="2" customWidth="1"/>
    <col min="13047" max="13047" width="5.140625" style="2" customWidth="1"/>
    <col min="13048" max="13048" width="9.140625" style="2"/>
    <col min="13049" max="13049" width="4.85546875" style="2" customWidth="1"/>
    <col min="13050" max="13050" width="30.5703125" style="2" customWidth="1"/>
    <col min="13051" max="13051" width="33.85546875" style="2" customWidth="1"/>
    <col min="13052" max="13052" width="5.140625" style="2" customWidth="1"/>
    <col min="13053" max="13054" width="17.5703125" style="2" customWidth="1"/>
    <col min="13055" max="13298" width="9.140625" style="2"/>
    <col min="13299" max="13299" width="3.7109375" style="2" customWidth="1"/>
    <col min="13300" max="13300" width="96.85546875" style="2" customWidth="1"/>
    <col min="13301" max="13301" width="30.85546875" style="2" customWidth="1"/>
    <col min="13302" max="13302" width="12.5703125" style="2" customWidth="1"/>
    <col min="13303" max="13303" width="5.140625" style="2" customWidth="1"/>
    <col min="13304" max="13304" width="9.140625" style="2"/>
    <col min="13305" max="13305" width="4.85546875" style="2" customWidth="1"/>
    <col min="13306" max="13306" width="30.5703125" style="2" customWidth="1"/>
    <col min="13307" max="13307" width="33.85546875" style="2" customWidth="1"/>
    <col min="13308" max="13308" width="5.140625" style="2" customWidth="1"/>
    <col min="13309" max="13310" width="17.5703125" style="2" customWidth="1"/>
    <col min="13311" max="13554" width="9.140625" style="2"/>
    <col min="13555" max="13555" width="3.7109375" style="2" customWidth="1"/>
    <col min="13556" max="13556" width="96.85546875" style="2" customWidth="1"/>
    <col min="13557" max="13557" width="30.85546875" style="2" customWidth="1"/>
    <col min="13558" max="13558" width="12.5703125" style="2" customWidth="1"/>
    <col min="13559" max="13559" width="5.140625" style="2" customWidth="1"/>
    <col min="13560" max="13560" width="9.140625" style="2"/>
    <col min="13561" max="13561" width="4.85546875" style="2" customWidth="1"/>
    <col min="13562" max="13562" width="30.5703125" style="2" customWidth="1"/>
    <col min="13563" max="13563" width="33.85546875" style="2" customWidth="1"/>
    <col min="13564" max="13564" width="5.140625" style="2" customWidth="1"/>
    <col min="13565" max="13566" width="17.5703125" style="2" customWidth="1"/>
    <col min="13567" max="13810" width="9.140625" style="2"/>
    <col min="13811" max="13811" width="3.7109375" style="2" customWidth="1"/>
    <col min="13812" max="13812" width="96.85546875" style="2" customWidth="1"/>
    <col min="13813" max="13813" width="30.85546875" style="2" customWidth="1"/>
    <col min="13814" max="13814" width="12.5703125" style="2" customWidth="1"/>
    <col min="13815" max="13815" width="5.140625" style="2" customWidth="1"/>
    <col min="13816" max="13816" width="9.140625" style="2"/>
    <col min="13817" max="13817" width="4.85546875" style="2" customWidth="1"/>
    <col min="13818" max="13818" width="30.5703125" style="2" customWidth="1"/>
    <col min="13819" max="13819" width="33.85546875" style="2" customWidth="1"/>
    <col min="13820" max="13820" width="5.140625" style="2" customWidth="1"/>
    <col min="13821" max="13822" width="17.5703125" style="2" customWidth="1"/>
    <col min="13823" max="14066" width="9.140625" style="2"/>
    <col min="14067" max="14067" width="3.7109375" style="2" customWidth="1"/>
    <col min="14068" max="14068" width="96.85546875" style="2" customWidth="1"/>
    <col min="14069" max="14069" width="30.85546875" style="2" customWidth="1"/>
    <col min="14070" max="14070" width="12.5703125" style="2" customWidth="1"/>
    <col min="14071" max="14071" width="5.140625" style="2" customWidth="1"/>
    <col min="14072" max="14072" width="9.140625" style="2"/>
    <col min="14073" max="14073" width="4.85546875" style="2" customWidth="1"/>
    <col min="14074" max="14074" width="30.5703125" style="2" customWidth="1"/>
    <col min="14075" max="14075" width="33.85546875" style="2" customWidth="1"/>
    <col min="14076" max="14076" width="5.140625" style="2" customWidth="1"/>
    <col min="14077" max="14078" width="17.5703125" style="2" customWidth="1"/>
    <col min="14079" max="14322" width="9.140625" style="2"/>
    <col min="14323" max="14323" width="3.7109375" style="2" customWidth="1"/>
    <col min="14324" max="14324" width="96.85546875" style="2" customWidth="1"/>
    <col min="14325" max="14325" width="30.85546875" style="2" customWidth="1"/>
    <col min="14326" max="14326" width="12.5703125" style="2" customWidth="1"/>
    <col min="14327" max="14327" width="5.140625" style="2" customWidth="1"/>
    <col min="14328" max="14328" width="9.140625" style="2"/>
    <col min="14329" max="14329" width="4.85546875" style="2" customWidth="1"/>
    <col min="14330" max="14330" width="30.5703125" style="2" customWidth="1"/>
    <col min="14331" max="14331" width="33.85546875" style="2" customWidth="1"/>
    <col min="14332" max="14332" width="5.140625" style="2" customWidth="1"/>
    <col min="14333" max="14334" width="17.5703125" style="2" customWidth="1"/>
    <col min="14335" max="14578" width="9.140625" style="2"/>
    <col min="14579" max="14579" width="3.7109375" style="2" customWidth="1"/>
    <col min="14580" max="14580" width="96.85546875" style="2" customWidth="1"/>
    <col min="14581" max="14581" width="30.85546875" style="2" customWidth="1"/>
    <col min="14582" max="14582" width="12.5703125" style="2" customWidth="1"/>
    <col min="14583" max="14583" width="5.140625" style="2" customWidth="1"/>
    <col min="14584" max="14584" width="9.140625" style="2"/>
    <col min="14585" max="14585" width="4.85546875" style="2" customWidth="1"/>
    <col min="14586" max="14586" width="30.5703125" style="2" customWidth="1"/>
    <col min="14587" max="14587" width="33.85546875" style="2" customWidth="1"/>
    <col min="14588" max="14588" width="5.140625" style="2" customWidth="1"/>
    <col min="14589" max="14590" width="17.5703125" style="2" customWidth="1"/>
    <col min="14591" max="14834" width="9.140625" style="2"/>
    <col min="14835" max="14835" width="3.7109375" style="2" customWidth="1"/>
    <col min="14836" max="14836" width="96.85546875" style="2" customWidth="1"/>
    <col min="14837" max="14837" width="30.85546875" style="2" customWidth="1"/>
    <col min="14838" max="14838" width="12.5703125" style="2" customWidth="1"/>
    <col min="14839" max="14839" width="5.140625" style="2" customWidth="1"/>
    <col min="14840" max="14840" width="9.140625" style="2"/>
    <col min="14841" max="14841" width="4.85546875" style="2" customWidth="1"/>
    <col min="14842" max="14842" width="30.5703125" style="2" customWidth="1"/>
    <col min="14843" max="14843" width="33.85546875" style="2" customWidth="1"/>
    <col min="14844" max="14844" width="5.140625" style="2" customWidth="1"/>
    <col min="14845" max="14846" width="17.5703125" style="2" customWidth="1"/>
    <col min="14847" max="15090" width="9.140625" style="2"/>
    <col min="15091" max="15091" width="3.7109375" style="2" customWidth="1"/>
    <col min="15092" max="15092" width="96.85546875" style="2" customWidth="1"/>
    <col min="15093" max="15093" width="30.85546875" style="2" customWidth="1"/>
    <col min="15094" max="15094" width="12.5703125" style="2" customWidth="1"/>
    <col min="15095" max="15095" width="5.140625" style="2" customWidth="1"/>
    <col min="15096" max="15096" width="9.140625" style="2"/>
    <col min="15097" max="15097" width="4.85546875" style="2" customWidth="1"/>
    <col min="15098" max="15098" width="30.5703125" style="2" customWidth="1"/>
    <col min="15099" max="15099" width="33.85546875" style="2" customWidth="1"/>
    <col min="15100" max="15100" width="5.140625" style="2" customWidth="1"/>
    <col min="15101" max="15102" width="17.5703125" style="2" customWidth="1"/>
    <col min="15103" max="15346" width="9.140625" style="2"/>
    <col min="15347" max="15347" width="3.7109375" style="2" customWidth="1"/>
    <col min="15348" max="15348" width="96.85546875" style="2" customWidth="1"/>
    <col min="15349" max="15349" width="30.85546875" style="2" customWidth="1"/>
    <col min="15350" max="15350" width="12.5703125" style="2" customWidth="1"/>
    <col min="15351" max="15351" width="5.140625" style="2" customWidth="1"/>
    <col min="15352" max="15352" width="9.140625" style="2"/>
    <col min="15353" max="15353" width="4.85546875" style="2" customWidth="1"/>
    <col min="15354" max="15354" width="30.5703125" style="2" customWidth="1"/>
    <col min="15355" max="15355" width="33.85546875" style="2" customWidth="1"/>
    <col min="15356" max="15356" width="5.140625" style="2" customWidth="1"/>
    <col min="15357" max="15358" width="17.5703125" style="2" customWidth="1"/>
    <col min="15359" max="15602" width="9.140625" style="2"/>
    <col min="15603" max="15603" width="3.7109375" style="2" customWidth="1"/>
    <col min="15604" max="15604" width="96.85546875" style="2" customWidth="1"/>
    <col min="15605" max="15605" width="30.85546875" style="2" customWidth="1"/>
    <col min="15606" max="15606" width="12.5703125" style="2" customWidth="1"/>
    <col min="15607" max="15607" width="5.140625" style="2" customWidth="1"/>
    <col min="15608" max="15608" width="9.140625" style="2"/>
    <col min="15609" max="15609" width="4.85546875" style="2" customWidth="1"/>
    <col min="15610" max="15610" width="30.5703125" style="2" customWidth="1"/>
    <col min="15611" max="15611" width="33.85546875" style="2" customWidth="1"/>
    <col min="15612" max="15612" width="5.140625" style="2" customWidth="1"/>
    <col min="15613" max="15614" width="17.5703125" style="2" customWidth="1"/>
    <col min="15615" max="15858" width="9.140625" style="2"/>
    <col min="15859" max="15859" width="3.7109375" style="2" customWidth="1"/>
    <col min="15860" max="15860" width="96.85546875" style="2" customWidth="1"/>
    <col min="15861" max="15861" width="30.85546875" style="2" customWidth="1"/>
    <col min="15862" max="15862" width="12.5703125" style="2" customWidth="1"/>
    <col min="15863" max="15863" width="5.140625" style="2" customWidth="1"/>
    <col min="15864" max="15864" width="9.140625" style="2"/>
    <col min="15865" max="15865" width="4.85546875" style="2" customWidth="1"/>
    <col min="15866" max="15866" width="30.5703125" style="2" customWidth="1"/>
    <col min="15867" max="15867" width="33.85546875" style="2" customWidth="1"/>
    <col min="15868" max="15868" width="5.140625" style="2" customWidth="1"/>
    <col min="15869" max="15870" width="17.5703125" style="2" customWidth="1"/>
    <col min="15871" max="16114" width="9.140625" style="2"/>
    <col min="16115" max="16115" width="3.7109375" style="2" customWidth="1"/>
    <col min="16116" max="16116" width="96.85546875" style="2" customWidth="1"/>
    <col min="16117" max="16117" width="30.85546875" style="2" customWidth="1"/>
    <col min="16118" max="16118" width="12.5703125" style="2" customWidth="1"/>
    <col min="16119" max="16119" width="5.140625" style="2" customWidth="1"/>
    <col min="16120" max="16120" width="9.140625" style="2"/>
    <col min="16121" max="16121" width="4.85546875" style="2" customWidth="1"/>
    <col min="16122" max="16122" width="30.5703125" style="2" customWidth="1"/>
    <col min="16123" max="16123" width="33.85546875" style="2" customWidth="1"/>
    <col min="16124" max="16124" width="5.140625" style="2" customWidth="1"/>
    <col min="16125" max="16126" width="17.5703125" style="2" customWidth="1"/>
    <col min="16127"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[21]И1!D13</f>
        <v>Субъект Российской Федерации</v>
      </c>
      <c r="C4" s="10" t="str">
        <f>[21]И1!E13</f>
        <v>Новосибирская область</v>
      </c>
    </row>
    <row r="5" spans="1:3" ht="15.95" customHeight="1">
      <c r="A5" s="8"/>
      <c r="B5" s="9" t="str">
        <f>[21]И1!D14</f>
        <v>Тип муниципального образования (выберите из списка)</v>
      </c>
      <c r="C5" s="10" t="str">
        <f>[21]И1!E14</f>
        <v xml:space="preserve">село Плотниково, Новосибирский муниципальный район </v>
      </c>
    </row>
    <row r="6" spans="1:3">
      <c r="A6" s="8"/>
      <c r="B6" s="9" t="str">
        <f>IF([21]И1!E15="","",[21]И1!D15)</f>
        <v/>
      </c>
      <c r="C6" s="7" t="str">
        <f>IF([21]И1!E15="","",[21]И1!E15)</f>
        <v/>
      </c>
    </row>
    <row r="7" spans="1:3">
      <c r="A7" s="8"/>
      <c r="B7" s="9" t="str">
        <f>[21]И1!D16</f>
        <v>Код ОКТМО</v>
      </c>
      <c r="C7" s="11" t="str">
        <f>[21]И1!E16</f>
        <v>50640437101</v>
      </c>
    </row>
    <row r="8" spans="1:3">
      <c r="A8" s="8"/>
      <c r="B8" s="12" t="str">
        <f>[21]И1!D17</f>
        <v>Система теплоснабжения</v>
      </c>
      <c r="C8" s="13">
        <f>[21]И1!E17</f>
        <v>0</v>
      </c>
    </row>
    <row r="9" spans="1:3">
      <c r="A9" s="8"/>
      <c r="B9" s="9" t="str">
        <f>[21]И1!D8</f>
        <v>Период регулирования (i)-й</v>
      </c>
      <c r="C9" s="14">
        <f>[21]И1!E8</f>
        <v>2024</v>
      </c>
    </row>
    <row r="10" spans="1:3">
      <c r="A10" s="8"/>
      <c r="B10" s="9" t="str">
        <f>[21]И1!D9</f>
        <v>Период регулирования (i-1)-й</v>
      </c>
      <c r="C10" s="14">
        <f>[21]И1!E9</f>
        <v>2023</v>
      </c>
    </row>
    <row r="11" spans="1:3">
      <c r="A11" s="8"/>
      <c r="B11" s="9" t="str">
        <f>[21]И1!D10</f>
        <v>Период регулирования (i-2)-й</v>
      </c>
      <c r="C11" s="14">
        <f>[21]И1!E10</f>
        <v>2022</v>
      </c>
    </row>
    <row r="12" spans="1:3">
      <c r="A12" s="8"/>
      <c r="B12" s="9" t="str">
        <f>[21]И1!D11</f>
        <v>Базовый год (б)</v>
      </c>
      <c r="C12" s="14">
        <f>[21]И1!E11</f>
        <v>2019</v>
      </c>
    </row>
    <row r="13" spans="1:3">
      <c r="A13" s="8"/>
      <c r="B13" s="9" t="str">
        <f>[21]И1!D18</f>
        <v>Вид топлива, использование которого преобладает в системе теплоснабжения</v>
      </c>
      <c r="C13" s="15" t="str">
        <f>[21]И1!E18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2966.9017218281497</v>
      </c>
    </row>
    <row r="18" spans="1:3" ht="42.75">
      <c r="A18" s="22" t="s">
        <v>8</v>
      </c>
      <c r="B18" s="25" t="s">
        <v>9</v>
      </c>
      <c r="C18" s="26">
        <f>[21]С1!F12</f>
        <v>994.35037159416254</v>
      </c>
    </row>
    <row r="19" spans="1:3" ht="42.75">
      <c r="A19" s="22" t="s">
        <v>10</v>
      </c>
      <c r="B19" s="25" t="s">
        <v>11</v>
      </c>
      <c r="C19" s="26">
        <f>[21]С2!F12</f>
        <v>1337.1646821037446</v>
      </c>
    </row>
    <row r="20" spans="1:3" ht="30">
      <c r="A20" s="22" t="s">
        <v>12</v>
      </c>
      <c r="B20" s="25" t="s">
        <v>13</v>
      </c>
      <c r="C20" s="26">
        <f>[21]С3!F12</f>
        <v>317.6025648848447</v>
      </c>
    </row>
    <row r="21" spans="1:3" ht="42.75">
      <c r="A21" s="22" t="s">
        <v>14</v>
      </c>
      <c r="B21" s="25" t="s">
        <v>228</v>
      </c>
      <c r="C21" s="26">
        <f>[21]С4!F12</f>
        <v>259.60955968014031</v>
      </c>
    </row>
    <row r="22" spans="1:3" ht="33" customHeight="1">
      <c r="A22" s="22" t="s">
        <v>16</v>
      </c>
      <c r="B22" s="25" t="s">
        <v>229</v>
      </c>
      <c r="C22" s="26">
        <f>[21]С5!F12</f>
        <v>58.174543565257835</v>
      </c>
    </row>
    <row r="23" spans="1:3" ht="45.75" customHeight="1" thickBot="1">
      <c r="A23" s="27" t="s">
        <v>18</v>
      </c>
      <c r="B23" s="141" t="s">
        <v>230</v>
      </c>
      <c r="C23" s="28">
        <f>[21]С6!F12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[21]С1.1!E16</f>
        <v>7900</v>
      </c>
    </row>
    <row r="29" spans="1:3" ht="42.75">
      <c r="A29" s="22" t="s">
        <v>10</v>
      </c>
      <c r="B29" s="33" t="s">
        <v>232</v>
      </c>
      <c r="C29" s="34">
        <f>[21]С1.1!E32</f>
        <v>5751.37</v>
      </c>
    </row>
    <row r="30" spans="1:3" ht="38.25">
      <c r="A30" s="22" t="s">
        <v>233</v>
      </c>
      <c r="B30" s="33" t="s">
        <v>234</v>
      </c>
      <c r="C30" s="85" t="str">
        <f>[21]С1.1!E25</f>
        <v>ООО "Газпром газораспределение Томск"</v>
      </c>
    </row>
    <row r="31" spans="1:3" ht="38.25">
      <c r="A31" s="22" t="s">
        <v>235</v>
      </c>
      <c r="B31" s="33" t="str">
        <f>[21]С1.1!D26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[21]С1.1!E26</f>
        <v>4699.5</v>
      </c>
    </row>
    <row r="32" spans="1:3" ht="25.5">
      <c r="A32" s="22" t="s">
        <v>236</v>
      </c>
      <c r="B32" s="33" t="str">
        <f>[21]С1.1!D27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[21]С1.1!E27</f>
        <v>795.43</v>
      </c>
    </row>
    <row r="33" spans="1:3" ht="25.5">
      <c r="A33" s="22" t="s">
        <v>237</v>
      </c>
      <c r="B33" s="33" t="str">
        <f>[21]С1.1!D28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[21]С1.1!E28</f>
        <v>136.54</v>
      </c>
    </row>
    <row r="34" spans="1:3" ht="38.25">
      <c r="A34" s="22" t="s">
        <v>238</v>
      </c>
      <c r="B34" s="33" t="str">
        <f>[21]С1.1!D29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[21]С1.1!E29</f>
        <v>119.9</v>
      </c>
    </row>
    <row r="35" spans="1:3" ht="17.25">
      <c r="A35" s="22" t="s">
        <v>12</v>
      </c>
      <c r="B35" s="33" t="s">
        <v>23</v>
      </c>
      <c r="C35" s="35">
        <f>[21]С1.1!E20</f>
        <v>8.5000000000000006E-2</v>
      </c>
    </row>
    <row r="36" spans="1:3" ht="17.25">
      <c r="A36" s="22" t="s">
        <v>14</v>
      </c>
      <c r="B36" s="33" t="s">
        <v>24</v>
      </c>
      <c r="C36" s="35">
        <f>[21]С1.1!E21</f>
        <v>0.112</v>
      </c>
    </row>
    <row r="37" spans="1:3" ht="30">
      <c r="A37" s="22" t="s">
        <v>16</v>
      </c>
      <c r="B37" s="36" t="s">
        <v>239</v>
      </c>
      <c r="C37" s="121">
        <f>[21]С1!F13</f>
        <v>156.1</v>
      </c>
    </row>
    <row r="38" spans="1:3">
      <c r="A38" s="22" t="s">
        <v>18</v>
      </c>
      <c r="B38" s="36" t="s">
        <v>26</v>
      </c>
      <c r="C38" s="38">
        <f>[21]С1!F16</f>
        <v>7000</v>
      </c>
    </row>
    <row r="39" spans="1:3" ht="14.25">
      <c r="A39" s="122" t="s">
        <v>27</v>
      </c>
      <c r="B39" s="39" t="s">
        <v>240</v>
      </c>
      <c r="C39" s="40">
        <f>[21]С1!F17</f>
        <v>1.1285714285714286</v>
      </c>
    </row>
    <row r="40" spans="1:3" ht="15.75">
      <c r="A40" s="123" t="s">
        <v>29</v>
      </c>
      <c r="B40" s="42" t="s">
        <v>30</v>
      </c>
      <c r="C40" s="40">
        <f>[21]С1!F20</f>
        <v>22.307053372799995</v>
      </c>
    </row>
    <row r="41" spans="1:3" ht="15.75">
      <c r="A41" s="123" t="s">
        <v>31</v>
      </c>
      <c r="B41" s="43" t="s">
        <v>32</v>
      </c>
      <c r="C41" s="40">
        <f>[21]С1!F21</f>
        <v>21.531904799999996</v>
      </c>
    </row>
    <row r="42" spans="1:3" ht="14.25">
      <c r="A42" s="123" t="s">
        <v>33</v>
      </c>
      <c r="B42" s="44" t="s">
        <v>34</v>
      </c>
      <c r="C42" s="40">
        <f>[21]С1!F22</f>
        <v>1.036</v>
      </c>
    </row>
    <row r="43" spans="1:3" ht="53.25" thickBot="1">
      <c r="A43" s="27" t="s">
        <v>35</v>
      </c>
      <c r="B43" s="45" t="s">
        <v>36</v>
      </c>
      <c r="C43" s="46" t="str">
        <f>[21]С1!F23</f>
        <v>-</v>
      </c>
    </row>
    <row r="44" spans="1:3" ht="13.5" thickBot="1">
      <c r="A44" s="47"/>
      <c r="B44" s="75"/>
      <c r="C44" s="15"/>
    </row>
    <row r="45" spans="1:3" ht="30" customHeight="1">
      <c r="A45" s="50" t="s">
        <v>37</v>
      </c>
      <c r="B45" s="145" t="s">
        <v>38</v>
      </c>
      <c r="C45" s="145"/>
    </row>
    <row r="46" spans="1:3" ht="25.5">
      <c r="A46" s="22" t="s">
        <v>39</v>
      </c>
      <c r="B46" s="36" t="s">
        <v>40</v>
      </c>
      <c r="C46" s="51" t="str">
        <f>[21]С2.1!E12</f>
        <v>V</v>
      </c>
    </row>
    <row r="47" spans="1:3" ht="25.5">
      <c r="A47" s="22" t="s">
        <v>41</v>
      </c>
      <c r="B47" s="33" t="s">
        <v>42</v>
      </c>
      <c r="C47" s="51" t="str">
        <f>[21]С2.1!E13</f>
        <v>6 и менее баллов</v>
      </c>
    </row>
    <row r="48" spans="1:3" ht="25.5">
      <c r="A48" s="22" t="s">
        <v>43</v>
      </c>
      <c r="B48" s="33" t="s">
        <v>241</v>
      </c>
      <c r="C48" s="51" t="str">
        <f>[21]С2.1!E14</f>
        <v>от 200 до 500</v>
      </c>
    </row>
    <row r="49" spans="1:3" ht="25.5">
      <c r="A49" s="22" t="s">
        <v>45</v>
      </c>
      <c r="B49" s="33" t="s">
        <v>242</v>
      </c>
      <c r="C49" s="52" t="str">
        <f>[21]С2.1!E15</f>
        <v>нет</v>
      </c>
    </row>
    <row r="50" spans="1:3" ht="30">
      <c r="A50" s="22" t="s">
        <v>47</v>
      </c>
      <c r="B50" s="33" t="s">
        <v>48</v>
      </c>
      <c r="C50" s="34">
        <f>[21]С2!F18</f>
        <v>35106.652004551666</v>
      </c>
    </row>
    <row r="51" spans="1:3" ht="30">
      <c r="A51" s="22" t="s">
        <v>49</v>
      </c>
      <c r="B51" s="53" t="s">
        <v>50</v>
      </c>
      <c r="C51" s="34">
        <f>IF([21]С2!F19&gt;0,[21]С2!F19,[21]С2!F20)</f>
        <v>23441.524932855718</v>
      </c>
    </row>
    <row r="52" spans="1:3" ht="25.5">
      <c r="A52" s="22" t="s">
        <v>51</v>
      </c>
      <c r="B52" s="54" t="s">
        <v>52</v>
      </c>
      <c r="C52" s="34">
        <f>[21]С2.1!E20</f>
        <v>-37</v>
      </c>
    </row>
    <row r="53" spans="1:3" ht="25.5">
      <c r="A53" s="22" t="s">
        <v>53</v>
      </c>
      <c r="B53" s="54" t="s">
        <v>54</v>
      </c>
      <c r="C53" s="34" t="str">
        <f>[21]С2.1!E23</f>
        <v>нет</v>
      </c>
    </row>
    <row r="54" spans="1:3" ht="38.25">
      <c r="A54" s="22" t="s">
        <v>55</v>
      </c>
      <c r="B54" s="55" t="s">
        <v>56</v>
      </c>
      <c r="C54" s="34">
        <f>[21]С2.2!E10</f>
        <v>1287</v>
      </c>
    </row>
    <row r="55" spans="1:3" ht="25.5">
      <c r="A55" s="22" t="s">
        <v>57</v>
      </c>
      <c r="B55" s="56" t="s">
        <v>58</v>
      </c>
      <c r="C55" s="34">
        <f>[21]С2.2!E12</f>
        <v>5.97</v>
      </c>
    </row>
    <row r="56" spans="1:3" ht="52.5">
      <c r="A56" s="22" t="s">
        <v>59</v>
      </c>
      <c r="B56" s="57" t="s">
        <v>60</v>
      </c>
      <c r="C56" s="34">
        <f>[21]С2.2!E13</f>
        <v>1</v>
      </c>
    </row>
    <row r="57" spans="1:3" ht="27.75">
      <c r="A57" s="22" t="s">
        <v>61</v>
      </c>
      <c r="B57" s="56" t="s">
        <v>62</v>
      </c>
      <c r="C57" s="34">
        <f>[21]С2.2!E14</f>
        <v>12104</v>
      </c>
    </row>
    <row r="58" spans="1:3" ht="25.5">
      <c r="A58" s="22" t="s">
        <v>63</v>
      </c>
      <c r="B58" s="57" t="s">
        <v>64</v>
      </c>
      <c r="C58" s="35">
        <f>[21]С2.2!E15</f>
        <v>4.8000000000000001E-2</v>
      </c>
    </row>
    <row r="59" spans="1:3">
      <c r="A59" s="22" t="s">
        <v>65</v>
      </c>
      <c r="B59" s="57" t="s">
        <v>66</v>
      </c>
      <c r="C59" s="124">
        <f>[21]С2.2!E16</f>
        <v>1</v>
      </c>
    </row>
    <row r="60" spans="1:3" ht="15.75">
      <c r="A60" s="22" t="s">
        <v>67</v>
      </c>
      <c r="B60" s="58" t="s">
        <v>68</v>
      </c>
      <c r="C60" s="34">
        <f>[21]С2!F21</f>
        <v>1</v>
      </c>
    </row>
    <row r="61" spans="1:3" ht="30">
      <c r="A61" s="59" t="s">
        <v>69</v>
      </c>
      <c r="B61" s="33" t="s">
        <v>243</v>
      </c>
      <c r="C61" s="34">
        <f>[21]С2!F13</f>
        <v>105136.23090983224</v>
      </c>
    </row>
    <row r="62" spans="1:3" ht="30">
      <c r="A62" s="59" t="s">
        <v>71</v>
      </c>
      <c r="B62" s="60" t="s">
        <v>244</v>
      </c>
      <c r="C62" s="34">
        <f>[21]С2!F14</f>
        <v>64899</v>
      </c>
    </row>
    <row r="63" spans="1:3" ht="15.75">
      <c r="A63" s="59" t="s">
        <v>73</v>
      </c>
      <c r="B63" s="60" t="s">
        <v>74</v>
      </c>
      <c r="C63" s="40">
        <f>[21]С2!F15</f>
        <v>1.071</v>
      </c>
    </row>
    <row r="64" spans="1:3" ht="15.75">
      <c r="A64" s="59" t="s">
        <v>75</v>
      </c>
      <c r="B64" s="60" t="s">
        <v>76</v>
      </c>
      <c r="C64" s="125">
        <f>[21]С2!F16</f>
        <v>1</v>
      </c>
    </row>
    <row r="65" spans="1:3" ht="17.25">
      <c r="A65" s="59" t="s">
        <v>77</v>
      </c>
      <c r="B65" s="60" t="s">
        <v>78</v>
      </c>
      <c r="C65" s="126">
        <f>[21]С2!F17</f>
        <v>1.01</v>
      </c>
    </row>
    <row r="66" spans="1:3" s="63" customFormat="1" ht="14.25">
      <c r="A66" s="59" t="s">
        <v>79</v>
      </c>
      <c r="B66" s="61" t="s">
        <v>80</v>
      </c>
      <c r="C66" s="62">
        <f>[21]С2!F35</f>
        <v>10</v>
      </c>
    </row>
    <row r="67" spans="1:3" ht="30">
      <c r="A67" s="59" t="s">
        <v>81</v>
      </c>
      <c r="B67" s="64" t="s">
        <v>82</v>
      </c>
      <c r="C67" s="34">
        <f>[21]С2!F28</f>
        <v>141.64867100230373</v>
      </c>
    </row>
    <row r="68" spans="1:3" ht="17.25">
      <c r="A68" s="59" t="s">
        <v>83</v>
      </c>
      <c r="B68" s="53" t="s">
        <v>245</v>
      </c>
      <c r="C68" s="40">
        <f>[21]С2!F29</f>
        <v>0.18916419899999998</v>
      </c>
    </row>
    <row r="69" spans="1:3" ht="17.25">
      <c r="A69" s="59" t="s">
        <v>85</v>
      </c>
      <c r="B69" s="58" t="s">
        <v>246</v>
      </c>
      <c r="C69" s="62">
        <f>[21]С2!F30</f>
        <v>500</v>
      </c>
    </row>
    <row r="70" spans="1:3" ht="42.75">
      <c r="A70" s="59" t="s">
        <v>87</v>
      </c>
      <c r="B70" s="33" t="s">
        <v>247</v>
      </c>
      <c r="C70" s="34">
        <f>[21]С2!F22</f>
        <v>39638.324046481182</v>
      </c>
    </row>
    <row r="71" spans="1:3" ht="30">
      <c r="A71" s="59" t="s">
        <v>89</v>
      </c>
      <c r="B71" s="60" t="s">
        <v>248</v>
      </c>
      <c r="C71" s="34">
        <f>[21]С2!F23</f>
        <v>21</v>
      </c>
    </row>
    <row r="72" spans="1:3" ht="30">
      <c r="A72" s="59" t="s">
        <v>91</v>
      </c>
      <c r="B72" s="53" t="s">
        <v>92</v>
      </c>
      <c r="C72" s="34">
        <f>[21]С2.1!E28</f>
        <v>14036.09995</v>
      </c>
    </row>
    <row r="73" spans="1:3" ht="38.25">
      <c r="A73" s="59" t="s">
        <v>93</v>
      </c>
      <c r="B73" s="65" t="s">
        <v>94</v>
      </c>
      <c r="C73" s="52">
        <f>[21]С2.3!E21</f>
        <v>0</v>
      </c>
    </row>
    <row r="74" spans="1:3" ht="25.5">
      <c r="A74" s="59" t="s">
        <v>95</v>
      </c>
      <c r="B74" s="66" t="s">
        <v>96</v>
      </c>
      <c r="C74" s="67">
        <f>[21]С2.3!E11</f>
        <v>5.45</v>
      </c>
    </row>
    <row r="75" spans="1:3" ht="25.5">
      <c r="A75" s="59" t="s">
        <v>97</v>
      </c>
      <c r="B75" s="66" t="s">
        <v>98</v>
      </c>
      <c r="C75" s="62">
        <f>[21]С2.3!E13</f>
        <v>300</v>
      </c>
    </row>
    <row r="76" spans="1:3" ht="25.5">
      <c r="A76" s="59" t="s">
        <v>99</v>
      </c>
      <c r="B76" s="65" t="s">
        <v>100</v>
      </c>
      <c r="C76" s="68">
        <f>IF([21]С2.3!E22&gt;0,[21]С2.3!E22,[21]С2.3!E14)</f>
        <v>61211</v>
      </c>
    </row>
    <row r="77" spans="1:3" ht="38.25">
      <c r="A77" s="59" t="s">
        <v>101</v>
      </c>
      <c r="B77" s="65" t="s">
        <v>102</v>
      </c>
      <c r="C77" s="68">
        <f>IF([21]С2.3!E23&gt;0,[21]С2.3!E23,[21]С2.3!E15)</f>
        <v>45675</v>
      </c>
    </row>
    <row r="78" spans="1:3" ht="30">
      <c r="A78" s="59" t="s">
        <v>103</v>
      </c>
      <c r="B78" s="53" t="s">
        <v>104</v>
      </c>
      <c r="C78" s="34">
        <f>[21]С2.1!E29</f>
        <v>9518.3274000000001</v>
      </c>
    </row>
    <row r="79" spans="1:3" ht="38.25">
      <c r="A79" s="59" t="s">
        <v>105</v>
      </c>
      <c r="B79" s="65" t="s">
        <v>106</v>
      </c>
      <c r="C79" s="52">
        <f>[21]С2.3!E25</f>
        <v>0</v>
      </c>
    </row>
    <row r="80" spans="1:3" ht="25.5">
      <c r="A80" s="59" t="s">
        <v>107</v>
      </c>
      <c r="B80" s="66" t="s">
        <v>108</v>
      </c>
      <c r="C80" s="67">
        <f>[21]С2.3!E12</f>
        <v>0.2</v>
      </c>
    </row>
    <row r="81" spans="1:3" ht="25.5">
      <c r="A81" s="59" t="s">
        <v>109</v>
      </c>
      <c r="B81" s="66" t="s">
        <v>98</v>
      </c>
      <c r="C81" s="62">
        <f>[21]С2.3!E13</f>
        <v>300</v>
      </c>
    </row>
    <row r="82" spans="1:3" ht="25.5">
      <c r="A82" s="59" t="s">
        <v>110</v>
      </c>
      <c r="B82" s="69" t="s">
        <v>111</v>
      </c>
      <c r="C82" s="68">
        <f>IF([21]С2.3!E26&gt;0,[21]С2.3!E26,[21]С2.3!E16)</f>
        <v>65637</v>
      </c>
    </row>
    <row r="83" spans="1:3" ht="38.25">
      <c r="A83" s="59" t="s">
        <v>112</v>
      </c>
      <c r="B83" s="69" t="s">
        <v>113</v>
      </c>
      <c r="C83" s="68">
        <f>IF([21]С2.3!E27&gt;0,[21]С2.3!E27,[21]С2.3!E17)</f>
        <v>31684</v>
      </c>
    </row>
    <row r="84" spans="1:3" ht="30">
      <c r="A84" s="59" t="s">
        <v>249</v>
      </c>
      <c r="B84" s="60" t="s">
        <v>250</v>
      </c>
      <c r="C84" s="68">
        <f>IF([21]С2.1!E19&gt;0,[21]С2.1!E19,[21]С2!F26)</f>
        <v>2892</v>
      </c>
    </row>
    <row r="85" spans="1:3" ht="17.25">
      <c r="A85" s="59" t="s">
        <v>114</v>
      </c>
      <c r="B85" s="33" t="s">
        <v>115</v>
      </c>
      <c r="C85" s="35">
        <f>[21]С2!F31</f>
        <v>9.5962865259740182E-2</v>
      </c>
    </row>
    <row r="86" spans="1:3" ht="30">
      <c r="A86" s="59" t="s">
        <v>116</v>
      </c>
      <c r="B86" s="53" t="s">
        <v>117</v>
      </c>
      <c r="C86" s="70">
        <f>[21]С2!F32</f>
        <v>8.4029304029304031E-2</v>
      </c>
    </row>
    <row r="87" spans="1:3" ht="17.25">
      <c r="A87" s="59" t="s">
        <v>118</v>
      </c>
      <c r="B87" s="71" t="s">
        <v>119</v>
      </c>
      <c r="C87" s="35">
        <f>[21]С2!F33</f>
        <v>0.13880000000000001</v>
      </c>
    </row>
    <row r="88" spans="1:3" s="63" customFormat="1" ht="18" thickBot="1">
      <c r="A88" s="72" t="s">
        <v>120</v>
      </c>
      <c r="B88" s="73" t="s">
        <v>121</v>
      </c>
      <c r="C88" s="74">
        <f>[21]С2!F34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[21]С3!F14</f>
        <v>4199.9055432306041</v>
      </c>
    </row>
    <row r="92" spans="1:3" s="63" customFormat="1" ht="42.75">
      <c r="A92" s="77" t="s">
        <v>126</v>
      </c>
      <c r="B92" s="53" t="s">
        <v>127</v>
      </c>
      <c r="C92" s="78">
        <f>[21]С3!F15</f>
        <v>0.2</v>
      </c>
    </row>
    <row r="93" spans="1:3" s="63" customFormat="1" ht="14.25">
      <c r="A93" s="77" t="s">
        <v>128</v>
      </c>
      <c r="B93" s="79" t="s">
        <v>129</v>
      </c>
      <c r="C93" s="62">
        <f>[21]С3!F18</f>
        <v>15</v>
      </c>
    </row>
    <row r="94" spans="1:3" s="63" customFormat="1" ht="17.25">
      <c r="A94" s="77" t="s">
        <v>130</v>
      </c>
      <c r="B94" s="33" t="s">
        <v>131</v>
      </c>
      <c r="C94" s="34">
        <f>[21]С3!F19</f>
        <v>2638.2577020926874</v>
      </c>
    </row>
    <row r="95" spans="1:3" s="63" customFormat="1" ht="55.5">
      <c r="A95" s="77" t="s">
        <v>132</v>
      </c>
      <c r="B95" s="53" t="s">
        <v>133</v>
      </c>
      <c r="C95" s="80">
        <f>[21]С3!F20</f>
        <v>2.1999999999999999E-2</v>
      </c>
    </row>
    <row r="96" spans="1:3" s="63" customFormat="1" ht="14.25">
      <c r="A96" s="77" t="s">
        <v>134</v>
      </c>
      <c r="B96" s="58" t="s">
        <v>80</v>
      </c>
      <c r="C96" s="62">
        <f>[21]С3!F21</f>
        <v>10</v>
      </c>
    </row>
    <row r="97" spans="1:3" s="63" customFormat="1" ht="17.25">
      <c r="A97" s="77" t="s">
        <v>135</v>
      </c>
      <c r="B97" s="33" t="s">
        <v>136</v>
      </c>
      <c r="C97" s="34">
        <f>[21]С3!F22</f>
        <v>0.42494601300691121</v>
      </c>
    </row>
    <row r="98" spans="1:3" s="63" customFormat="1" ht="55.5">
      <c r="A98" s="77" t="s">
        <v>137</v>
      </c>
      <c r="B98" s="53" t="s">
        <v>138</v>
      </c>
      <c r="C98" s="80">
        <f>[21]С3!F23</f>
        <v>3.0000000000000001E-3</v>
      </c>
    </row>
    <row r="99" spans="1:3" s="63" customFormat="1" ht="30.75" thickBot="1">
      <c r="A99" s="81" t="s">
        <v>139</v>
      </c>
      <c r="B99" s="82" t="s">
        <v>82</v>
      </c>
      <c r="C99" s="83">
        <f>[21]С3!F24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[21]С4!F16</f>
        <v>832.33500000000004</v>
      </c>
    </row>
    <row r="103" spans="1:3" ht="30">
      <c r="A103" s="59" t="s">
        <v>145</v>
      </c>
      <c r="B103" s="58" t="s">
        <v>252</v>
      </c>
      <c r="C103" s="34">
        <f>[21]С4!F17</f>
        <v>43385</v>
      </c>
    </row>
    <row r="104" spans="1:3" ht="17.25">
      <c r="A104" s="59" t="s">
        <v>147</v>
      </c>
      <c r="B104" s="58" t="s">
        <v>148</v>
      </c>
      <c r="C104" s="40">
        <f>[21]С4!F18</f>
        <v>1.4999999999999999E-2</v>
      </c>
    </row>
    <row r="105" spans="1:3" ht="30">
      <c r="A105" s="59" t="s">
        <v>149</v>
      </c>
      <c r="B105" s="58" t="s">
        <v>150</v>
      </c>
      <c r="C105" s="34">
        <f>[21]С4!F19</f>
        <v>12104</v>
      </c>
    </row>
    <row r="106" spans="1:3" ht="31.5">
      <c r="A106" s="59" t="s">
        <v>151</v>
      </c>
      <c r="B106" s="58" t="s">
        <v>152</v>
      </c>
      <c r="C106" s="40">
        <f>[21]С4!F20</f>
        <v>1.4999999999999999E-2</v>
      </c>
    </row>
    <row r="107" spans="1:3" ht="30">
      <c r="A107" s="59" t="s">
        <v>153</v>
      </c>
      <c r="B107" s="33" t="s">
        <v>253</v>
      </c>
      <c r="C107" s="34">
        <f>[21]С4!F21</f>
        <v>1221.9019409821399</v>
      </c>
    </row>
    <row r="108" spans="1:3" ht="45.6" customHeight="1">
      <c r="A108" s="59" t="s">
        <v>155</v>
      </c>
      <c r="B108" s="53" t="s">
        <v>156</v>
      </c>
      <c r="C108" s="85" t="str">
        <f>IF([21]С4.2!F8="да",[21]С4.2!D21,[21]С4.2!D15)</f>
        <v>АО "Новосибирскэнергосбыт"</v>
      </c>
    </row>
    <row r="109" spans="1:3" ht="68.25" customHeight="1">
      <c r="A109" s="59" t="s">
        <v>157</v>
      </c>
      <c r="B109" s="53" t="s">
        <v>158</v>
      </c>
      <c r="C109" s="34">
        <f>[21]С4!F22</f>
        <v>3.6112641666666665</v>
      </c>
    </row>
    <row r="110" spans="1:3" ht="30">
      <c r="A110" s="59" t="s">
        <v>159</v>
      </c>
      <c r="B110" s="58" t="s">
        <v>254</v>
      </c>
      <c r="C110" s="62">
        <f>[21]С4!F23</f>
        <v>110</v>
      </c>
    </row>
    <row r="111" spans="1:3" ht="14.25">
      <c r="A111" s="59" t="s">
        <v>161</v>
      </c>
      <c r="B111" s="53" t="s">
        <v>162</v>
      </c>
      <c r="C111" s="34">
        <f>[21]С4!F24</f>
        <v>8497.1999999999989</v>
      </c>
    </row>
    <row r="112" spans="1:3" ht="14.25">
      <c r="A112" s="59" t="s">
        <v>163</v>
      </c>
      <c r="B112" s="58" t="s">
        <v>164</v>
      </c>
      <c r="C112" s="40">
        <f>[21]С4!F25</f>
        <v>0.36199999999999999</v>
      </c>
    </row>
    <row r="113" spans="1:3" ht="17.25">
      <c r="A113" s="59" t="s">
        <v>165</v>
      </c>
      <c r="B113" s="33" t="s">
        <v>166</v>
      </c>
      <c r="C113" s="34">
        <f>[21]С4!F26</f>
        <v>44.520020000000002</v>
      </c>
    </row>
    <row r="114" spans="1:3" ht="25.5">
      <c r="A114" s="59" t="s">
        <v>167</v>
      </c>
      <c r="B114" s="53" t="s">
        <v>94</v>
      </c>
      <c r="C114" s="85">
        <f>[21]С4.3!E16</f>
        <v>0</v>
      </c>
    </row>
    <row r="115" spans="1:3" ht="25.5">
      <c r="A115" s="59" t="s">
        <v>168</v>
      </c>
      <c r="B115" s="53" t="s">
        <v>169</v>
      </c>
      <c r="C115" s="34">
        <f>[21]С4.3!E17</f>
        <v>22.68</v>
      </c>
    </row>
    <row r="116" spans="1:3" ht="38.25">
      <c r="A116" s="59" t="s">
        <v>170</v>
      </c>
      <c r="B116" s="53" t="s">
        <v>106</v>
      </c>
      <c r="C116" s="85">
        <f>[21]С4.3!E18</f>
        <v>0</v>
      </c>
    </row>
    <row r="117" spans="1:3">
      <c r="A117" s="59" t="s">
        <v>171</v>
      </c>
      <c r="B117" s="53" t="s">
        <v>172</v>
      </c>
      <c r="C117" s="34">
        <f>[21]С4.3!E19</f>
        <v>9.6199999999999992</v>
      </c>
    </row>
    <row r="118" spans="1:3">
      <c r="A118" s="59" t="s">
        <v>173</v>
      </c>
      <c r="B118" s="58" t="s">
        <v>174</v>
      </c>
      <c r="C118" s="62">
        <f>[21]С4.3!E11</f>
        <v>1871</v>
      </c>
    </row>
    <row r="119" spans="1:3">
      <c r="A119" s="59" t="s">
        <v>175</v>
      </c>
      <c r="B119" s="58" t="s">
        <v>176</v>
      </c>
      <c r="C119" s="52">
        <f>[21]С4.3!E12</f>
        <v>61</v>
      </c>
    </row>
    <row r="120" spans="1:3">
      <c r="A120" s="59" t="s">
        <v>177</v>
      </c>
      <c r="B120" s="58" t="s">
        <v>178</v>
      </c>
      <c r="C120" s="52">
        <f>[21]С4.3!E13</f>
        <v>73</v>
      </c>
    </row>
    <row r="121" spans="1:3" ht="30">
      <c r="A121" s="59" t="s">
        <v>179</v>
      </c>
      <c r="B121" s="33" t="s">
        <v>255</v>
      </c>
      <c r="C121" s="34">
        <f>[21]С4!F27</f>
        <v>1296.7467102743137</v>
      </c>
    </row>
    <row r="122" spans="1:3" ht="25.5">
      <c r="A122" s="59" t="s">
        <v>181</v>
      </c>
      <c r="B122" s="53" t="s">
        <v>256</v>
      </c>
      <c r="C122" s="34">
        <f>[21]С4!F28</f>
        <v>995.96521526444985</v>
      </c>
    </row>
    <row r="123" spans="1:3" ht="42.75">
      <c r="A123" s="59" t="s">
        <v>183</v>
      </c>
      <c r="B123" s="53" t="s">
        <v>184</v>
      </c>
      <c r="C123" s="34">
        <f>[21]С4!F29</f>
        <v>300.78149500986387</v>
      </c>
    </row>
    <row r="124" spans="1:3" ht="30.75" thickBot="1">
      <c r="A124" s="72" t="s">
        <v>185</v>
      </c>
      <c r="B124" s="90" t="s">
        <v>186</v>
      </c>
      <c r="C124" s="83">
        <f>[21]С4!F30</f>
        <v>504.69160136065659</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[21]С5!F17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IF([21]С6.1!E11="нет",[21]С6!F13,"")</f>
        <v/>
      </c>
    </row>
    <row r="131" spans="1:3" ht="42.75">
      <c r="A131" s="59" t="s">
        <v>204</v>
      </c>
      <c r="B131" s="86" t="s">
        <v>205</v>
      </c>
      <c r="C131" s="92" t="str">
        <f>IF([21]С6.1!E12="нет",[21]С6.1!E17,"")</f>
        <v/>
      </c>
    </row>
    <row r="132" spans="1:3" ht="68.25">
      <c r="A132" s="59" t="s">
        <v>206</v>
      </c>
      <c r="B132" s="91" t="s">
        <v>207</v>
      </c>
      <c r="C132" s="127" t="str">
        <f>IF([21]С6.1!E18="нет",[21]С6!F19,"")</f>
        <v/>
      </c>
    </row>
    <row r="133" spans="1:3" ht="55.5">
      <c r="A133" s="59" t="s">
        <v>208</v>
      </c>
      <c r="B133" s="86" t="s">
        <v>209</v>
      </c>
      <c r="C133" s="35" t="str">
        <f>IF([21]С6.1!E18="нет",[21]С6.1!E19,"")</f>
        <v/>
      </c>
    </row>
    <row r="134" spans="1:3" ht="61.5" customHeight="1">
      <c r="A134" s="59" t="s">
        <v>210</v>
      </c>
      <c r="B134" s="86" t="s">
        <v>257</v>
      </c>
      <c r="C134" s="35" t="str">
        <f>IF([21]С6.1!E18="нет",[21]С6.1!E22,"")</f>
        <v/>
      </c>
    </row>
    <row r="135" spans="1:3" ht="69" thickBot="1">
      <c r="A135" s="72" t="s">
        <v>212</v>
      </c>
      <c r="B135" s="98" t="s">
        <v>213</v>
      </c>
      <c r="C135" s="74" t="str">
        <f>IF([21]С6.1!E18="нет",[21]С6.1!E23,"")</f>
        <v/>
      </c>
    </row>
    <row r="136" spans="1:3" s="89" customFormat="1" ht="13.5" thickBot="1">
      <c r="A136" s="47"/>
      <c r="B136" s="75"/>
      <c r="C136" s="15"/>
    </row>
    <row r="137" spans="1:3" ht="15.75">
      <c r="A137" s="84" t="s">
        <v>214</v>
      </c>
      <c r="B137" s="99" t="s">
        <v>215</v>
      </c>
      <c r="C137" s="100">
        <f>[21]С2!F39</f>
        <v>21.531904799999996</v>
      </c>
    </row>
    <row r="138" spans="1:3" ht="14.25">
      <c r="A138" s="59" t="s">
        <v>216</v>
      </c>
      <c r="B138" s="58" t="s">
        <v>217</v>
      </c>
      <c r="C138" s="34">
        <f>[21]С2!F40</f>
        <v>7</v>
      </c>
    </row>
    <row r="139" spans="1:3" ht="17.25">
      <c r="A139" s="59" t="s">
        <v>218</v>
      </c>
      <c r="B139" s="58" t="s">
        <v>219</v>
      </c>
      <c r="C139" s="34">
        <f>[21]С2!F42</f>
        <v>0.97</v>
      </c>
    </row>
    <row r="140" spans="1:3" ht="15" thickBot="1">
      <c r="A140" s="72" t="s">
        <v>220</v>
      </c>
      <c r="B140" s="73" t="s">
        <v>221</v>
      </c>
      <c r="C140" s="46">
        <f>[21]С2!F44</f>
        <v>0.36199999999999999</v>
      </c>
    </row>
    <row r="141" spans="1:3" s="89" customFormat="1" ht="13.5" thickBot="1">
      <c r="A141" s="47"/>
      <c r="B141" s="75"/>
      <c r="C141" s="15"/>
    </row>
    <row r="142" spans="1:3" ht="17.25">
      <c r="A142" s="84" t="s">
        <v>222</v>
      </c>
      <c r="B142" s="103" t="s">
        <v>258</v>
      </c>
      <c r="C142" s="128">
        <f>[21]С2!F37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[21]С2.5!$E$11</f>
        <v>-2.9000000000000026E-2</v>
      </c>
    </row>
    <row r="146" spans="1:3">
      <c r="B146" s="131">
        <f>B145+1</f>
        <v>2021</v>
      </c>
      <c r="C146" s="133">
        <f>[21]С2.5!$F$11</f>
        <v>0.245</v>
      </c>
    </row>
    <row r="147" spans="1:3">
      <c r="B147" s="131">
        <f t="shared" ref="B147:B210" si="0">B146+1</f>
        <v>2022</v>
      </c>
      <c r="C147" s="134">
        <f>[21]С2.5!$G$11</f>
        <v>0.114</v>
      </c>
    </row>
    <row r="148" spans="1:3">
      <c r="B148" s="110">
        <f t="shared" si="0"/>
        <v>2023</v>
      </c>
      <c r="C148" s="135">
        <f>[21]С2.5!$H$11</f>
        <v>2.4E-2</v>
      </c>
    </row>
    <row r="149" spans="1:3" ht="13.5" thickBot="1">
      <c r="B149" s="110">
        <f t="shared" si="0"/>
        <v>2024</v>
      </c>
      <c r="C149" s="135">
        <f>[21]С2.5!$I$11</f>
        <v>8.5999999999999993E-2</v>
      </c>
    </row>
    <row r="150" spans="1:3" ht="13.5" hidden="1" thickBot="1">
      <c r="B150" s="110">
        <f t="shared" si="0"/>
        <v>2025</v>
      </c>
      <c r="C150" s="135">
        <f>[21]С2.5!$J$11</f>
        <v>0</v>
      </c>
    </row>
    <row r="151" spans="1:3" ht="13.5" hidden="1" thickBot="1">
      <c r="B151" s="110">
        <f t="shared" si="0"/>
        <v>2026</v>
      </c>
      <c r="C151" s="135">
        <f>[21]С2.5!$K$11</f>
        <v>0</v>
      </c>
    </row>
    <row r="152" spans="1:3" ht="13.5" hidden="1" thickBot="1">
      <c r="B152" s="110">
        <f t="shared" si="0"/>
        <v>2027</v>
      </c>
      <c r="C152" s="135">
        <f>[21]С2.5!$L$11</f>
        <v>0</v>
      </c>
    </row>
    <row r="153" spans="1:3" ht="13.5" hidden="1" thickBot="1">
      <c r="B153" s="110">
        <f t="shared" si="0"/>
        <v>2028</v>
      </c>
      <c r="C153" s="135">
        <f>[21]С2.5!$M$11</f>
        <v>0</v>
      </c>
    </row>
    <row r="154" spans="1:3" ht="13.5" hidden="1" thickBot="1">
      <c r="B154" s="110">
        <f t="shared" si="0"/>
        <v>2029</v>
      </c>
      <c r="C154" s="135">
        <f>[21]С2.5!$N$11</f>
        <v>0</v>
      </c>
    </row>
    <row r="155" spans="1:3" ht="13.5" hidden="1" thickBot="1">
      <c r="B155" s="110">
        <f t="shared" si="0"/>
        <v>2030</v>
      </c>
      <c r="C155" s="135">
        <f>[21]С2.5!$O$11</f>
        <v>0</v>
      </c>
    </row>
    <row r="156" spans="1:3" ht="13.5" hidden="1" thickBot="1">
      <c r="B156" s="110">
        <f t="shared" si="0"/>
        <v>2031</v>
      </c>
      <c r="C156" s="135">
        <f>[21]С2.5!$P$11</f>
        <v>0</v>
      </c>
    </row>
    <row r="157" spans="1:3" ht="13.5" hidden="1" thickBot="1">
      <c r="B157" s="110">
        <f t="shared" si="0"/>
        <v>2032</v>
      </c>
      <c r="C157" s="135">
        <f>[21]С2.5!$Q$11</f>
        <v>0</v>
      </c>
    </row>
    <row r="158" spans="1:3" ht="13.5" hidden="1" thickBot="1">
      <c r="B158" s="110">
        <f t="shared" si="0"/>
        <v>2033</v>
      </c>
      <c r="C158" s="135">
        <f>[21]С2.5!$R$11</f>
        <v>0</v>
      </c>
    </row>
    <row r="159" spans="1:3" ht="13.5" hidden="1" thickBot="1">
      <c r="B159" s="110">
        <f t="shared" si="0"/>
        <v>2034</v>
      </c>
      <c r="C159" s="135">
        <f>[21]С2.5!$S$11</f>
        <v>0</v>
      </c>
    </row>
    <row r="160" spans="1:3" ht="13.5" hidden="1" thickBot="1">
      <c r="B160" s="110">
        <f t="shared" si="0"/>
        <v>2035</v>
      </c>
      <c r="C160" s="135">
        <f>[21]С2.5!$T$11</f>
        <v>0</v>
      </c>
    </row>
    <row r="161" spans="2:3" ht="13.5" hidden="1" thickBot="1">
      <c r="B161" s="110">
        <f t="shared" si="0"/>
        <v>2036</v>
      </c>
      <c r="C161" s="135">
        <f>[21]С2.5!$U$11</f>
        <v>0</v>
      </c>
    </row>
    <row r="162" spans="2:3" ht="13.5" hidden="1" thickBot="1">
      <c r="B162" s="110">
        <f t="shared" si="0"/>
        <v>2037</v>
      </c>
      <c r="C162" s="135">
        <f>[21]С2.5!$V$11</f>
        <v>0</v>
      </c>
    </row>
    <row r="163" spans="2:3" ht="13.5" hidden="1" thickBot="1">
      <c r="B163" s="110">
        <f t="shared" si="0"/>
        <v>2038</v>
      </c>
      <c r="C163" s="135">
        <f>[21]С2.5!$W$11</f>
        <v>0</v>
      </c>
    </row>
    <row r="164" spans="2:3" ht="13.5" hidden="1" thickBot="1">
      <c r="B164" s="110">
        <f t="shared" si="0"/>
        <v>2039</v>
      </c>
      <c r="C164" s="135">
        <f>[21]С2.5!$X$11</f>
        <v>0</v>
      </c>
    </row>
    <row r="165" spans="2:3" ht="13.5" hidden="1" thickBot="1">
      <c r="B165" s="110">
        <f t="shared" si="0"/>
        <v>2040</v>
      </c>
      <c r="C165" s="135">
        <f>[21]С2.5!$Y$11</f>
        <v>0</v>
      </c>
    </row>
    <row r="166" spans="2:3" ht="13.5" hidden="1" thickBot="1">
      <c r="B166" s="110">
        <f t="shared" si="0"/>
        <v>2041</v>
      </c>
      <c r="C166" s="135">
        <f>[21]С2.5!$Z$11</f>
        <v>0</v>
      </c>
    </row>
    <row r="167" spans="2:3" ht="13.5" hidden="1" thickBot="1">
      <c r="B167" s="110">
        <f t="shared" si="0"/>
        <v>2042</v>
      </c>
      <c r="C167" s="135">
        <f>[21]С2.5!$AA$11</f>
        <v>0</v>
      </c>
    </row>
    <row r="168" spans="2:3" ht="13.5" hidden="1" thickBot="1">
      <c r="B168" s="110">
        <f t="shared" si="0"/>
        <v>2043</v>
      </c>
      <c r="C168" s="135">
        <f>[21]С2.5!$AB$11</f>
        <v>0</v>
      </c>
    </row>
    <row r="169" spans="2:3" ht="13.5" hidden="1" thickBot="1">
      <c r="B169" s="110">
        <f t="shared" si="0"/>
        <v>2044</v>
      </c>
      <c r="C169" s="135">
        <f>[21]С2.5!$AC$11</f>
        <v>0</v>
      </c>
    </row>
    <row r="170" spans="2:3" ht="13.5" hidden="1" thickBot="1">
      <c r="B170" s="110">
        <f t="shared" si="0"/>
        <v>2045</v>
      </c>
      <c r="C170" s="135">
        <f>[21]С2.5!$AD$11</f>
        <v>0</v>
      </c>
    </row>
    <row r="171" spans="2:3" ht="13.5" hidden="1" thickBot="1">
      <c r="B171" s="110">
        <f t="shared" si="0"/>
        <v>2046</v>
      </c>
      <c r="C171" s="135">
        <f>[21]С2.5!$AE$11</f>
        <v>0</v>
      </c>
    </row>
    <row r="172" spans="2:3" ht="13.5" hidden="1" thickBot="1">
      <c r="B172" s="110">
        <f t="shared" si="0"/>
        <v>2047</v>
      </c>
      <c r="C172" s="135">
        <f>[21]С2.5!$AF$11</f>
        <v>0</v>
      </c>
    </row>
    <row r="173" spans="2:3" ht="13.5" hidden="1" thickBot="1">
      <c r="B173" s="110">
        <f t="shared" si="0"/>
        <v>2048</v>
      </c>
      <c r="C173" s="135">
        <f>[21]С2.5!$AG$11</f>
        <v>0</v>
      </c>
    </row>
    <row r="174" spans="2:3" ht="13.5" hidden="1" thickBot="1">
      <c r="B174" s="110">
        <f t="shared" si="0"/>
        <v>2049</v>
      </c>
      <c r="C174" s="135">
        <f>[21]С2.5!$AH$11</f>
        <v>0</v>
      </c>
    </row>
    <row r="175" spans="2:3" ht="13.5" hidden="1" thickBot="1">
      <c r="B175" s="110">
        <f t="shared" si="0"/>
        <v>2050</v>
      </c>
      <c r="C175" s="135">
        <f>[21]С2.5!$AI$11</f>
        <v>0</v>
      </c>
    </row>
    <row r="176" spans="2:3" ht="13.5" hidden="1" thickBot="1">
      <c r="B176" s="110">
        <f t="shared" si="0"/>
        <v>2051</v>
      </c>
      <c r="C176" s="135">
        <f>[21]С2.5!$AJ$11</f>
        <v>0</v>
      </c>
    </row>
    <row r="177" spans="2:3" ht="13.5" hidden="1" thickBot="1">
      <c r="B177" s="110">
        <f t="shared" si="0"/>
        <v>2052</v>
      </c>
      <c r="C177" s="135">
        <f>[21]С2.5!$AK$11</f>
        <v>0</v>
      </c>
    </row>
    <row r="178" spans="2:3" ht="13.5" hidden="1" thickBot="1">
      <c r="B178" s="110">
        <f t="shared" si="0"/>
        <v>2053</v>
      </c>
      <c r="C178" s="135">
        <f>[21]С2.5!$AL$11</f>
        <v>0</v>
      </c>
    </row>
    <row r="179" spans="2:3" ht="13.5" hidden="1" thickBot="1">
      <c r="B179" s="110">
        <f t="shared" si="0"/>
        <v>2054</v>
      </c>
      <c r="C179" s="135">
        <f>[21]С2.5!$AM$11</f>
        <v>0</v>
      </c>
    </row>
    <row r="180" spans="2:3" ht="13.5" hidden="1" thickBot="1">
      <c r="B180" s="110">
        <f t="shared" si="0"/>
        <v>2055</v>
      </c>
      <c r="C180" s="135">
        <f>[21]С2.5!$AN$11</f>
        <v>0</v>
      </c>
    </row>
    <row r="181" spans="2:3" ht="13.5" hidden="1" thickBot="1">
      <c r="B181" s="110">
        <f t="shared" si="0"/>
        <v>2056</v>
      </c>
      <c r="C181" s="135">
        <f>[21]С2.5!$AO$11</f>
        <v>0</v>
      </c>
    </row>
    <row r="182" spans="2:3" ht="13.5" hidden="1" thickBot="1">
      <c r="B182" s="110">
        <f t="shared" si="0"/>
        <v>2057</v>
      </c>
      <c r="C182" s="135">
        <f>[21]С2.5!$AP$11</f>
        <v>0</v>
      </c>
    </row>
    <row r="183" spans="2:3" ht="13.5" hidden="1" thickBot="1">
      <c r="B183" s="110">
        <f t="shared" si="0"/>
        <v>2058</v>
      </c>
      <c r="C183" s="135">
        <f>[21]С2.5!$AQ$11</f>
        <v>0</v>
      </c>
    </row>
    <row r="184" spans="2:3" ht="13.5" hidden="1" thickBot="1">
      <c r="B184" s="110">
        <f t="shared" si="0"/>
        <v>2059</v>
      </c>
      <c r="C184" s="135">
        <f>[21]С2.5!$AR$11</f>
        <v>0</v>
      </c>
    </row>
    <row r="185" spans="2:3" ht="13.5" hidden="1" thickBot="1">
      <c r="B185" s="110">
        <f t="shared" si="0"/>
        <v>2060</v>
      </c>
      <c r="C185" s="135">
        <f>[21]С2.5!$AS$11</f>
        <v>0</v>
      </c>
    </row>
    <row r="186" spans="2:3" ht="13.5" hidden="1" thickBot="1">
      <c r="B186" s="110">
        <f t="shared" si="0"/>
        <v>2061</v>
      </c>
      <c r="C186" s="135">
        <f>[21]С2.5!$AT$11</f>
        <v>0</v>
      </c>
    </row>
    <row r="187" spans="2:3" ht="13.5" hidden="1" thickBot="1">
      <c r="B187" s="110">
        <f t="shared" si="0"/>
        <v>2062</v>
      </c>
      <c r="C187" s="135">
        <f>[21]С2.5!$AU$11</f>
        <v>0</v>
      </c>
    </row>
    <row r="188" spans="2:3" ht="13.5" hidden="1" thickBot="1">
      <c r="B188" s="110">
        <f t="shared" si="0"/>
        <v>2063</v>
      </c>
      <c r="C188" s="135">
        <f>[21]С2.5!$AV$11</f>
        <v>0</v>
      </c>
    </row>
    <row r="189" spans="2:3" ht="13.5" hidden="1" thickBot="1">
      <c r="B189" s="110">
        <f t="shared" si="0"/>
        <v>2064</v>
      </c>
      <c r="C189" s="135">
        <f>[21]С2.5!$AW$11</f>
        <v>0</v>
      </c>
    </row>
    <row r="190" spans="2:3" ht="13.5" hidden="1" thickBot="1">
      <c r="B190" s="110">
        <f t="shared" si="0"/>
        <v>2065</v>
      </c>
      <c r="C190" s="135">
        <f>[21]С2.5!$AX$11</f>
        <v>0</v>
      </c>
    </row>
    <row r="191" spans="2:3" ht="13.5" hidden="1" thickBot="1">
      <c r="B191" s="110">
        <f t="shared" si="0"/>
        <v>2066</v>
      </c>
      <c r="C191" s="135">
        <f>[21]С2.5!$AY$11</f>
        <v>0</v>
      </c>
    </row>
    <row r="192" spans="2:3" ht="13.5" hidden="1" thickBot="1">
      <c r="B192" s="110">
        <f t="shared" si="0"/>
        <v>2067</v>
      </c>
      <c r="C192" s="135">
        <f>[21]С2.5!$AZ$11</f>
        <v>0</v>
      </c>
    </row>
    <row r="193" spans="2:3" ht="13.5" hidden="1" thickBot="1">
      <c r="B193" s="110">
        <f t="shared" si="0"/>
        <v>2068</v>
      </c>
      <c r="C193" s="135">
        <f>[21]С2.5!$BA$11</f>
        <v>0</v>
      </c>
    </row>
    <row r="194" spans="2:3" ht="13.5" hidden="1" thickBot="1">
      <c r="B194" s="110">
        <f t="shared" si="0"/>
        <v>2069</v>
      </c>
      <c r="C194" s="135">
        <f>[21]С2.5!$BB$11</f>
        <v>0</v>
      </c>
    </row>
    <row r="195" spans="2:3" ht="13.5" hidden="1" thickBot="1">
      <c r="B195" s="110">
        <f t="shared" si="0"/>
        <v>2070</v>
      </c>
      <c r="C195" s="135">
        <f>[21]С2.5!$BC$11</f>
        <v>0</v>
      </c>
    </row>
    <row r="196" spans="2:3" ht="13.5" hidden="1" thickBot="1">
      <c r="B196" s="110">
        <f t="shared" si="0"/>
        <v>2071</v>
      </c>
      <c r="C196" s="135">
        <f>[21]С2.5!$BD$11</f>
        <v>0</v>
      </c>
    </row>
    <row r="197" spans="2:3" ht="13.5" hidden="1" thickBot="1">
      <c r="B197" s="110">
        <f t="shared" si="0"/>
        <v>2072</v>
      </c>
      <c r="C197" s="135">
        <f>[21]С2.5!$BE$11</f>
        <v>0</v>
      </c>
    </row>
    <row r="198" spans="2:3" ht="13.5" hidden="1" thickBot="1">
      <c r="B198" s="110">
        <f t="shared" si="0"/>
        <v>2073</v>
      </c>
      <c r="C198" s="135">
        <f>[21]С2.5!$BF$11</f>
        <v>0</v>
      </c>
    </row>
    <row r="199" spans="2:3" ht="13.5" hidden="1" thickBot="1">
      <c r="B199" s="110">
        <f t="shared" si="0"/>
        <v>2074</v>
      </c>
      <c r="C199" s="135">
        <f>[21]С2.5!$BG$11</f>
        <v>0</v>
      </c>
    </row>
    <row r="200" spans="2:3" ht="13.5" hidden="1" thickBot="1">
      <c r="B200" s="110">
        <f t="shared" si="0"/>
        <v>2075</v>
      </c>
      <c r="C200" s="135">
        <f>[21]С2.5!$BH$11</f>
        <v>0</v>
      </c>
    </row>
    <row r="201" spans="2:3" ht="13.5" hidden="1" thickBot="1">
      <c r="B201" s="110">
        <f t="shared" si="0"/>
        <v>2076</v>
      </c>
      <c r="C201" s="135">
        <f>[21]С2.5!$BI$11</f>
        <v>0</v>
      </c>
    </row>
    <row r="202" spans="2:3" ht="13.5" hidden="1" thickBot="1">
      <c r="B202" s="110">
        <f t="shared" si="0"/>
        <v>2077</v>
      </c>
      <c r="C202" s="135">
        <f>[21]С2.5!$BJ$11</f>
        <v>0</v>
      </c>
    </row>
    <row r="203" spans="2:3" ht="13.5" hidden="1" thickBot="1">
      <c r="B203" s="110">
        <f t="shared" si="0"/>
        <v>2078</v>
      </c>
      <c r="C203" s="135">
        <f>[21]С2.5!$BK$11</f>
        <v>0</v>
      </c>
    </row>
    <row r="204" spans="2:3" ht="13.5" hidden="1" thickBot="1">
      <c r="B204" s="110">
        <f t="shared" si="0"/>
        <v>2079</v>
      </c>
      <c r="C204" s="135">
        <f>[21]С2.5!$BL$11</f>
        <v>0</v>
      </c>
    </row>
    <row r="205" spans="2:3" ht="13.5" hidden="1" thickBot="1">
      <c r="B205" s="110">
        <f t="shared" si="0"/>
        <v>2080</v>
      </c>
      <c r="C205" s="135">
        <f>[21]С2.5!$BM$11</f>
        <v>0</v>
      </c>
    </row>
    <row r="206" spans="2:3" ht="13.5" hidden="1" thickBot="1">
      <c r="B206" s="110">
        <f t="shared" si="0"/>
        <v>2081</v>
      </c>
      <c r="C206" s="135">
        <f>[21]С2.5!$BN$11</f>
        <v>0</v>
      </c>
    </row>
    <row r="207" spans="2:3" ht="13.5" hidden="1" thickBot="1">
      <c r="B207" s="110">
        <f t="shared" si="0"/>
        <v>2082</v>
      </c>
      <c r="C207" s="135">
        <f>[21]С2.5!$BO$11</f>
        <v>0</v>
      </c>
    </row>
    <row r="208" spans="2:3" ht="13.5" hidden="1" thickBot="1">
      <c r="B208" s="110">
        <f t="shared" si="0"/>
        <v>2083</v>
      </c>
      <c r="C208" s="135">
        <f>[21]С2.5!$BP$11</f>
        <v>0</v>
      </c>
    </row>
    <row r="209" spans="2:3" ht="13.5" hidden="1" thickBot="1">
      <c r="B209" s="110">
        <f t="shared" si="0"/>
        <v>2084</v>
      </c>
      <c r="C209" s="135">
        <f>[21]С2.5!$BQ$11</f>
        <v>0</v>
      </c>
    </row>
    <row r="210" spans="2:3" ht="13.5" hidden="1" thickBot="1">
      <c r="B210" s="110">
        <f t="shared" si="0"/>
        <v>2085</v>
      </c>
      <c r="C210" s="135">
        <f>[21]С2.5!$BR$11</f>
        <v>0</v>
      </c>
    </row>
    <row r="211" spans="2:3" ht="13.5" hidden="1" thickBot="1">
      <c r="B211" s="110">
        <f t="shared" ref="B211:B224" si="1">B210+1</f>
        <v>2086</v>
      </c>
      <c r="C211" s="135">
        <f>[21]С2.5!$BS$11</f>
        <v>0</v>
      </c>
    </row>
    <row r="212" spans="2:3" ht="13.5" hidden="1" thickBot="1">
      <c r="B212" s="110">
        <f t="shared" si="1"/>
        <v>2087</v>
      </c>
      <c r="C212" s="135">
        <f>[21]С2.5!$BT$11</f>
        <v>0</v>
      </c>
    </row>
    <row r="213" spans="2:3" ht="13.5" hidden="1" thickBot="1">
      <c r="B213" s="110">
        <f t="shared" si="1"/>
        <v>2088</v>
      </c>
      <c r="C213" s="135">
        <f>[21]С2.5!$BU$11</f>
        <v>0</v>
      </c>
    </row>
    <row r="214" spans="2:3" ht="13.5" hidden="1" thickBot="1">
      <c r="B214" s="110">
        <f t="shared" si="1"/>
        <v>2089</v>
      </c>
      <c r="C214" s="135">
        <f>[21]С2.5!$BV$11</f>
        <v>0</v>
      </c>
    </row>
    <row r="215" spans="2:3" ht="13.5" hidden="1" thickBot="1">
      <c r="B215" s="110">
        <f t="shared" si="1"/>
        <v>2090</v>
      </c>
      <c r="C215" s="135">
        <f>[21]С2.5!$BW$11</f>
        <v>0</v>
      </c>
    </row>
    <row r="216" spans="2:3" ht="13.5" hidden="1" thickBot="1">
      <c r="B216" s="110">
        <f t="shared" si="1"/>
        <v>2091</v>
      </c>
      <c r="C216" s="135">
        <f>[21]С2.5!$BX$11</f>
        <v>0</v>
      </c>
    </row>
    <row r="217" spans="2:3" ht="13.5" hidden="1" thickBot="1">
      <c r="B217" s="110">
        <f t="shared" si="1"/>
        <v>2092</v>
      </c>
      <c r="C217" s="135">
        <f>[21]С2.5!$BY$11</f>
        <v>0</v>
      </c>
    </row>
    <row r="218" spans="2:3" ht="13.5" hidden="1" thickBot="1">
      <c r="B218" s="110">
        <f t="shared" si="1"/>
        <v>2093</v>
      </c>
      <c r="C218" s="135">
        <f>[21]С2.5!$BZ$11</f>
        <v>0</v>
      </c>
    </row>
    <row r="219" spans="2:3" ht="13.5" hidden="1" thickBot="1">
      <c r="B219" s="110">
        <f t="shared" si="1"/>
        <v>2094</v>
      </c>
      <c r="C219" s="135">
        <f>[21]С2.5!$CA$11</f>
        <v>0</v>
      </c>
    </row>
    <row r="220" spans="2:3" ht="13.5" hidden="1" thickBot="1">
      <c r="B220" s="110">
        <f t="shared" si="1"/>
        <v>2095</v>
      </c>
      <c r="C220" s="135">
        <f>[21]С2.5!$CB$11</f>
        <v>0</v>
      </c>
    </row>
    <row r="221" spans="2:3" ht="13.5" hidden="1" thickBot="1">
      <c r="B221" s="110">
        <f t="shared" si="1"/>
        <v>2096</v>
      </c>
      <c r="C221" s="135">
        <f>[21]С2.5!$CC$11</f>
        <v>0</v>
      </c>
    </row>
    <row r="222" spans="2:3" ht="13.5" hidden="1" thickBot="1">
      <c r="B222" s="110">
        <f t="shared" si="1"/>
        <v>2097</v>
      </c>
      <c r="C222" s="135">
        <f>[21]С2.5!$CD$11</f>
        <v>0</v>
      </c>
    </row>
    <row r="223" spans="2:3" ht="13.5" hidden="1" thickBot="1">
      <c r="B223" s="110">
        <f t="shared" si="1"/>
        <v>2098</v>
      </c>
      <c r="C223" s="135">
        <f>[21]С2.5!$CE$11</f>
        <v>0</v>
      </c>
    </row>
    <row r="224" spans="2:3" ht="13.5" hidden="1" thickBot="1">
      <c r="B224" s="110">
        <f t="shared" si="1"/>
        <v>2099</v>
      </c>
      <c r="C224" s="135">
        <f>[21]С2.5!$CF$11</f>
        <v>0</v>
      </c>
    </row>
    <row r="225" spans="2:3" ht="13.5" hidden="1" thickBot="1">
      <c r="B225" s="112">
        <f>B162+1</f>
        <v>2038</v>
      </c>
      <c r="C225" s="136" t="e">
        <f>[21]С2.5!#REF!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2" width="9.140625" style="2"/>
    <col min="243" max="243" width="3.5703125" style="2" customWidth="1"/>
    <col min="244" max="244" width="96.85546875" style="2" customWidth="1"/>
    <col min="245" max="245" width="30.85546875" style="2" customWidth="1"/>
    <col min="246" max="246" width="12.5703125" style="2" customWidth="1"/>
    <col min="247" max="247" width="5.140625" style="2" customWidth="1"/>
    <col min="248" max="248" width="9.140625" style="2"/>
    <col min="249" max="249" width="4.85546875" style="2" customWidth="1"/>
    <col min="250" max="250" width="30.5703125" style="2" customWidth="1"/>
    <col min="251" max="251" width="33.85546875" style="2" customWidth="1"/>
    <col min="252" max="252" width="5.140625" style="2" customWidth="1"/>
    <col min="253" max="254" width="17.5703125" style="2" customWidth="1"/>
    <col min="255" max="498" width="9.140625" style="2"/>
    <col min="499" max="499" width="3.5703125" style="2" customWidth="1"/>
    <col min="500" max="500" width="96.85546875" style="2" customWidth="1"/>
    <col min="501" max="501" width="30.85546875" style="2" customWidth="1"/>
    <col min="502" max="502" width="12.5703125" style="2" customWidth="1"/>
    <col min="503" max="503" width="5.140625" style="2" customWidth="1"/>
    <col min="504" max="504" width="9.140625" style="2"/>
    <col min="505" max="505" width="4.85546875" style="2" customWidth="1"/>
    <col min="506" max="506" width="30.5703125" style="2" customWidth="1"/>
    <col min="507" max="507" width="33.85546875" style="2" customWidth="1"/>
    <col min="508" max="508" width="5.140625" style="2" customWidth="1"/>
    <col min="509" max="510" width="17.5703125" style="2" customWidth="1"/>
    <col min="511" max="754" width="9.140625" style="2"/>
    <col min="755" max="755" width="3.5703125" style="2" customWidth="1"/>
    <col min="756" max="756" width="96.85546875" style="2" customWidth="1"/>
    <col min="757" max="757" width="30.85546875" style="2" customWidth="1"/>
    <col min="758" max="758" width="12.5703125" style="2" customWidth="1"/>
    <col min="759" max="759" width="5.140625" style="2" customWidth="1"/>
    <col min="760" max="760" width="9.140625" style="2"/>
    <col min="761" max="761" width="4.85546875" style="2" customWidth="1"/>
    <col min="762" max="762" width="30.5703125" style="2" customWidth="1"/>
    <col min="763" max="763" width="33.85546875" style="2" customWidth="1"/>
    <col min="764" max="764" width="5.140625" style="2" customWidth="1"/>
    <col min="765" max="766" width="17.5703125" style="2" customWidth="1"/>
    <col min="767" max="1010" width="9.140625" style="2"/>
    <col min="1011" max="1011" width="3.5703125" style="2" customWidth="1"/>
    <col min="1012" max="1012" width="96.85546875" style="2" customWidth="1"/>
    <col min="1013" max="1013" width="30.85546875" style="2" customWidth="1"/>
    <col min="1014" max="1014" width="12.5703125" style="2" customWidth="1"/>
    <col min="1015" max="1015" width="5.140625" style="2" customWidth="1"/>
    <col min="1016" max="1016" width="9.140625" style="2"/>
    <col min="1017" max="1017" width="4.85546875" style="2" customWidth="1"/>
    <col min="1018" max="1018" width="30.5703125" style="2" customWidth="1"/>
    <col min="1019" max="1019" width="33.85546875" style="2" customWidth="1"/>
    <col min="1020" max="1020" width="5.140625" style="2" customWidth="1"/>
    <col min="1021" max="1022" width="17.5703125" style="2" customWidth="1"/>
    <col min="1023" max="1266" width="9.140625" style="2"/>
    <col min="1267" max="1267" width="3.5703125" style="2" customWidth="1"/>
    <col min="1268" max="1268" width="96.85546875" style="2" customWidth="1"/>
    <col min="1269" max="1269" width="30.85546875" style="2" customWidth="1"/>
    <col min="1270" max="1270" width="12.5703125" style="2" customWidth="1"/>
    <col min="1271" max="1271" width="5.140625" style="2" customWidth="1"/>
    <col min="1272" max="1272" width="9.140625" style="2"/>
    <col min="1273" max="1273" width="4.85546875" style="2" customWidth="1"/>
    <col min="1274" max="1274" width="30.5703125" style="2" customWidth="1"/>
    <col min="1275" max="1275" width="33.85546875" style="2" customWidth="1"/>
    <col min="1276" max="1276" width="5.140625" style="2" customWidth="1"/>
    <col min="1277" max="1278" width="17.5703125" style="2" customWidth="1"/>
    <col min="1279" max="1522" width="9.140625" style="2"/>
    <col min="1523" max="1523" width="3.5703125" style="2" customWidth="1"/>
    <col min="1524" max="1524" width="96.85546875" style="2" customWidth="1"/>
    <col min="1525" max="1525" width="30.85546875" style="2" customWidth="1"/>
    <col min="1526" max="1526" width="12.5703125" style="2" customWidth="1"/>
    <col min="1527" max="1527" width="5.140625" style="2" customWidth="1"/>
    <col min="1528" max="1528" width="9.140625" style="2"/>
    <col min="1529" max="1529" width="4.85546875" style="2" customWidth="1"/>
    <col min="1530" max="1530" width="30.5703125" style="2" customWidth="1"/>
    <col min="1531" max="1531" width="33.85546875" style="2" customWidth="1"/>
    <col min="1532" max="1532" width="5.140625" style="2" customWidth="1"/>
    <col min="1533" max="1534" width="17.5703125" style="2" customWidth="1"/>
    <col min="1535" max="1778" width="9.140625" style="2"/>
    <col min="1779" max="1779" width="3.5703125" style="2" customWidth="1"/>
    <col min="1780" max="1780" width="96.85546875" style="2" customWidth="1"/>
    <col min="1781" max="1781" width="30.85546875" style="2" customWidth="1"/>
    <col min="1782" max="1782" width="12.5703125" style="2" customWidth="1"/>
    <col min="1783" max="1783" width="5.140625" style="2" customWidth="1"/>
    <col min="1784" max="1784" width="9.140625" style="2"/>
    <col min="1785" max="1785" width="4.85546875" style="2" customWidth="1"/>
    <col min="1786" max="1786" width="30.5703125" style="2" customWidth="1"/>
    <col min="1787" max="1787" width="33.85546875" style="2" customWidth="1"/>
    <col min="1788" max="1788" width="5.140625" style="2" customWidth="1"/>
    <col min="1789" max="1790" width="17.5703125" style="2" customWidth="1"/>
    <col min="1791" max="2034" width="9.140625" style="2"/>
    <col min="2035" max="2035" width="3.5703125" style="2" customWidth="1"/>
    <col min="2036" max="2036" width="96.85546875" style="2" customWidth="1"/>
    <col min="2037" max="2037" width="30.85546875" style="2" customWidth="1"/>
    <col min="2038" max="2038" width="12.5703125" style="2" customWidth="1"/>
    <col min="2039" max="2039" width="5.140625" style="2" customWidth="1"/>
    <col min="2040" max="2040" width="9.140625" style="2"/>
    <col min="2041" max="2041" width="4.85546875" style="2" customWidth="1"/>
    <col min="2042" max="2042" width="30.5703125" style="2" customWidth="1"/>
    <col min="2043" max="2043" width="33.85546875" style="2" customWidth="1"/>
    <col min="2044" max="2044" width="5.140625" style="2" customWidth="1"/>
    <col min="2045" max="2046" width="17.5703125" style="2" customWidth="1"/>
    <col min="2047" max="2290" width="9.140625" style="2"/>
    <col min="2291" max="2291" width="3.5703125" style="2" customWidth="1"/>
    <col min="2292" max="2292" width="96.85546875" style="2" customWidth="1"/>
    <col min="2293" max="2293" width="30.85546875" style="2" customWidth="1"/>
    <col min="2294" max="2294" width="12.5703125" style="2" customWidth="1"/>
    <col min="2295" max="2295" width="5.140625" style="2" customWidth="1"/>
    <col min="2296" max="2296" width="9.140625" style="2"/>
    <col min="2297" max="2297" width="4.85546875" style="2" customWidth="1"/>
    <col min="2298" max="2298" width="30.5703125" style="2" customWidth="1"/>
    <col min="2299" max="2299" width="33.85546875" style="2" customWidth="1"/>
    <col min="2300" max="2300" width="5.140625" style="2" customWidth="1"/>
    <col min="2301" max="2302" width="17.5703125" style="2" customWidth="1"/>
    <col min="2303" max="2546" width="9.140625" style="2"/>
    <col min="2547" max="2547" width="3.5703125" style="2" customWidth="1"/>
    <col min="2548" max="2548" width="96.85546875" style="2" customWidth="1"/>
    <col min="2549" max="2549" width="30.85546875" style="2" customWidth="1"/>
    <col min="2550" max="2550" width="12.5703125" style="2" customWidth="1"/>
    <col min="2551" max="2551" width="5.140625" style="2" customWidth="1"/>
    <col min="2552" max="2552" width="9.140625" style="2"/>
    <col min="2553" max="2553" width="4.85546875" style="2" customWidth="1"/>
    <col min="2554" max="2554" width="30.5703125" style="2" customWidth="1"/>
    <col min="2555" max="2555" width="33.85546875" style="2" customWidth="1"/>
    <col min="2556" max="2556" width="5.140625" style="2" customWidth="1"/>
    <col min="2557" max="2558" width="17.5703125" style="2" customWidth="1"/>
    <col min="2559" max="2802" width="9.140625" style="2"/>
    <col min="2803" max="2803" width="3.5703125" style="2" customWidth="1"/>
    <col min="2804" max="2804" width="96.85546875" style="2" customWidth="1"/>
    <col min="2805" max="2805" width="30.85546875" style="2" customWidth="1"/>
    <col min="2806" max="2806" width="12.5703125" style="2" customWidth="1"/>
    <col min="2807" max="2807" width="5.140625" style="2" customWidth="1"/>
    <col min="2808" max="2808" width="9.140625" style="2"/>
    <col min="2809" max="2809" width="4.85546875" style="2" customWidth="1"/>
    <col min="2810" max="2810" width="30.5703125" style="2" customWidth="1"/>
    <col min="2811" max="2811" width="33.85546875" style="2" customWidth="1"/>
    <col min="2812" max="2812" width="5.140625" style="2" customWidth="1"/>
    <col min="2813" max="2814" width="17.5703125" style="2" customWidth="1"/>
    <col min="2815" max="3058" width="9.140625" style="2"/>
    <col min="3059" max="3059" width="3.5703125" style="2" customWidth="1"/>
    <col min="3060" max="3060" width="96.85546875" style="2" customWidth="1"/>
    <col min="3061" max="3061" width="30.85546875" style="2" customWidth="1"/>
    <col min="3062" max="3062" width="12.5703125" style="2" customWidth="1"/>
    <col min="3063" max="3063" width="5.140625" style="2" customWidth="1"/>
    <col min="3064" max="3064" width="9.140625" style="2"/>
    <col min="3065" max="3065" width="4.85546875" style="2" customWidth="1"/>
    <col min="3066" max="3066" width="30.5703125" style="2" customWidth="1"/>
    <col min="3067" max="3067" width="33.85546875" style="2" customWidth="1"/>
    <col min="3068" max="3068" width="5.140625" style="2" customWidth="1"/>
    <col min="3069" max="3070" width="17.5703125" style="2" customWidth="1"/>
    <col min="3071" max="3314" width="9.140625" style="2"/>
    <col min="3315" max="3315" width="3.5703125" style="2" customWidth="1"/>
    <col min="3316" max="3316" width="96.85546875" style="2" customWidth="1"/>
    <col min="3317" max="3317" width="30.85546875" style="2" customWidth="1"/>
    <col min="3318" max="3318" width="12.5703125" style="2" customWidth="1"/>
    <col min="3319" max="3319" width="5.140625" style="2" customWidth="1"/>
    <col min="3320" max="3320" width="9.140625" style="2"/>
    <col min="3321" max="3321" width="4.85546875" style="2" customWidth="1"/>
    <col min="3322" max="3322" width="30.5703125" style="2" customWidth="1"/>
    <col min="3323" max="3323" width="33.85546875" style="2" customWidth="1"/>
    <col min="3324" max="3324" width="5.140625" style="2" customWidth="1"/>
    <col min="3325" max="3326" width="17.5703125" style="2" customWidth="1"/>
    <col min="3327" max="3570" width="9.140625" style="2"/>
    <col min="3571" max="3571" width="3.5703125" style="2" customWidth="1"/>
    <col min="3572" max="3572" width="96.85546875" style="2" customWidth="1"/>
    <col min="3573" max="3573" width="30.85546875" style="2" customWidth="1"/>
    <col min="3574" max="3574" width="12.5703125" style="2" customWidth="1"/>
    <col min="3575" max="3575" width="5.140625" style="2" customWidth="1"/>
    <col min="3576" max="3576" width="9.140625" style="2"/>
    <col min="3577" max="3577" width="4.85546875" style="2" customWidth="1"/>
    <col min="3578" max="3578" width="30.5703125" style="2" customWidth="1"/>
    <col min="3579" max="3579" width="33.85546875" style="2" customWidth="1"/>
    <col min="3580" max="3580" width="5.140625" style="2" customWidth="1"/>
    <col min="3581" max="3582" width="17.5703125" style="2" customWidth="1"/>
    <col min="3583" max="3826" width="9.140625" style="2"/>
    <col min="3827" max="3827" width="3.5703125" style="2" customWidth="1"/>
    <col min="3828" max="3828" width="96.85546875" style="2" customWidth="1"/>
    <col min="3829" max="3829" width="30.85546875" style="2" customWidth="1"/>
    <col min="3830" max="3830" width="12.5703125" style="2" customWidth="1"/>
    <col min="3831" max="3831" width="5.140625" style="2" customWidth="1"/>
    <col min="3832" max="3832" width="9.140625" style="2"/>
    <col min="3833" max="3833" width="4.85546875" style="2" customWidth="1"/>
    <col min="3834" max="3834" width="30.5703125" style="2" customWidth="1"/>
    <col min="3835" max="3835" width="33.85546875" style="2" customWidth="1"/>
    <col min="3836" max="3836" width="5.140625" style="2" customWidth="1"/>
    <col min="3837" max="3838" width="17.5703125" style="2" customWidth="1"/>
    <col min="3839" max="4082" width="9.140625" style="2"/>
    <col min="4083" max="4083" width="3.5703125" style="2" customWidth="1"/>
    <col min="4084" max="4084" width="96.85546875" style="2" customWidth="1"/>
    <col min="4085" max="4085" width="30.85546875" style="2" customWidth="1"/>
    <col min="4086" max="4086" width="12.5703125" style="2" customWidth="1"/>
    <col min="4087" max="4087" width="5.140625" style="2" customWidth="1"/>
    <col min="4088" max="4088" width="9.140625" style="2"/>
    <col min="4089" max="4089" width="4.85546875" style="2" customWidth="1"/>
    <col min="4090" max="4090" width="30.5703125" style="2" customWidth="1"/>
    <col min="4091" max="4091" width="33.85546875" style="2" customWidth="1"/>
    <col min="4092" max="4092" width="5.140625" style="2" customWidth="1"/>
    <col min="4093" max="4094" width="17.5703125" style="2" customWidth="1"/>
    <col min="4095" max="4338" width="9.140625" style="2"/>
    <col min="4339" max="4339" width="3.5703125" style="2" customWidth="1"/>
    <col min="4340" max="4340" width="96.85546875" style="2" customWidth="1"/>
    <col min="4341" max="4341" width="30.85546875" style="2" customWidth="1"/>
    <col min="4342" max="4342" width="12.5703125" style="2" customWidth="1"/>
    <col min="4343" max="4343" width="5.140625" style="2" customWidth="1"/>
    <col min="4344" max="4344" width="9.140625" style="2"/>
    <col min="4345" max="4345" width="4.85546875" style="2" customWidth="1"/>
    <col min="4346" max="4346" width="30.5703125" style="2" customWidth="1"/>
    <col min="4347" max="4347" width="33.85546875" style="2" customWidth="1"/>
    <col min="4348" max="4348" width="5.140625" style="2" customWidth="1"/>
    <col min="4349" max="4350" width="17.5703125" style="2" customWidth="1"/>
    <col min="4351" max="4594" width="9.140625" style="2"/>
    <col min="4595" max="4595" width="3.5703125" style="2" customWidth="1"/>
    <col min="4596" max="4596" width="96.85546875" style="2" customWidth="1"/>
    <col min="4597" max="4597" width="30.85546875" style="2" customWidth="1"/>
    <col min="4598" max="4598" width="12.5703125" style="2" customWidth="1"/>
    <col min="4599" max="4599" width="5.140625" style="2" customWidth="1"/>
    <col min="4600" max="4600" width="9.140625" style="2"/>
    <col min="4601" max="4601" width="4.85546875" style="2" customWidth="1"/>
    <col min="4602" max="4602" width="30.5703125" style="2" customWidth="1"/>
    <col min="4603" max="4603" width="33.85546875" style="2" customWidth="1"/>
    <col min="4604" max="4604" width="5.140625" style="2" customWidth="1"/>
    <col min="4605" max="4606" width="17.5703125" style="2" customWidth="1"/>
    <col min="4607" max="4850" width="9.140625" style="2"/>
    <col min="4851" max="4851" width="3.5703125" style="2" customWidth="1"/>
    <col min="4852" max="4852" width="96.85546875" style="2" customWidth="1"/>
    <col min="4853" max="4853" width="30.85546875" style="2" customWidth="1"/>
    <col min="4854" max="4854" width="12.5703125" style="2" customWidth="1"/>
    <col min="4855" max="4855" width="5.140625" style="2" customWidth="1"/>
    <col min="4856" max="4856" width="9.140625" style="2"/>
    <col min="4857" max="4857" width="4.85546875" style="2" customWidth="1"/>
    <col min="4858" max="4858" width="30.5703125" style="2" customWidth="1"/>
    <col min="4859" max="4859" width="33.85546875" style="2" customWidth="1"/>
    <col min="4860" max="4860" width="5.140625" style="2" customWidth="1"/>
    <col min="4861" max="4862" width="17.5703125" style="2" customWidth="1"/>
    <col min="4863" max="5106" width="9.140625" style="2"/>
    <col min="5107" max="5107" width="3.5703125" style="2" customWidth="1"/>
    <col min="5108" max="5108" width="96.85546875" style="2" customWidth="1"/>
    <col min="5109" max="5109" width="30.85546875" style="2" customWidth="1"/>
    <col min="5110" max="5110" width="12.5703125" style="2" customWidth="1"/>
    <col min="5111" max="5111" width="5.140625" style="2" customWidth="1"/>
    <col min="5112" max="5112" width="9.140625" style="2"/>
    <col min="5113" max="5113" width="4.85546875" style="2" customWidth="1"/>
    <col min="5114" max="5114" width="30.5703125" style="2" customWidth="1"/>
    <col min="5115" max="5115" width="33.85546875" style="2" customWidth="1"/>
    <col min="5116" max="5116" width="5.140625" style="2" customWidth="1"/>
    <col min="5117" max="5118" width="17.5703125" style="2" customWidth="1"/>
    <col min="5119" max="5362" width="9.140625" style="2"/>
    <col min="5363" max="5363" width="3.5703125" style="2" customWidth="1"/>
    <col min="5364" max="5364" width="96.85546875" style="2" customWidth="1"/>
    <col min="5365" max="5365" width="30.85546875" style="2" customWidth="1"/>
    <col min="5366" max="5366" width="12.5703125" style="2" customWidth="1"/>
    <col min="5367" max="5367" width="5.140625" style="2" customWidth="1"/>
    <col min="5368" max="5368" width="9.140625" style="2"/>
    <col min="5369" max="5369" width="4.85546875" style="2" customWidth="1"/>
    <col min="5370" max="5370" width="30.5703125" style="2" customWidth="1"/>
    <col min="5371" max="5371" width="33.85546875" style="2" customWidth="1"/>
    <col min="5372" max="5372" width="5.140625" style="2" customWidth="1"/>
    <col min="5373" max="5374" width="17.5703125" style="2" customWidth="1"/>
    <col min="5375" max="5618" width="9.140625" style="2"/>
    <col min="5619" max="5619" width="3.5703125" style="2" customWidth="1"/>
    <col min="5620" max="5620" width="96.85546875" style="2" customWidth="1"/>
    <col min="5621" max="5621" width="30.85546875" style="2" customWidth="1"/>
    <col min="5622" max="5622" width="12.5703125" style="2" customWidth="1"/>
    <col min="5623" max="5623" width="5.140625" style="2" customWidth="1"/>
    <col min="5624" max="5624" width="9.140625" style="2"/>
    <col min="5625" max="5625" width="4.85546875" style="2" customWidth="1"/>
    <col min="5626" max="5626" width="30.5703125" style="2" customWidth="1"/>
    <col min="5627" max="5627" width="33.85546875" style="2" customWidth="1"/>
    <col min="5628" max="5628" width="5.140625" style="2" customWidth="1"/>
    <col min="5629" max="5630" width="17.5703125" style="2" customWidth="1"/>
    <col min="5631" max="5874" width="9.140625" style="2"/>
    <col min="5875" max="5875" width="3.5703125" style="2" customWidth="1"/>
    <col min="5876" max="5876" width="96.85546875" style="2" customWidth="1"/>
    <col min="5877" max="5877" width="30.85546875" style="2" customWidth="1"/>
    <col min="5878" max="5878" width="12.5703125" style="2" customWidth="1"/>
    <col min="5879" max="5879" width="5.140625" style="2" customWidth="1"/>
    <col min="5880" max="5880" width="9.140625" style="2"/>
    <col min="5881" max="5881" width="4.85546875" style="2" customWidth="1"/>
    <col min="5882" max="5882" width="30.5703125" style="2" customWidth="1"/>
    <col min="5883" max="5883" width="33.85546875" style="2" customWidth="1"/>
    <col min="5884" max="5884" width="5.140625" style="2" customWidth="1"/>
    <col min="5885" max="5886" width="17.5703125" style="2" customWidth="1"/>
    <col min="5887" max="6130" width="9.140625" style="2"/>
    <col min="6131" max="6131" width="3.5703125" style="2" customWidth="1"/>
    <col min="6132" max="6132" width="96.85546875" style="2" customWidth="1"/>
    <col min="6133" max="6133" width="30.85546875" style="2" customWidth="1"/>
    <col min="6134" max="6134" width="12.5703125" style="2" customWidth="1"/>
    <col min="6135" max="6135" width="5.140625" style="2" customWidth="1"/>
    <col min="6136" max="6136" width="9.140625" style="2"/>
    <col min="6137" max="6137" width="4.85546875" style="2" customWidth="1"/>
    <col min="6138" max="6138" width="30.5703125" style="2" customWidth="1"/>
    <col min="6139" max="6139" width="33.85546875" style="2" customWidth="1"/>
    <col min="6140" max="6140" width="5.140625" style="2" customWidth="1"/>
    <col min="6141" max="6142" width="17.5703125" style="2" customWidth="1"/>
    <col min="6143" max="6386" width="9.140625" style="2"/>
    <col min="6387" max="6387" width="3.5703125" style="2" customWidth="1"/>
    <col min="6388" max="6388" width="96.85546875" style="2" customWidth="1"/>
    <col min="6389" max="6389" width="30.85546875" style="2" customWidth="1"/>
    <col min="6390" max="6390" width="12.5703125" style="2" customWidth="1"/>
    <col min="6391" max="6391" width="5.140625" style="2" customWidth="1"/>
    <col min="6392" max="6392" width="9.140625" style="2"/>
    <col min="6393" max="6393" width="4.85546875" style="2" customWidth="1"/>
    <col min="6394" max="6394" width="30.5703125" style="2" customWidth="1"/>
    <col min="6395" max="6395" width="33.85546875" style="2" customWidth="1"/>
    <col min="6396" max="6396" width="5.140625" style="2" customWidth="1"/>
    <col min="6397" max="6398" width="17.5703125" style="2" customWidth="1"/>
    <col min="6399" max="6642" width="9.140625" style="2"/>
    <col min="6643" max="6643" width="3.5703125" style="2" customWidth="1"/>
    <col min="6644" max="6644" width="96.85546875" style="2" customWidth="1"/>
    <col min="6645" max="6645" width="30.85546875" style="2" customWidth="1"/>
    <col min="6646" max="6646" width="12.5703125" style="2" customWidth="1"/>
    <col min="6647" max="6647" width="5.140625" style="2" customWidth="1"/>
    <col min="6648" max="6648" width="9.140625" style="2"/>
    <col min="6649" max="6649" width="4.85546875" style="2" customWidth="1"/>
    <col min="6650" max="6650" width="30.5703125" style="2" customWidth="1"/>
    <col min="6651" max="6651" width="33.85546875" style="2" customWidth="1"/>
    <col min="6652" max="6652" width="5.140625" style="2" customWidth="1"/>
    <col min="6653" max="6654" width="17.5703125" style="2" customWidth="1"/>
    <col min="6655" max="6898" width="9.140625" style="2"/>
    <col min="6899" max="6899" width="3.5703125" style="2" customWidth="1"/>
    <col min="6900" max="6900" width="96.85546875" style="2" customWidth="1"/>
    <col min="6901" max="6901" width="30.85546875" style="2" customWidth="1"/>
    <col min="6902" max="6902" width="12.5703125" style="2" customWidth="1"/>
    <col min="6903" max="6903" width="5.140625" style="2" customWidth="1"/>
    <col min="6904" max="6904" width="9.140625" style="2"/>
    <col min="6905" max="6905" width="4.85546875" style="2" customWidth="1"/>
    <col min="6906" max="6906" width="30.5703125" style="2" customWidth="1"/>
    <col min="6907" max="6907" width="33.85546875" style="2" customWidth="1"/>
    <col min="6908" max="6908" width="5.140625" style="2" customWidth="1"/>
    <col min="6909" max="6910" width="17.5703125" style="2" customWidth="1"/>
    <col min="6911" max="7154" width="9.140625" style="2"/>
    <col min="7155" max="7155" width="3.5703125" style="2" customWidth="1"/>
    <col min="7156" max="7156" width="96.85546875" style="2" customWidth="1"/>
    <col min="7157" max="7157" width="30.85546875" style="2" customWidth="1"/>
    <col min="7158" max="7158" width="12.5703125" style="2" customWidth="1"/>
    <col min="7159" max="7159" width="5.140625" style="2" customWidth="1"/>
    <col min="7160" max="7160" width="9.140625" style="2"/>
    <col min="7161" max="7161" width="4.85546875" style="2" customWidth="1"/>
    <col min="7162" max="7162" width="30.5703125" style="2" customWidth="1"/>
    <col min="7163" max="7163" width="33.85546875" style="2" customWidth="1"/>
    <col min="7164" max="7164" width="5.140625" style="2" customWidth="1"/>
    <col min="7165" max="7166" width="17.5703125" style="2" customWidth="1"/>
    <col min="7167" max="7410" width="9.140625" style="2"/>
    <col min="7411" max="7411" width="3.5703125" style="2" customWidth="1"/>
    <col min="7412" max="7412" width="96.85546875" style="2" customWidth="1"/>
    <col min="7413" max="7413" width="30.85546875" style="2" customWidth="1"/>
    <col min="7414" max="7414" width="12.5703125" style="2" customWidth="1"/>
    <col min="7415" max="7415" width="5.140625" style="2" customWidth="1"/>
    <col min="7416" max="7416" width="9.140625" style="2"/>
    <col min="7417" max="7417" width="4.85546875" style="2" customWidth="1"/>
    <col min="7418" max="7418" width="30.5703125" style="2" customWidth="1"/>
    <col min="7419" max="7419" width="33.85546875" style="2" customWidth="1"/>
    <col min="7420" max="7420" width="5.140625" style="2" customWidth="1"/>
    <col min="7421" max="7422" width="17.5703125" style="2" customWidth="1"/>
    <col min="7423" max="7666" width="9.140625" style="2"/>
    <col min="7667" max="7667" width="3.5703125" style="2" customWidth="1"/>
    <col min="7668" max="7668" width="96.85546875" style="2" customWidth="1"/>
    <col min="7669" max="7669" width="30.85546875" style="2" customWidth="1"/>
    <col min="7670" max="7670" width="12.5703125" style="2" customWidth="1"/>
    <col min="7671" max="7671" width="5.140625" style="2" customWidth="1"/>
    <col min="7672" max="7672" width="9.140625" style="2"/>
    <col min="7673" max="7673" width="4.85546875" style="2" customWidth="1"/>
    <col min="7674" max="7674" width="30.5703125" style="2" customWidth="1"/>
    <col min="7675" max="7675" width="33.85546875" style="2" customWidth="1"/>
    <col min="7676" max="7676" width="5.140625" style="2" customWidth="1"/>
    <col min="7677" max="7678" width="17.5703125" style="2" customWidth="1"/>
    <col min="7679" max="7922" width="9.140625" style="2"/>
    <col min="7923" max="7923" width="3.5703125" style="2" customWidth="1"/>
    <col min="7924" max="7924" width="96.85546875" style="2" customWidth="1"/>
    <col min="7925" max="7925" width="30.85546875" style="2" customWidth="1"/>
    <col min="7926" max="7926" width="12.5703125" style="2" customWidth="1"/>
    <col min="7927" max="7927" width="5.140625" style="2" customWidth="1"/>
    <col min="7928" max="7928" width="9.140625" style="2"/>
    <col min="7929" max="7929" width="4.85546875" style="2" customWidth="1"/>
    <col min="7930" max="7930" width="30.5703125" style="2" customWidth="1"/>
    <col min="7931" max="7931" width="33.85546875" style="2" customWidth="1"/>
    <col min="7932" max="7932" width="5.140625" style="2" customWidth="1"/>
    <col min="7933" max="7934" width="17.5703125" style="2" customWidth="1"/>
    <col min="7935" max="8178" width="9.140625" style="2"/>
    <col min="8179" max="8179" width="3.5703125" style="2" customWidth="1"/>
    <col min="8180" max="8180" width="96.85546875" style="2" customWidth="1"/>
    <col min="8181" max="8181" width="30.85546875" style="2" customWidth="1"/>
    <col min="8182" max="8182" width="12.5703125" style="2" customWidth="1"/>
    <col min="8183" max="8183" width="5.140625" style="2" customWidth="1"/>
    <col min="8184" max="8184" width="9.140625" style="2"/>
    <col min="8185" max="8185" width="4.85546875" style="2" customWidth="1"/>
    <col min="8186" max="8186" width="30.5703125" style="2" customWidth="1"/>
    <col min="8187" max="8187" width="33.85546875" style="2" customWidth="1"/>
    <col min="8188" max="8188" width="5.140625" style="2" customWidth="1"/>
    <col min="8189" max="8190" width="17.5703125" style="2" customWidth="1"/>
    <col min="8191" max="8434" width="9.140625" style="2"/>
    <col min="8435" max="8435" width="3.5703125" style="2" customWidth="1"/>
    <col min="8436" max="8436" width="96.85546875" style="2" customWidth="1"/>
    <col min="8437" max="8437" width="30.85546875" style="2" customWidth="1"/>
    <col min="8438" max="8438" width="12.5703125" style="2" customWidth="1"/>
    <col min="8439" max="8439" width="5.140625" style="2" customWidth="1"/>
    <col min="8440" max="8440" width="9.140625" style="2"/>
    <col min="8441" max="8441" width="4.85546875" style="2" customWidth="1"/>
    <col min="8442" max="8442" width="30.5703125" style="2" customWidth="1"/>
    <col min="8443" max="8443" width="33.85546875" style="2" customWidth="1"/>
    <col min="8444" max="8444" width="5.140625" style="2" customWidth="1"/>
    <col min="8445" max="8446" width="17.5703125" style="2" customWidth="1"/>
    <col min="8447" max="8690" width="9.140625" style="2"/>
    <col min="8691" max="8691" width="3.5703125" style="2" customWidth="1"/>
    <col min="8692" max="8692" width="96.85546875" style="2" customWidth="1"/>
    <col min="8693" max="8693" width="30.85546875" style="2" customWidth="1"/>
    <col min="8694" max="8694" width="12.5703125" style="2" customWidth="1"/>
    <col min="8695" max="8695" width="5.140625" style="2" customWidth="1"/>
    <col min="8696" max="8696" width="9.140625" style="2"/>
    <col min="8697" max="8697" width="4.85546875" style="2" customWidth="1"/>
    <col min="8698" max="8698" width="30.5703125" style="2" customWidth="1"/>
    <col min="8699" max="8699" width="33.85546875" style="2" customWidth="1"/>
    <col min="8700" max="8700" width="5.140625" style="2" customWidth="1"/>
    <col min="8701" max="8702" width="17.5703125" style="2" customWidth="1"/>
    <col min="8703" max="8946" width="9.140625" style="2"/>
    <col min="8947" max="8947" width="3.5703125" style="2" customWidth="1"/>
    <col min="8948" max="8948" width="96.85546875" style="2" customWidth="1"/>
    <col min="8949" max="8949" width="30.85546875" style="2" customWidth="1"/>
    <col min="8950" max="8950" width="12.5703125" style="2" customWidth="1"/>
    <col min="8951" max="8951" width="5.140625" style="2" customWidth="1"/>
    <col min="8952" max="8952" width="9.140625" style="2"/>
    <col min="8953" max="8953" width="4.85546875" style="2" customWidth="1"/>
    <col min="8954" max="8954" width="30.5703125" style="2" customWidth="1"/>
    <col min="8955" max="8955" width="33.85546875" style="2" customWidth="1"/>
    <col min="8956" max="8956" width="5.140625" style="2" customWidth="1"/>
    <col min="8957" max="8958" width="17.5703125" style="2" customWidth="1"/>
    <col min="8959" max="9202" width="9.140625" style="2"/>
    <col min="9203" max="9203" width="3.5703125" style="2" customWidth="1"/>
    <col min="9204" max="9204" width="96.85546875" style="2" customWidth="1"/>
    <col min="9205" max="9205" width="30.85546875" style="2" customWidth="1"/>
    <col min="9206" max="9206" width="12.5703125" style="2" customWidth="1"/>
    <col min="9207" max="9207" width="5.140625" style="2" customWidth="1"/>
    <col min="9208" max="9208" width="9.140625" style="2"/>
    <col min="9209" max="9209" width="4.85546875" style="2" customWidth="1"/>
    <col min="9210" max="9210" width="30.5703125" style="2" customWidth="1"/>
    <col min="9211" max="9211" width="33.85546875" style="2" customWidth="1"/>
    <col min="9212" max="9212" width="5.140625" style="2" customWidth="1"/>
    <col min="9213" max="9214" width="17.5703125" style="2" customWidth="1"/>
    <col min="9215" max="9458" width="9.140625" style="2"/>
    <col min="9459" max="9459" width="3.5703125" style="2" customWidth="1"/>
    <col min="9460" max="9460" width="96.85546875" style="2" customWidth="1"/>
    <col min="9461" max="9461" width="30.85546875" style="2" customWidth="1"/>
    <col min="9462" max="9462" width="12.5703125" style="2" customWidth="1"/>
    <col min="9463" max="9463" width="5.140625" style="2" customWidth="1"/>
    <col min="9464" max="9464" width="9.140625" style="2"/>
    <col min="9465" max="9465" width="4.85546875" style="2" customWidth="1"/>
    <col min="9466" max="9466" width="30.5703125" style="2" customWidth="1"/>
    <col min="9467" max="9467" width="33.85546875" style="2" customWidth="1"/>
    <col min="9468" max="9468" width="5.140625" style="2" customWidth="1"/>
    <col min="9469" max="9470" width="17.5703125" style="2" customWidth="1"/>
    <col min="9471" max="9714" width="9.140625" style="2"/>
    <col min="9715" max="9715" width="3.5703125" style="2" customWidth="1"/>
    <col min="9716" max="9716" width="96.85546875" style="2" customWidth="1"/>
    <col min="9717" max="9717" width="30.85546875" style="2" customWidth="1"/>
    <col min="9718" max="9718" width="12.5703125" style="2" customWidth="1"/>
    <col min="9719" max="9719" width="5.140625" style="2" customWidth="1"/>
    <col min="9720" max="9720" width="9.140625" style="2"/>
    <col min="9721" max="9721" width="4.85546875" style="2" customWidth="1"/>
    <col min="9722" max="9722" width="30.5703125" style="2" customWidth="1"/>
    <col min="9723" max="9723" width="33.85546875" style="2" customWidth="1"/>
    <col min="9724" max="9724" width="5.140625" style="2" customWidth="1"/>
    <col min="9725" max="9726" width="17.5703125" style="2" customWidth="1"/>
    <col min="9727" max="9970" width="9.140625" style="2"/>
    <col min="9971" max="9971" width="3.5703125" style="2" customWidth="1"/>
    <col min="9972" max="9972" width="96.85546875" style="2" customWidth="1"/>
    <col min="9973" max="9973" width="30.85546875" style="2" customWidth="1"/>
    <col min="9974" max="9974" width="12.5703125" style="2" customWidth="1"/>
    <col min="9975" max="9975" width="5.140625" style="2" customWidth="1"/>
    <col min="9976" max="9976" width="9.140625" style="2"/>
    <col min="9977" max="9977" width="4.85546875" style="2" customWidth="1"/>
    <col min="9978" max="9978" width="30.5703125" style="2" customWidth="1"/>
    <col min="9979" max="9979" width="33.85546875" style="2" customWidth="1"/>
    <col min="9980" max="9980" width="5.140625" style="2" customWidth="1"/>
    <col min="9981" max="9982" width="17.5703125" style="2" customWidth="1"/>
    <col min="9983" max="10226" width="9.140625" style="2"/>
    <col min="10227" max="10227" width="3.5703125" style="2" customWidth="1"/>
    <col min="10228" max="10228" width="96.85546875" style="2" customWidth="1"/>
    <col min="10229" max="10229" width="30.85546875" style="2" customWidth="1"/>
    <col min="10230" max="10230" width="12.5703125" style="2" customWidth="1"/>
    <col min="10231" max="10231" width="5.140625" style="2" customWidth="1"/>
    <col min="10232" max="10232" width="9.140625" style="2"/>
    <col min="10233" max="10233" width="4.85546875" style="2" customWidth="1"/>
    <col min="10234" max="10234" width="30.5703125" style="2" customWidth="1"/>
    <col min="10235" max="10235" width="33.85546875" style="2" customWidth="1"/>
    <col min="10236" max="10236" width="5.140625" style="2" customWidth="1"/>
    <col min="10237" max="10238" width="17.5703125" style="2" customWidth="1"/>
    <col min="10239" max="10482" width="9.140625" style="2"/>
    <col min="10483" max="10483" width="3.5703125" style="2" customWidth="1"/>
    <col min="10484" max="10484" width="96.85546875" style="2" customWidth="1"/>
    <col min="10485" max="10485" width="30.85546875" style="2" customWidth="1"/>
    <col min="10486" max="10486" width="12.5703125" style="2" customWidth="1"/>
    <col min="10487" max="10487" width="5.140625" style="2" customWidth="1"/>
    <col min="10488" max="10488" width="9.140625" style="2"/>
    <col min="10489" max="10489" width="4.85546875" style="2" customWidth="1"/>
    <col min="10490" max="10490" width="30.5703125" style="2" customWidth="1"/>
    <col min="10491" max="10491" width="33.85546875" style="2" customWidth="1"/>
    <col min="10492" max="10492" width="5.140625" style="2" customWidth="1"/>
    <col min="10493" max="10494" width="17.5703125" style="2" customWidth="1"/>
    <col min="10495" max="10738" width="9.140625" style="2"/>
    <col min="10739" max="10739" width="3.5703125" style="2" customWidth="1"/>
    <col min="10740" max="10740" width="96.85546875" style="2" customWidth="1"/>
    <col min="10741" max="10741" width="30.85546875" style="2" customWidth="1"/>
    <col min="10742" max="10742" width="12.5703125" style="2" customWidth="1"/>
    <col min="10743" max="10743" width="5.140625" style="2" customWidth="1"/>
    <col min="10744" max="10744" width="9.140625" style="2"/>
    <col min="10745" max="10745" width="4.85546875" style="2" customWidth="1"/>
    <col min="10746" max="10746" width="30.5703125" style="2" customWidth="1"/>
    <col min="10747" max="10747" width="33.85546875" style="2" customWidth="1"/>
    <col min="10748" max="10748" width="5.140625" style="2" customWidth="1"/>
    <col min="10749" max="10750" width="17.5703125" style="2" customWidth="1"/>
    <col min="10751" max="10994" width="9.140625" style="2"/>
    <col min="10995" max="10995" width="3.5703125" style="2" customWidth="1"/>
    <col min="10996" max="10996" width="96.85546875" style="2" customWidth="1"/>
    <col min="10997" max="10997" width="30.85546875" style="2" customWidth="1"/>
    <col min="10998" max="10998" width="12.5703125" style="2" customWidth="1"/>
    <col min="10999" max="10999" width="5.140625" style="2" customWidth="1"/>
    <col min="11000" max="11000" width="9.140625" style="2"/>
    <col min="11001" max="11001" width="4.85546875" style="2" customWidth="1"/>
    <col min="11002" max="11002" width="30.5703125" style="2" customWidth="1"/>
    <col min="11003" max="11003" width="33.85546875" style="2" customWidth="1"/>
    <col min="11004" max="11004" width="5.140625" style="2" customWidth="1"/>
    <col min="11005" max="11006" width="17.5703125" style="2" customWidth="1"/>
    <col min="11007" max="11250" width="9.140625" style="2"/>
    <col min="11251" max="11251" width="3.5703125" style="2" customWidth="1"/>
    <col min="11252" max="11252" width="96.85546875" style="2" customWidth="1"/>
    <col min="11253" max="11253" width="30.85546875" style="2" customWidth="1"/>
    <col min="11254" max="11254" width="12.5703125" style="2" customWidth="1"/>
    <col min="11255" max="11255" width="5.140625" style="2" customWidth="1"/>
    <col min="11256" max="11256" width="9.140625" style="2"/>
    <col min="11257" max="11257" width="4.85546875" style="2" customWidth="1"/>
    <col min="11258" max="11258" width="30.5703125" style="2" customWidth="1"/>
    <col min="11259" max="11259" width="33.85546875" style="2" customWidth="1"/>
    <col min="11260" max="11260" width="5.140625" style="2" customWidth="1"/>
    <col min="11261" max="11262" width="17.5703125" style="2" customWidth="1"/>
    <col min="11263" max="11506" width="9.140625" style="2"/>
    <col min="11507" max="11507" width="3.5703125" style="2" customWidth="1"/>
    <col min="11508" max="11508" width="96.85546875" style="2" customWidth="1"/>
    <col min="11509" max="11509" width="30.85546875" style="2" customWidth="1"/>
    <col min="11510" max="11510" width="12.5703125" style="2" customWidth="1"/>
    <col min="11511" max="11511" width="5.140625" style="2" customWidth="1"/>
    <col min="11512" max="11512" width="9.140625" style="2"/>
    <col min="11513" max="11513" width="4.85546875" style="2" customWidth="1"/>
    <col min="11514" max="11514" width="30.5703125" style="2" customWidth="1"/>
    <col min="11515" max="11515" width="33.85546875" style="2" customWidth="1"/>
    <col min="11516" max="11516" width="5.140625" style="2" customWidth="1"/>
    <col min="11517" max="11518" width="17.5703125" style="2" customWidth="1"/>
    <col min="11519" max="11762" width="9.140625" style="2"/>
    <col min="11763" max="11763" width="3.5703125" style="2" customWidth="1"/>
    <col min="11764" max="11764" width="96.85546875" style="2" customWidth="1"/>
    <col min="11765" max="11765" width="30.85546875" style="2" customWidth="1"/>
    <col min="11766" max="11766" width="12.5703125" style="2" customWidth="1"/>
    <col min="11767" max="11767" width="5.140625" style="2" customWidth="1"/>
    <col min="11768" max="11768" width="9.140625" style="2"/>
    <col min="11769" max="11769" width="4.85546875" style="2" customWidth="1"/>
    <col min="11770" max="11770" width="30.5703125" style="2" customWidth="1"/>
    <col min="11771" max="11771" width="33.85546875" style="2" customWidth="1"/>
    <col min="11772" max="11772" width="5.140625" style="2" customWidth="1"/>
    <col min="11773" max="11774" width="17.5703125" style="2" customWidth="1"/>
    <col min="11775" max="12018" width="9.140625" style="2"/>
    <col min="12019" max="12019" width="3.5703125" style="2" customWidth="1"/>
    <col min="12020" max="12020" width="96.85546875" style="2" customWidth="1"/>
    <col min="12021" max="12021" width="30.85546875" style="2" customWidth="1"/>
    <col min="12022" max="12022" width="12.5703125" style="2" customWidth="1"/>
    <col min="12023" max="12023" width="5.140625" style="2" customWidth="1"/>
    <col min="12024" max="12024" width="9.140625" style="2"/>
    <col min="12025" max="12025" width="4.85546875" style="2" customWidth="1"/>
    <col min="12026" max="12026" width="30.5703125" style="2" customWidth="1"/>
    <col min="12027" max="12027" width="33.85546875" style="2" customWidth="1"/>
    <col min="12028" max="12028" width="5.140625" style="2" customWidth="1"/>
    <col min="12029" max="12030" width="17.5703125" style="2" customWidth="1"/>
    <col min="12031" max="12274" width="9.140625" style="2"/>
    <col min="12275" max="12275" width="3.5703125" style="2" customWidth="1"/>
    <col min="12276" max="12276" width="96.85546875" style="2" customWidth="1"/>
    <col min="12277" max="12277" width="30.85546875" style="2" customWidth="1"/>
    <col min="12278" max="12278" width="12.5703125" style="2" customWidth="1"/>
    <col min="12279" max="12279" width="5.140625" style="2" customWidth="1"/>
    <col min="12280" max="12280" width="9.140625" style="2"/>
    <col min="12281" max="12281" width="4.85546875" style="2" customWidth="1"/>
    <col min="12282" max="12282" width="30.5703125" style="2" customWidth="1"/>
    <col min="12283" max="12283" width="33.85546875" style="2" customWidth="1"/>
    <col min="12284" max="12284" width="5.140625" style="2" customWidth="1"/>
    <col min="12285" max="12286" width="17.5703125" style="2" customWidth="1"/>
    <col min="12287" max="12530" width="9.140625" style="2"/>
    <col min="12531" max="12531" width="3.5703125" style="2" customWidth="1"/>
    <col min="12532" max="12532" width="96.85546875" style="2" customWidth="1"/>
    <col min="12533" max="12533" width="30.85546875" style="2" customWidth="1"/>
    <col min="12534" max="12534" width="12.5703125" style="2" customWidth="1"/>
    <col min="12535" max="12535" width="5.140625" style="2" customWidth="1"/>
    <col min="12536" max="12536" width="9.140625" style="2"/>
    <col min="12537" max="12537" width="4.85546875" style="2" customWidth="1"/>
    <col min="12538" max="12538" width="30.5703125" style="2" customWidth="1"/>
    <col min="12539" max="12539" width="33.85546875" style="2" customWidth="1"/>
    <col min="12540" max="12540" width="5.140625" style="2" customWidth="1"/>
    <col min="12541" max="12542" width="17.5703125" style="2" customWidth="1"/>
    <col min="12543" max="12786" width="9.140625" style="2"/>
    <col min="12787" max="12787" width="3.5703125" style="2" customWidth="1"/>
    <col min="12788" max="12788" width="96.85546875" style="2" customWidth="1"/>
    <col min="12789" max="12789" width="30.85546875" style="2" customWidth="1"/>
    <col min="12790" max="12790" width="12.5703125" style="2" customWidth="1"/>
    <col min="12791" max="12791" width="5.140625" style="2" customWidth="1"/>
    <col min="12792" max="12792" width="9.140625" style="2"/>
    <col min="12793" max="12793" width="4.85546875" style="2" customWidth="1"/>
    <col min="12794" max="12794" width="30.5703125" style="2" customWidth="1"/>
    <col min="12795" max="12795" width="33.85546875" style="2" customWidth="1"/>
    <col min="12796" max="12796" width="5.140625" style="2" customWidth="1"/>
    <col min="12797" max="12798" width="17.5703125" style="2" customWidth="1"/>
    <col min="12799" max="13042" width="9.140625" style="2"/>
    <col min="13043" max="13043" width="3.5703125" style="2" customWidth="1"/>
    <col min="13044" max="13044" width="96.85546875" style="2" customWidth="1"/>
    <col min="13045" max="13045" width="30.85546875" style="2" customWidth="1"/>
    <col min="13046" max="13046" width="12.5703125" style="2" customWidth="1"/>
    <col min="13047" max="13047" width="5.140625" style="2" customWidth="1"/>
    <col min="13048" max="13048" width="9.140625" style="2"/>
    <col min="13049" max="13049" width="4.85546875" style="2" customWidth="1"/>
    <col min="13050" max="13050" width="30.5703125" style="2" customWidth="1"/>
    <col min="13051" max="13051" width="33.85546875" style="2" customWidth="1"/>
    <col min="13052" max="13052" width="5.140625" style="2" customWidth="1"/>
    <col min="13053" max="13054" width="17.5703125" style="2" customWidth="1"/>
    <col min="13055" max="13298" width="9.140625" style="2"/>
    <col min="13299" max="13299" width="3.5703125" style="2" customWidth="1"/>
    <col min="13300" max="13300" width="96.85546875" style="2" customWidth="1"/>
    <col min="13301" max="13301" width="30.85546875" style="2" customWidth="1"/>
    <col min="13302" max="13302" width="12.5703125" style="2" customWidth="1"/>
    <col min="13303" max="13303" width="5.140625" style="2" customWidth="1"/>
    <col min="13304" max="13304" width="9.140625" style="2"/>
    <col min="13305" max="13305" width="4.85546875" style="2" customWidth="1"/>
    <col min="13306" max="13306" width="30.5703125" style="2" customWidth="1"/>
    <col min="13307" max="13307" width="33.85546875" style="2" customWidth="1"/>
    <col min="13308" max="13308" width="5.140625" style="2" customWidth="1"/>
    <col min="13309" max="13310" width="17.5703125" style="2" customWidth="1"/>
    <col min="13311" max="13554" width="9.140625" style="2"/>
    <col min="13555" max="13555" width="3.5703125" style="2" customWidth="1"/>
    <col min="13556" max="13556" width="96.85546875" style="2" customWidth="1"/>
    <col min="13557" max="13557" width="30.85546875" style="2" customWidth="1"/>
    <col min="13558" max="13558" width="12.5703125" style="2" customWidth="1"/>
    <col min="13559" max="13559" width="5.140625" style="2" customWidth="1"/>
    <col min="13560" max="13560" width="9.140625" style="2"/>
    <col min="13561" max="13561" width="4.85546875" style="2" customWidth="1"/>
    <col min="13562" max="13562" width="30.5703125" style="2" customWidth="1"/>
    <col min="13563" max="13563" width="33.85546875" style="2" customWidth="1"/>
    <col min="13564" max="13564" width="5.140625" style="2" customWidth="1"/>
    <col min="13565" max="13566" width="17.5703125" style="2" customWidth="1"/>
    <col min="13567" max="13810" width="9.140625" style="2"/>
    <col min="13811" max="13811" width="3.5703125" style="2" customWidth="1"/>
    <col min="13812" max="13812" width="96.85546875" style="2" customWidth="1"/>
    <col min="13813" max="13813" width="30.85546875" style="2" customWidth="1"/>
    <col min="13814" max="13814" width="12.5703125" style="2" customWidth="1"/>
    <col min="13815" max="13815" width="5.140625" style="2" customWidth="1"/>
    <col min="13816" max="13816" width="9.140625" style="2"/>
    <col min="13817" max="13817" width="4.85546875" style="2" customWidth="1"/>
    <col min="13818" max="13818" width="30.5703125" style="2" customWidth="1"/>
    <col min="13819" max="13819" width="33.85546875" style="2" customWidth="1"/>
    <col min="13820" max="13820" width="5.140625" style="2" customWidth="1"/>
    <col min="13821" max="13822" width="17.5703125" style="2" customWidth="1"/>
    <col min="13823" max="14066" width="9.140625" style="2"/>
    <col min="14067" max="14067" width="3.5703125" style="2" customWidth="1"/>
    <col min="14068" max="14068" width="96.85546875" style="2" customWidth="1"/>
    <col min="14069" max="14069" width="30.85546875" style="2" customWidth="1"/>
    <col min="14070" max="14070" width="12.5703125" style="2" customWidth="1"/>
    <col min="14071" max="14071" width="5.140625" style="2" customWidth="1"/>
    <col min="14072" max="14072" width="9.140625" style="2"/>
    <col min="14073" max="14073" width="4.85546875" style="2" customWidth="1"/>
    <col min="14074" max="14074" width="30.5703125" style="2" customWidth="1"/>
    <col min="14075" max="14075" width="33.85546875" style="2" customWidth="1"/>
    <col min="14076" max="14076" width="5.140625" style="2" customWidth="1"/>
    <col min="14077" max="14078" width="17.5703125" style="2" customWidth="1"/>
    <col min="14079" max="14322" width="9.140625" style="2"/>
    <col min="14323" max="14323" width="3.5703125" style="2" customWidth="1"/>
    <col min="14324" max="14324" width="96.85546875" style="2" customWidth="1"/>
    <col min="14325" max="14325" width="30.85546875" style="2" customWidth="1"/>
    <col min="14326" max="14326" width="12.5703125" style="2" customWidth="1"/>
    <col min="14327" max="14327" width="5.140625" style="2" customWidth="1"/>
    <col min="14328" max="14328" width="9.140625" style="2"/>
    <col min="14329" max="14329" width="4.85546875" style="2" customWidth="1"/>
    <col min="14330" max="14330" width="30.5703125" style="2" customWidth="1"/>
    <col min="14331" max="14331" width="33.85546875" style="2" customWidth="1"/>
    <col min="14332" max="14332" width="5.140625" style="2" customWidth="1"/>
    <col min="14333" max="14334" width="17.5703125" style="2" customWidth="1"/>
    <col min="14335" max="14578" width="9.140625" style="2"/>
    <col min="14579" max="14579" width="3.5703125" style="2" customWidth="1"/>
    <col min="14580" max="14580" width="96.85546875" style="2" customWidth="1"/>
    <col min="14581" max="14581" width="30.85546875" style="2" customWidth="1"/>
    <col min="14582" max="14582" width="12.5703125" style="2" customWidth="1"/>
    <col min="14583" max="14583" width="5.140625" style="2" customWidth="1"/>
    <col min="14584" max="14584" width="9.140625" style="2"/>
    <col min="14585" max="14585" width="4.85546875" style="2" customWidth="1"/>
    <col min="14586" max="14586" width="30.5703125" style="2" customWidth="1"/>
    <col min="14587" max="14587" width="33.85546875" style="2" customWidth="1"/>
    <col min="14588" max="14588" width="5.140625" style="2" customWidth="1"/>
    <col min="14589" max="14590" width="17.5703125" style="2" customWidth="1"/>
    <col min="14591" max="14834" width="9.140625" style="2"/>
    <col min="14835" max="14835" width="3.5703125" style="2" customWidth="1"/>
    <col min="14836" max="14836" width="96.85546875" style="2" customWidth="1"/>
    <col min="14837" max="14837" width="30.85546875" style="2" customWidth="1"/>
    <col min="14838" max="14838" width="12.5703125" style="2" customWidth="1"/>
    <col min="14839" max="14839" width="5.140625" style="2" customWidth="1"/>
    <col min="14840" max="14840" width="9.140625" style="2"/>
    <col min="14841" max="14841" width="4.85546875" style="2" customWidth="1"/>
    <col min="14842" max="14842" width="30.5703125" style="2" customWidth="1"/>
    <col min="14843" max="14843" width="33.85546875" style="2" customWidth="1"/>
    <col min="14844" max="14844" width="5.140625" style="2" customWidth="1"/>
    <col min="14845" max="14846" width="17.5703125" style="2" customWidth="1"/>
    <col min="14847" max="15090" width="9.140625" style="2"/>
    <col min="15091" max="15091" width="3.5703125" style="2" customWidth="1"/>
    <col min="15092" max="15092" width="96.85546875" style="2" customWidth="1"/>
    <col min="15093" max="15093" width="30.85546875" style="2" customWidth="1"/>
    <col min="15094" max="15094" width="12.5703125" style="2" customWidth="1"/>
    <col min="15095" max="15095" width="5.140625" style="2" customWidth="1"/>
    <col min="15096" max="15096" width="9.140625" style="2"/>
    <col min="15097" max="15097" width="4.85546875" style="2" customWidth="1"/>
    <col min="15098" max="15098" width="30.5703125" style="2" customWidth="1"/>
    <col min="15099" max="15099" width="33.85546875" style="2" customWidth="1"/>
    <col min="15100" max="15100" width="5.140625" style="2" customWidth="1"/>
    <col min="15101" max="15102" width="17.5703125" style="2" customWidth="1"/>
    <col min="15103" max="15346" width="9.140625" style="2"/>
    <col min="15347" max="15347" width="3.5703125" style="2" customWidth="1"/>
    <col min="15348" max="15348" width="96.85546875" style="2" customWidth="1"/>
    <col min="15349" max="15349" width="30.85546875" style="2" customWidth="1"/>
    <col min="15350" max="15350" width="12.5703125" style="2" customWidth="1"/>
    <col min="15351" max="15351" width="5.140625" style="2" customWidth="1"/>
    <col min="15352" max="15352" width="9.140625" style="2"/>
    <col min="15353" max="15353" width="4.85546875" style="2" customWidth="1"/>
    <col min="15354" max="15354" width="30.5703125" style="2" customWidth="1"/>
    <col min="15355" max="15355" width="33.85546875" style="2" customWidth="1"/>
    <col min="15356" max="15356" width="5.140625" style="2" customWidth="1"/>
    <col min="15357" max="15358" width="17.5703125" style="2" customWidth="1"/>
    <col min="15359" max="15602" width="9.140625" style="2"/>
    <col min="15603" max="15603" width="3.5703125" style="2" customWidth="1"/>
    <col min="15604" max="15604" width="96.85546875" style="2" customWidth="1"/>
    <col min="15605" max="15605" width="30.85546875" style="2" customWidth="1"/>
    <col min="15606" max="15606" width="12.5703125" style="2" customWidth="1"/>
    <col min="15607" max="15607" width="5.140625" style="2" customWidth="1"/>
    <col min="15608" max="15608" width="9.140625" style="2"/>
    <col min="15609" max="15609" width="4.85546875" style="2" customWidth="1"/>
    <col min="15610" max="15610" width="30.5703125" style="2" customWidth="1"/>
    <col min="15611" max="15611" width="33.85546875" style="2" customWidth="1"/>
    <col min="15612" max="15612" width="5.140625" style="2" customWidth="1"/>
    <col min="15613" max="15614" width="17.5703125" style="2" customWidth="1"/>
    <col min="15615" max="15858" width="9.140625" style="2"/>
    <col min="15859" max="15859" width="3.5703125" style="2" customWidth="1"/>
    <col min="15860" max="15860" width="96.85546875" style="2" customWidth="1"/>
    <col min="15861" max="15861" width="30.85546875" style="2" customWidth="1"/>
    <col min="15862" max="15862" width="12.5703125" style="2" customWidth="1"/>
    <col min="15863" max="15863" width="5.140625" style="2" customWidth="1"/>
    <col min="15864" max="15864" width="9.140625" style="2"/>
    <col min="15865" max="15865" width="4.85546875" style="2" customWidth="1"/>
    <col min="15866" max="15866" width="30.5703125" style="2" customWidth="1"/>
    <col min="15867" max="15867" width="33.85546875" style="2" customWidth="1"/>
    <col min="15868" max="15868" width="5.140625" style="2" customWidth="1"/>
    <col min="15869" max="15870" width="17.5703125" style="2" customWidth="1"/>
    <col min="15871" max="16114" width="9.140625" style="2"/>
    <col min="16115" max="16115" width="3.5703125" style="2" customWidth="1"/>
    <col min="16116" max="16116" width="96.85546875" style="2" customWidth="1"/>
    <col min="16117" max="16117" width="30.85546875" style="2" customWidth="1"/>
    <col min="16118" max="16118" width="12.5703125" style="2" customWidth="1"/>
    <col min="16119" max="16119" width="5.140625" style="2" customWidth="1"/>
    <col min="16120" max="16120" width="9.140625" style="2"/>
    <col min="16121" max="16121" width="4.85546875" style="2" customWidth="1"/>
    <col min="16122" max="16122" width="30.5703125" style="2" customWidth="1"/>
    <col min="16123" max="16123" width="33.85546875" style="2" customWidth="1"/>
    <col min="16124" max="16124" width="5.140625" style="2" customWidth="1"/>
    <col min="16125" max="16126" width="17.5703125" style="2" customWidth="1"/>
    <col min="16127" max="16384" width="9.140625" style="2"/>
  </cols>
  <sheetData>
    <row r="1" spans="1:3" ht="48" customHeight="1">
      <c r="A1" s="1"/>
      <c r="B1" s="147" t="s">
        <v>0</v>
      </c>
      <c r="C1" s="147"/>
    </row>
    <row r="2" spans="1:3">
      <c r="A2" s="3"/>
      <c r="B2" s="4" t="s">
        <v>1</v>
      </c>
      <c r="C2" s="5">
        <v>45317</v>
      </c>
    </row>
    <row r="3" spans="1:3">
      <c r="A3" s="3"/>
      <c r="B3" s="6" t="s">
        <v>2</v>
      </c>
    </row>
    <row r="4" spans="1:3" ht="25.5">
      <c r="A4" s="8"/>
      <c r="B4" s="9" t="str">
        <f>[22]И1!D13</f>
        <v>Субъект Российской Федерации</v>
      </c>
      <c r="C4" s="10" t="str">
        <f>[22]И1!E13</f>
        <v>Новосибирская область</v>
      </c>
    </row>
    <row r="5" spans="1:3" ht="38.25">
      <c r="A5" s="8"/>
      <c r="B5" s="9" t="str">
        <f>[22]И1!D14</f>
        <v>Тип муниципального образования (выберите из списка)</v>
      </c>
      <c r="C5" s="10" t="str">
        <f>[22]И1!E14</f>
        <v>село Раздольное, Новосибирский муниципальный район</v>
      </c>
    </row>
    <row r="6" spans="1:3">
      <c r="A6" s="8"/>
      <c r="B6" s="9" t="str">
        <f>IF([22]И1!E15="","",[22]И1!D15)</f>
        <v/>
      </c>
      <c r="C6" s="10" t="str">
        <f>IF([22]И1!E15="","",[22]И1!E15)</f>
        <v/>
      </c>
    </row>
    <row r="7" spans="1:3">
      <c r="A7" s="8"/>
      <c r="B7" s="9" t="str">
        <f>[22]И1!D16</f>
        <v>Код ОКТМО</v>
      </c>
      <c r="C7" s="11" t="str">
        <f>[22]И1!E16</f>
        <v xml:space="preserve"> 50640438101</v>
      </c>
    </row>
    <row r="8" spans="1:3">
      <c r="A8" s="8"/>
      <c r="B8" s="12" t="str">
        <f>[22]И1!D17</f>
        <v>Система теплоснабжения</v>
      </c>
      <c r="C8" s="13">
        <f>[22]И1!E17</f>
        <v>0</v>
      </c>
    </row>
    <row r="9" spans="1:3">
      <c r="A9" s="8"/>
      <c r="B9" s="9" t="str">
        <f>[22]И1!D8</f>
        <v>Период регулирования (i)-й</v>
      </c>
      <c r="C9" s="14">
        <f>[22]И1!E8</f>
        <v>2024</v>
      </c>
    </row>
    <row r="10" spans="1:3">
      <c r="A10" s="8"/>
      <c r="B10" s="9" t="str">
        <f>[22]И1!D9</f>
        <v>Период регулирования (i-1)-й</v>
      </c>
      <c r="C10" s="14">
        <f>[22]И1!E9</f>
        <v>2023</v>
      </c>
    </row>
    <row r="11" spans="1:3">
      <c r="A11" s="8"/>
      <c r="B11" s="9" t="str">
        <f>[22]И1!D10</f>
        <v>Период регулирования (i-2)-й</v>
      </c>
      <c r="C11" s="14">
        <f>[22]И1!E10</f>
        <v>2022</v>
      </c>
    </row>
    <row r="12" spans="1:3">
      <c r="A12" s="8"/>
      <c r="B12" s="9" t="str">
        <f>[22]И1!D11</f>
        <v>Базовый год (б)</v>
      </c>
      <c r="C12" s="14">
        <f>[22]И1!E11</f>
        <v>2019</v>
      </c>
    </row>
    <row r="13" spans="1:3" ht="38.25">
      <c r="A13" s="8"/>
      <c r="B13" s="9" t="str">
        <f>[22]И1!D18</f>
        <v>Вид топлива, использование которого преобладает в системе теплоснабжения</v>
      </c>
      <c r="C13" s="15" t="str">
        <f>[22]С1.1!E13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3615.1010444902022</v>
      </c>
    </row>
    <row r="18" spans="1:3" ht="42.75">
      <c r="A18" s="22" t="s">
        <v>8</v>
      </c>
      <c r="B18" s="25" t="s">
        <v>9</v>
      </c>
      <c r="C18" s="26">
        <f>[22]С1!F12</f>
        <v>605.91260002061301</v>
      </c>
    </row>
    <row r="19" spans="1:3" ht="42.75">
      <c r="A19" s="22" t="s">
        <v>10</v>
      </c>
      <c r="B19" s="25" t="s">
        <v>11</v>
      </c>
      <c r="C19" s="26">
        <f>[22]С2!F12</f>
        <v>1988.145782203278</v>
      </c>
    </row>
    <row r="20" spans="1:3" ht="30">
      <c r="A20" s="22" t="s">
        <v>12</v>
      </c>
      <c r="B20" s="25" t="s">
        <v>13</v>
      </c>
      <c r="C20" s="26">
        <f>[22]С3!F12</f>
        <v>472.46007696916996</v>
      </c>
    </row>
    <row r="21" spans="1:3" ht="42.75">
      <c r="A21" s="22" t="s">
        <v>14</v>
      </c>
      <c r="B21" s="25" t="s">
        <v>15</v>
      </c>
      <c r="C21" s="26">
        <f>[22]С4!F12</f>
        <v>477.6982510914508</v>
      </c>
    </row>
    <row r="22" spans="1:3" ht="30">
      <c r="A22" s="22" t="s">
        <v>16</v>
      </c>
      <c r="B22" s="25" t="s">
        <v>17</v>
      </c>
      <c r="C22" s="26">
        <f>[22]С5!F12</f>
        <v>70.884334205690237</v>
      </c>
    </row>
    <row r="23" spans="1:3" ht="43.5" thickBot="1">
      <c r="A23" s="27" t="s">
        <v>18</v>
      </c>
      <c r="B23" s="141" t="s">
        <v>19</v>
      </c>
      <c r="C23" s="28" t="str">
        <f>[22]С6!F12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[22]С1.1!E16</f>
        <v>5100</v>
      </c>
    </row>
    <row r="29" spans="1:3" ht="42.75">
      <c r="A29" s="22" t="s">
        <v>10</v>
      </c>
      <c r="B29" s="33" t="s">
        <v>22</v>
      </c>
      <c r="C29" s="34">
        <f>[22]С1.1!E27</f>
        <v>2722.3916097589499</v>
      </c>
    </row>
    <row r="30" spans="1:3" ht="17.25">
      <c r="A30" s="22" t="s">
        <v>12</v>
      </c>
      <c r="B30" s="33" t="s">
        <v>23</v>
      </c>
      <c r="C30" s="35">
        <f>[22]С1.1!E19</f>
        <v>-0.19900000000000001</v>
      </c>
    </row>
    <row r="31" spans="1:3" ht="17.25">
      <c r="A31" s="22" t="s">
        <v>14</v>
      </c>
      <c r="B31" s="33" t="s">
        <v>24</v>
      </c>
      <c r="C31" s="35">
        <f>[22]С1.1!E20</f>
        <v>5.7000000000000002E-2</v>
      </c>
    </row>
    <row r="32" spans="1:3" ht="30">
      <c r="A32" s="22" t="s">
        <v>16</v>
      </c>
      <c r="B32" s="36" t="s">
        <v>25</v>
      </c>
      <c r="C32" s="37">
        <f>[22]С1!F13</f>
        <v>176.4</v>
      </c>
    </row>
    <row r="33" spans="1:3">
      <c r="A33" s="22" t="s">
        <v>18</v>
      </c>
      <c r="B33" s="36" t="s">
        <v>26</v>
      </c>
      <c r="C33" s="38">
        <f>[22]С1!F16</f>
        <v>7000</v>
      </c>
    </row>
    <row r="34" spans="1:3" ht="14.25">
      <c r="A34" s="22" t="s">
        <v>27</v>
      </c>
      <c r="B34" s="39" t="s">
        <v>28</v>
      </c>
      <c r="C34" s="40">
        <f>[22]С1!F17</f>
        <v>0.72857142857142854</v>
      </c>
    </row>
    <row r="35" spans="1:3" ht="15.75">
      <c r="A35" s="41" t="s">
        <v>29</v>
      </c>
      <c r="B35" s="42" t="s">
        <v>30</v>
      </c>
      <c r="C35" s="40">
        <f>[22]С1!F20</f>
        <v>21.588411179999994</v>
      </c>
    </row>
    <row r="36" spans="1:3" ht="15.75">
      <c r="A36" s="41" t="s">
        <v>31</v>
      </c>
      <c r="B36" s="43" t="s">
        <v>32</v>
      </c>
      <c r="C36" s="40">
        <f>[22]С1!F21</f>
        <v>20.818139999999996</v>
      </c>
    </row>
    <row r="37" spans="1:3" ht="14.25">
      <c r="A37" s="41" t="s">
        <v>33</v>
      </c>
      <c r="B37" s="44" t="s">
        <v>34</v>
      </c>
      <c r="C37" s="40">
        <f>[22]С1!F22</f>
        <v>1.0369999999999999</v>
      </c>
    </row>
    <row r="38" spans="1:3" ht="53.25" thickBot="1">
      <c r="A38" s="27" t="s">
        <v>35</v>
      </c>
      <c r="B38" s="45" t="s">
        <v>36</v>
      </c>
      <c r="C38" s="46">
        <f>[22]С1!F23</f>
        <v>1.0469999999999999</v>
      </c>
    </row>
    <row r="39" spans="1:3" ht="13.5" thickBot="1">
      <c r="A39" s="47"/>
      <c r="B39" s="48"/>
      <c r="C39" s="49"/>
    </row>
    <row r="40" spans="1:3" ht="30" customHeight="1">
      <c r="A40" s="50" t="s">
        <v>37</v>
      </c>
      <c r="B40" s="145" t="s">
        <v>38</v>
      </c>
      <c r="C40" s="145"/>
    </row>
    <row r="41" spans="1:3" ht="25.5">
      <c r="A41" s="22" t="s">
        <v>39</v>
      </c>
      <c r="B41" s="36" t="s">
        <v>40</v>
      </c>
      <c r="C41" s="51" t="str">
        <f>[22]С2.1!E12</f>
        <v>V</v>
      </c>
    </row>
    <row r="42" spans="1:3" ht="25.5">
      <c r="A42" s="22" t="s">
        <v>41</v>
      </c>
      <c r="B42" s="33" t="s">
        <v>42</v>
      </c>
      <c r="C42" s="51" t="str">
        <f>[22]С2.1!E13</f>
        <v>6 и менее баллов</v>
      </c>
    </row>
    <row r="43" spans="1:3" ht="25.5">
      <c r="A43" s="22" t="s">
        <v>43</v>
      </c>
      <c r="B43" s="33" t="s">
        <v>44</v>
      </c>
      <c r="C43" s="51" t="str">
        <f>[22]С2.1!E14</f>
        <v>от 200 до 500</v>
      </c>
    </row>
    <row r="44" spans="1:3" ht="25.5">
      <c r="A44" s="22" t="s">
        <v>45</v>
      </c>
      <c r="B44" s="33" t="s">
        <v>46</v>
      </c>
      <c r="C44" s="52" t="str">
        <f>[22]С2.1!E15</f>
        <v>нет</v>
      </c>
    </row>
    <row r="45" spans="1:3" ht="30">
      <c r="A45" s="22" t="s">
        <v>47</v>
      </c>
      <c r="B45" s="33" t="s">
        <v>48</v>
      </c>
      <c r="C45" s="34">
        <f>[22]С2!F18</f>
        <v>35106.652004551666</v>
      </c>
    </row>
    <row r="46" spans="1:3" ht="30">
      <c r="A46" s="22" t="s">
        <v>49</v>
      </c>
      <c r="B46" s="53" t="s">
        <v>50</v>
      </c>
      <c r="C46" s="34">
        <f>IF([22]С2!F19&gt;0,[22]С2!F19,[22]С2!F20)</f>
        <v>23441.524932855718</v>
      </c>
    </row>
    <row r="47" spans="1:3" ht="25.5">
      <c r="A47" s="22" t="s">
        <v>51</v>
      </c>
      <c r="B47" s="54" t="s">
        <v>52</v>
      </c>
      <c r="C47" s="34">
        <f>[22]С2.1!E19</f>
        <v>-37</v>
      </c>
    </row>
    <row r="48" spans="1:3" ht="25.5">
      <c r="A48" s="22" t="s">
        <v>53</v>
      </c>
      <c r="B48" s="54" t="s">
        <v>54</v>
      </c>
      <c r="C48" s="34" t="str">
        <f>[22]С2.1!E22</f>
        <v>нет</v>
      </c>
    </row>
    <row r="49" spans="1:3" ht="38.25">
      <c r="A49" s="22" t="s">
        <v>55</v>
      </c>
      <c r="B49" s="55" t="s">
        <v>56</v>
      </c>
      <c r="C49" s="34">
        <f>[22]С2.2!E10</f>
        <v>1287</v>
      </c>
    </row>
    <row r="50" spans="1:3" ht="25.5">
      <c r="A50" s="22" t="s">
        <v>57</v>
      </c>
      <c r="B50" s="56" t="s">
        <v>58</v>
      </c>
      <c r="C50" s="34">
        <f>[22]С2.2!E12</f>
        <v>5.97</v>
      </c>
    </row>
    <row r="51" spans="1:3" ht="52.5">
      <c r="A51" s="22" t="s">
        <v>59</v>
      </c>
      <c r="B51" s="57" t="s">
        <v>60</v>
      </c>
      <c r="C51" s="34">
        <f>[22]С2.2!E13</f>
        <v>1</v>
      </c>
    </row>
    <row r="52" spans="1:3" ht="27.75">
      <c r="A52" s="22" t="s">
        <v>61</v>
      </c>
      <c r="B52" s="56" t="s">
        <v>62</v>
      </c>
      <c r="C52" s="34">
        <f>[22]С2.2!E14</f>
        <v>12104</v>
      </c>
    </row>
    <row r="53" spans="1:3" ht="25.5">
      <c r="A53" s="22" t="s">
        <v>63</v>
      </c>
      <c r="B53" s="57" t="s">
        <v>64</v>
      </c>
      <c r="C53" s="35">
        <f>[22]С2.2!E15</f>
        <v>4.8000000000000001E-2</v>
      </c>
    </row>
    <row r="54" spans="1:3">
      <c r="A54" s="22" t="s">
        <v>65</v>
      </c>
      <c r="B54" s="57" t="s">
        <v>66</v>
      </c>
      <c r="C54" s="34">
        <f>[22]С2.2!E16</f>
        <v>1</v>
      </c>
    </row>
    <row r="55" spans="1:3" ht="15.75">
      <c r="A55" s="22" t="s">
        <v>67</v>
      </c>
      <c r="B55" s="58" t="s">
        <v>68</v>
      </c>
      <c r="C55" s="34">
        <f>[22]С2!F21</f>
        <v>1</v>
      </c>
    </row>
    <row r="56" spans="1:3" ht="30">
      <c r="A56" s="59" t="s">
        <v>69</v>
      </c>
      <c r="B56" s="33" t="s">
        <v>70</v>
      </c>
      <c r="C56" s="34">
        <f>[22]С2!F13</f>
        <v>183796.83936385796</v>
      </c>
    </row>
    <row r="57" spans="1:3" ht="30">
      <c r="A57" s="59" t="s">
        <v>71</v>
      </c>
      <c r="B57" s="58" t="s">
        <v>72</v>
      </c>
      <c r="C57" s="34">
        <f>[22]С2!F14</f>
        <v>113455</v>
      </c>
    </row>
    <row r="58" spans="1:3" ht="15.75">
      <c r="A58" s="59" t="s">
        <v>73</v>
      </c>
      <c r="B58" s="60" t="s">
        <v>74</v>
      </c>
      <c r="C58" s="40">
        <f>[22]С2!F15</f>
        <v>1.071</v>
      </c>
    </row>
    <row r="59" spans="1:3" ht="15.75">
      <c r="A59" s="59" t="s">
        <v>75</v>
      </c>
      <c r="B59" s="60" t="s">
        <v>76</v>
      </c>
      <c r="C59" s="40">
        <f>[22]С2!F16</f>
        <v>1</v>
      </c>
    </row>
    <row r="60" spans="1:3" ht="17.25">
      <c r="A60" s="59" t="s">
        <v>77</v>
      </c>
      <c r="B60" s="58" t="s">
        <v>78</v>
      </c>
      <c r="C60" s="34">
        <f>[22]С2!F17</f>
        <v>1.01</v>
      </c>
    </row>
    <row r="61" spans="1:3" s="63" customFormat="1" ht="14.25">
      <c r="A61" s="59" t="s">
        <v>79</v>
      </c>
      <c r="B61" s="61" t="s">
        <v>80</v>
      </c>
      <c r="C61" s="62">
        <f>[22]С2!F33</f>
        <v>10</v>
      </c>
    </row>
    <row r="62" spans="1:3" ht="30">
      <c r="A62" s="59" t="s">
        <v>81</v>
      </c>
      <c r="B62" s="64" t="s">
        <v>82</v>
      </c>
      <c r="C62" s="34">
        <f>[22]С2!F26</f>
        <v>1189.8488364193513</v>
      </c>
    </row>
    <row r="63" spans="1:3" ht="17.25">
      <c r="A63" s="59" t="s">
        <v>83</v>
      </c>
      <c r="B63" s="53" t="s">
        <v>84</v>
      </c>
      <c r="C63" s="34">
        <f>[22]С2!F27</f>
        <v>0.18916419899999998</v>
      </c>
    </row>
    <row r="64" spans="1:3" ht="17.25">
      <c r="A64" s="59" t="s">
        <v>85</v>
      </c>
      <c r="B64" s="58" t="s">
        <v>86</v>
      </c>
      <c r="C64" s="62">
        <f>[22]С2!F28</f>
        <v>4200</v>
      </c>
    </row>
    <row r="65" spans="1:3" ht="42.75">
      <c r="A65" s="59" t="s">
        <v>87</v>
      </c>
      <c r="B65" s="33" t="s">
        <v>88</v>
      </c>
      <c r="C65" s="34">
        <f>[22]С2!F22</f>
        <v>38698.422798410109</v>
      </c>
    </row>
    <row r="66" spans="1:3" ht="30">
      <c r="A66" s="59" t="s">
        <v>89</v>
      </c>
      <c r="B66" s="60" t="s">
        <v>90</v>
      </c>
      <c r="C66" s="34">
        <f>[22]С2!F23</f>
        <v>1990</v>
      </c>
    </row>
    <row r="67" spans="1:3" ht="30">
      <c r="A67" s="59" t="s">
        <v>91</v>
      </c>
      <c r="B67" s="53" t="s">
        <v>92</v>
      </c>
      <c r="C67" s="34">
        <f>[22]С2.1!E27</f>
        <v>14307.876789999998</v>
      </c>
    </row>
    <row r="68" spans="1:3" ht="38.25">
      <c r="A68" s="59" t="s">
        <v>93</v>
      </c>
      <c r="B68" s="65" t="s">
        <v>94</v>
      </c>
      <c r="C68" s="52">
        <f>[22]С2.3!E21</f>
        <v>0</v>
      </c>
    </row>
    <row r="69" spans="1:3" ht="25.5">
      <c r="A69" s="59" t="s">
        <v>95</v>
      </c>
      <c r="B69" s="66" t="s">
        <v>96</v>
      </c>
      <c r="C69" s="67">
        <f>[22]С2.3!E11</f>
        <v>9.89</v>
      </c>
    </row>
    <row r="70" spans="1:3" ht="25.5">
      <c r="A70" s="59" t="s">
        <v>97</v>
      </c>
      <c r="B70" s="66" t="s">
        <v>98</v>
      </c>
      <c r="C70" s="62">
        <f>[22]С2.3!E13</f>
        <v>300</v>
      </c>
    </row>
    <row r="71" spans="1:3" ht="25.5">
      <c r="A71" s="59" t="s">
        <v>99</v>
      </c>
      <c r="B71" s="65" t="s">
        <v>100</v>
      </c>
      <c r="C71" s="68">
        <f>IF([22]С2.3!E22&gt;0,[22]С2.3!E22,[22]С2.3!E14)</f>
        <v>61211</v>
      </c>
    </row>
    <row r="72" spans="1:3" ht="38.25">
      <c r="A72" s="59" t="s">
        <v>101</v>
      </c>
      <c r="B72" s="65" t="s">
        <v>102</v>
      </c>
      <c r="C72" s="68">
        <f>IF([22]С2.3!E23&gt;0,[22]С2.3!E23,[22]С2.3!E15)</f>
        <v>45675</v>
      </c>
    </row>
    <row r="73" spans="1:3" ht="30">
      <c r="A73" s="59" t="s">
        <v>103</v>
      </c>
      <c r="B73" s="53" t="s">
        <v>104</v>
      </c>
      <c r="C73" s="34">
        <f>[22]С2.1!E28</f>
        <v>9541.9567200000001</v>
      </c>
    </row>
    <row r="74" spans="1:3" ht="38.25">
      <c r="A74" s="59" t="s">
        <v>105</v>
      </c>
      <c r="B74" s="65" t="s">
        <v>106</v>
      </c>
      <c r="C74" s="52">
        <f>[22]С2.3!E25</f>
        <v>0</v>
      </c>
    </row>
    <row r="75" spans="1:3" ht="25.5">
      <c r="A75" s="59" t="s">
        <v>107</v>
      </c>
      <c r="B75" s="66" t="s">
        <v>108</v>
      </c>
      <c r="C75" s="67">
        <f>[22]С2.3!E12</f>
        <v>0.56000000000000005</v>
      </c>
    </row>
    <row r="76" spans="1:3" ht="25.5">
      <c r="A76" s="59" t="s">
        <v>109</v>
      </c>
      <c r="B76" s="66" t="s">
        <v>98</v>
      </c>
      <c r="C76" s="62">
        <f>[22]С2.3!E13</f>
        <v>300</v>
      </c>
    </row>
    <row r="77" spans="1:3" ht="25.5">
      <c r="A77" s="59" t="s">
        <v>110</v>
      </c>
      <c r="B77" s="69" t="s">
        <v>111</v>
      </c>
      <c r="C77" s="68">
        <f>IF([22]С2.3!E26&gt;0,[22]С2.3!E26,[22]С2.3!E16)</f>
        <v>65637</v>
      </c>
    </row>
    <row r="78" spans="1:3" ht="38.25">
      <c r="A78" s="59" t="s">
        <v>112</v>
      </c>
      <c r="B78" s="69" t="s">
        <v>113</v>
      </c>
      <c r="C78" s="68">
        <f>IF([22]С2.3!E27&gt;0,[22]С2.3!E27,[22]С2.3!E17)</f>
        <v>31684</v>
      </c>
    </row>
    <row r="79" spans="1:3" ht="17.25">
      <c r="A79" s="59" t="s">
        <v>114</v>
      </c>
      <c r="B79" s="33" t="s">
        <v>115</v>
      </c>
      <c r="C79" s="35">
        <f>[22]С2!F29</f>
        <v>9.5962865259740182E-2</v>
      </c>
    </row>
    <row r="80" spans="1:3" ht="30">
      <c r="A80" s="59" t="s">
        <v>116</v>
      </c>
      <c r="B80" s="53" t="s">
        <v>117</v>
      </c>
      <c r="C80" s="70">
        <f>[22]С2!F30</f>
        <v>8.4029304029304031E-2</v>
      </c>
    </row>
    <row r="81" spans="1:3" ht="17.25">
      <c r="A81" s="59" t="s">
        <v>118</v>
      </c>
      <c r="B81" s="71" t="s">
        <v>119</v>
      </c>
      <c r="C81" s="35">
        <f>[22]С2!F31</f>
        <v>0.13880000000000001</v>
      </c>
    </row>
    <row r="82" spans="1:3" s="63" customFormat="1" ht="18" thickBot="1">
      <c r="A82" s="72" t="s">
        <v>120</v>
      </c>
      <c r="B82" s="73" t="s">
        <v>121</v>
      </c>
      <c r="C82" s="74">
        <f>[22]С2!F32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[22]С3!F14</f>
        <v>6054.0090724656739</v>
      </c>
    </row>
    <row r="86" spans="1:3" s="63" customFormat="1" ht="42.75">
      <c r="A86" s="77" t="s">
        <v>126</v>
      </c>
      <c r="B86" s="53" t="s">
        <v>127</v>
      </c>
      <c r="C86" s="78">
        <f>[22]С3!F15</f>
        <v>0.2</v>
      </c>
    </row>
    <row r="87" spans="1:3" s="63" customFormat="1" ht="14.25">
      <c r="A87" s="77" t="s">
        <v>128</v>
      </c>
      <c r="B87" s="79" t="s">
        <v>129</v>
      </c>
      <c r="C87" s="62">
        <f>[22]С3!F18</f>
        <v>15</v>
      </c>
    </row>
    <row r="88" spans="1:3" s="63" customFormat="1" ht="17.25">
      <c r="A88" s="77" t="s">
        <v>130</v>
      </c>
      <c r="B88" s="33" t="s">
        <v>131</v>
      </c>
      <c r="C88" s="34">
        <f>[22]С3!F19</f>
        <v>3778.1614077800232</v>
      </c>
    </row>
    <row r="89" spans="1:3" s="63" customFormat="1" ht="55.5">
      <c r="A89" s="77" t="s">
        <v>132</v>
      </c>
      <c r="B89" s="53" t="s">
        <v>133</v>
      </c>
      <c r="C89" s="80">
        <f>[22]С3!F20</f>
        <v>2.1999999999999999E-2</v>
      </c>
    </row>
    <row r="90" spans="1:3" s="63" customFormat="1" ht="14.25">
      <c r="A90" s="77" t="s">
        <v>134</v>
      </c>
      <c r="B90" s="58" t="s">
        <v>80</v>
      </c>
      <c r="C90" s="62">
        <f>[22]С3!F21</f>
        <v>10</v>
      </c>
    </row>
    <row r="91" spans="1:3" s="63" customFormat="1" ht="17.25">
      <c r="A91" s="77" t="s">
        <v>135</v>
      </c>
      <c r="B91" s="33" t="s">
        <v>136</v>
      </c>
      <c r="C91" s="34">
        <f>[22]С3!F22</f>
        <v>3.5695465092580538</v>
      </c>
    </row>
    <row r="92" spans="1:3" s="63" customFormat="1" ht="55.5">
      <c r="A92" s="77" t="s">
        <v>137</v>
      </c>
      <c r="B92" s="53" t="s">
        <v>138</v>
      </c>
      <c r="C92" s="80">
        <f>[22]С3!F23</f>
        <v>3.0000000000000001E-3</v>
      </c>
    </row>
    <row r="93" spans="1:3" s="63" customFormat="1" ht="27.75" thickBot="1">
      <c r="A93" s="81" t="s">
        <v>139</v>
      </c>
      <c r="B93" s="82" t="s">
        <v>140</v>
      </c>
      <c r="C93" s="83">
        <f>[22]С3!F24</f>
        <v>1189.8488364193513</v>
      </c>
    </row>
    <row r="94" spans="1:3" ht="13.5" thickBot="1">
      <c r="A94" s="47"/>
      <c r="B94" s="75"/>
      <c r="C94" s="15"/>
    </row>
    <row r="95" spans="1:3" ht="30" customHeight="1">
      <c r="A95" s="84" t="s">
        <v>141</v>
      </c>
      <c r="B95" s="145" t="s">
        <v>142</v>
      </c>
      <c r="C95" s="145"/>
    </row>
    <row r="96" spans="1:3" ht="30">
      <c r="A96" s="59" t="s">
        <v>143</v>
      </c>
      <c r="B96" s="33" t="s">
        <v>144</v>
      </c>
      <c r="C96" s="34">
        <f>[22]С4!F16</f>
        <v>1652.5</v>
      </c>
    </row>
    <row r="97" spans="1:3" ht="30">
      <c r="A97" s="59" t="s">
        <v>145</v>
      </c>
      <c r="B97" s="58" t="s">
        <v>146</v>
      </c>
      <c r="C97" s="34">
        <f>[22]С4!F17</f>
        <v>73547</v>
      </c>
    </row>
    <row r="98" spans="1:3" ht="17.25">
      <c r="A98" s="59" t="s">
        <v>147</v>
      </c>
      <c r="B98" s="58" t="s">
        <v>148</v>
      </c>
      <c r="C98" s="40">
        <f>[22]С4!F18</f>
        <v>0.02</v>
      </c>
    </row>
    <row r="99" spans="1:3" ht="30">
      <c r="A99" s="59" t="s">
        <v>149</v>
      </c>
      <c r="B99" s="58" t="s">
        <v>150</v>
      </c>
      <c r="C99" s="34">
        <f>[22]С4!F19</f>
        <v>12104</v>
      </c>
    </row>
    <row r="100" spans="1:3" ht="31.5">
      <c r="A100" s="59" t="s">
        <v>151</v>
      </c>
      <c r="B100" s="58" t="s">
        <v>152</v>
      </c>
      <c r="C100" s="40">
        <f>[22]С4!F20</f>
        <v>1.4999999999999999E-2</v>
      </c>
    </row>
    <row r="101" spans="1:3" ht="30">
      <c r="A101" s="59" t="s">
        <v>153</v>
      </c>
      <c r="B101" s="33" t="s">
        <v>154</v>
      </c>
      <c r="C101" s="34">
        <f>[22]С4!F21</f>
        <v>1933.1949342509995</v>
      </c>
    </row>
    <row r="102" spans="1:3" ht="24" customHeight="1">
      <c r="A102" s="59" t="s">
        <v>155</v>
      </c>
      <c r="B102" s="53" t="s">
        <v>156</v>
      </c>
      <c r="C102" s="85">
        <f>IF([22]С4.2!F8="да",[22]С4.2!D21,[22]С4.2!D15)</f>
        <v>0</v>
      </c>
    </row>
    <row r="103" spans="1:3" ht="68.25">
      <c r="A103" s="59" t="s">
        <v>157</v>
      </c>
      <c r="B103" s="53" t="s">
        <v>158</v>
      </c>
      <c r="C103" s="34">
        <f>[22]С4!F22</f>
        <v>3.6112641666666665</v>
      </c>
    </row>
    <row r="104" spans="1:3" ht="30">
      <c r="A104" s="59" t="s">
        <v>159</v>
      </c>
      <c r="B104" s="58" t="s">
        <v>160</v>
      </c>
      <c r="C104" s="34">
        <f>[22]С4!F23</f>
        <v>180</v>
      </c>
    </row>
    <row r="105" spans="1:3" ht="14.25">
      <c r="A105" s="59" t="s">
        <v>161</v>
      </c>
      <c r="B105" s="53" t="s">
        <v>162</v>
      </c>
      <c r="C105" s="34">
        <f>[22]С4!F24</f>
        <v>8497.1999999999989</v>
      </c>
    </row>
    <row r="106" spans="1:3" ht="14.25">
      <c r="A106" s="59" t="s">
        <v>163</v>
      </c>
      <c r="B106" s="58" t="s">
        <v>164</v>
      </c>
      <c r="C106" s="40">
        <f>[22]С4!F25</f>
        <v>0.35</v>
      </c>
    </row>
    <row r="107" spans="1:3" ht="17.25">
      <c r="A107" s="59" t="s">
        <v>165</v>
      </c>
      <c r="B107" s="33" t="s">
        <v>166</v>
      </c>
      <c r="C107" s="34">
        <f>[22]С4!F26</f>
        <v>94.420709999999985</v>
      </c>
    </row>
    <row r="108" spans="1:3" ht="25.5">
      <c r="A108" s="59" t="s">
        <v>167</v>
      </c>
      <c r="B108" s="53" t="s">
        <v>94</v>
      </c>
      <c r="C108" s="85">
        <f>[22]С4.3!E16</f>
        <v>0</v>
      </c>
    </row>
    <row r="109" spans="1:3" ht="25.5">
      <c r="A109" s="59" t="s">
        <v>168</v>
      </c>
      <c r="B109" s="53" t="s">
        <v>169</v>
      </c>
      <c r="C109" s="34">
        <f>[22]С4.3!E17</f>
        <v>25.77</v>
      </c>
    </row>
    <row r="110" spans="1:3" ht="38.25">
      <c r="A110" s="59" t="s">
        <v>170</v>
      </c>
      <c r="B110" s="53" t="s">
        <v>106</v>
      </c>
      <c r="C110" s="85">
        <f>[22]С4.3!E18</f>
        <v>0</v>
      </c>
    </row>
    <row r="111" spans="1:3">
      <c r="A111" s="59" t="s">
        <v>171</v>
      </c>
      <c r="B111" s="53" t="s">
        <v>172</v>
      </c>
      <c r="C111" s="34">
        <f>[22]С4.3!E19</f>
        <v>19.829999999999998</v>
      </c>
    </row>
    <row r="112" spans="1:3">
      <c r="A112" s="59" t="s">
        <v>173</v>
      </c>
      <c r="B112" s="58" t="s">
        <v>174</v>
      </c>
      <c r="C112" s="34">
        <f>[22]С4.3!E11</f>
        <v>1871</v>
      </c>
    </row>
    <row r="113" spans="1:3">
      <c r="A113" s="59" t="s">
        <v>175</v>
      </c>
      <c r="B113" s="58" t="s">
        <v>176</v>
      </c>
      <c r="C113" s="52">
        <f>[22]С4.3!E12</f>
        <v>1636</v>
      </c>
    </row>
    <row r="114" spans="1:3">
      <c r="A114" s="59" t="s">
        <v>177</v>
      </c>
      <c r="B114" s="58" t="s">
        <v>178</v>
      </c>
      <c r="C114" s="52">
        <f>[22]С4.3!E13</f>
        <v>204</v>
      </c>
    </row>
    <row r="115" spans="1:3" ht="30">
      <c r="A115" s="59" t="s">
        <v>179</v>
      </c>
      <c r="B115" s="33" t="s">
        <v>180</v>
      </c>
      <c r="C115" s="34">
        <f>[22]С4!F27</f>
        <v>1851.0127650478018</v>
      </c>
    </row>
    <row r="116" spans="1:3" ht="25.5">
      <c r="A116" s="59" t="s">
        <v>181</v>
      </c>
      <c r="B116" s="53" t="s">
        <v>182</v>
      </c>
      <c r="C116" s="34">
        <f>[22]С4!F28</f>
        <v>1421.6687903592947</v>
      </c>
    </row>
    <row r="117" spans="1:3" ht="42.75">
      <c r="A117" s="59" t="s">
        <v>183</v>
      </c>
      <c r="B117" s="53" t="s">
        <v>184</v>
      </c>
      <c r="C117" s="34">
        <f>[22]С4!F29</f>
        <v>429.3439746885071</v>
      </c>
    </row>
    <row r="118" spans="1:3" ht="30">
      <c r="A118" s="59" t="s">
        <v>185</v>
      </c>
      <c r="B118" s="39" t="s">
        <v>186</v>
      </c>
      <c r="C118" s="34">
        <f>[22]С4!F30</f>
        <v>1661.2238651800171</v>
      </c>
    </row>
    <row r="119" spans="1:3" ht="42.75">
      <c r="A119" s="59" t="s">
        <v>187</v>
      </c>
      <c r="B119" s="86" t="s">
        <v>188</v>
      </c>
      <c r="C119" s="34">
        <f>[22]С4!F33</f>
        <v>900.01881444951857</v>
      </c>
    </row>
    <row r="120" spans="1:3" ht="30">
      <c r="A120" s="59" t="s">
        <v>189</v>
      </c>
      <c r="B120" s="87" t="s">
        <v>190</v>
      </c>
      <c r="C120" s="34">
        <f>[22]С4!F35</f>
        <v>17.040680999999999</v>
      </c>
    </row>
    <row r="121" spans="1:3" ht="14.25">
      <c r="A121" s="59" t="s">
        <v>191</v>
      </c>
      <c r="B121" s="56" t="s">
        <v>192</v>
      </c>
      <c r="C121" s="34">
        <f>[22]С4!F36</f>
        <v>14319.9</v>
      </c>
    </row>
    <row r="122" spans="1:3" ht="28.5" thickBot="1">
      <c r="A122" s="72" t="s">
        <v>193</v>
      </c>
      <c r="B122" s="88" t="s">
        <v>194</v>
      </c>
      <c r="C122" s="83">
        <f>[22]С4!F37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[22]С5!F17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[22]С2!F37</f>
        <v>20.818139999999996</v>
      </c>
    </row>
    <row r="136" spans="1:3" ht="14.25">
      <c r="A136" s="59" t="s">
        <v>216</v>
      </c>
      <c r="B136" s="101" t="s">
        <v>217</v>
      </c>
      <c r="C136" s="34">
        <f>[22]С2!F38</f>
        <v>7</v>
      </c>
    </row>
    <row r="137" spans="1:3" ht="17.25">
      <c r="A137" s="59" t="s">
        <v>218</v>
      </c>
      <c r="B137" s="101" t="s">
        <v>219</v>
      </c>
      <c r="C137" s="34">
        <f>[22]С2!F40</f>
        <v>0.97</v>
      </c>
    </row>
    <row r="138" spans="1:3" ht="15" thickBot="1">
      <c r="A138" s="72" t="s">
        <v>220</v>
      </c>
      <c r="B138" s="102" t="s">
        <v>221</v>
      </c>
      <c r="C138" s="46">
        <f>[22]С2!F42</f>
        <v>0.35</v>
      </c>
    </row>
    <row r="139" spans="1:3" s="89" customFormat="1" ht="13.5" thickBot="1">
      <c r="A139" s="47"/>
      <c r="B139" s="75"/>
      <c r="C139" s="15"/>
    </row>
    <row r="140" spans="1:3" ht="30">
      <c r="A140" s="84" t="s">
        <v>222</v>
      </c>
      <c r="B140" s="103" t="s">
        <v>223</v>
      </c>
      <c r="C140" s="104">
        <f>[22]С2!F35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[22]С2.5!$E$11</f>
        <v>-2.9000000000000026E-2</v>
      </c>
    </row>
    <row r="144" spans="1:3">
      <c r="A144" s="105"/>
      <c r="B144" s="110">
        <f>B143+1</f>
        <v>2021</v>
      </c>
      <c r="C144" s="111">
        <f>[22]С2.5!$F$11</f>
        <v>0.245</v>
      </c>
    </row>
    <row r="145" spans="1:3">
      <c r="A145" s="105"/>
      <c r="B145" s="110">
        <f t="shared" ref="B145:B208" si="0">B144+1</f>
        <v>2022</v>
      </c>
      <c r="C145" s="111">
        <f>[22]С2.5!$G$11</f>
        <v>0.114</v>
      </c>
    </row>
    <row r="146" spans="1:3" ht="13.5" thickBot="1">
      <c r="A146" s="105"/>
      <c r="B146" s="112">
        <f t="shared" si="0"/>
        <v>2023</v>
      </c>
      <c r="C146" s="113">
        <f>[22]С2.5!$H$11</f>
        <v>2.4E-2</v>
      </c>
    </row>
    <row r="147" spans="1:3">
      <c r="A147" s="105"/>
      <c r="B147" s="114">
        <f t="shared" si="0"/>
        <v>2024</v>
      </c>
      <c r="C147" s="115">
        <f>[22]С2.5!$I$11</f>
        <v>8.5999999999999993E-2</v>
      </c>
    </row>
    <row r="148" spans="1:3" hidden="1">
      <c r="A148" s="105"/>
      <c r="B148" s="110">
        <f t="shared" si="0"/>
        <v>2025</v>
      </c>
      <c r="C148" s="111">
        <f>[22]С2.5!$J$11</f>
        <v>0.21215960863291</v>
      </c>
    </row>
    <row r="149" spans="1:3" hidden="1">
      <c r="A149" s="105"/>
      <c r="B149" s="110">
        <f t="shared" si="0"/>
        <v>2026</v>
      </c>
      <c r="C149" s="111">
        <f>[22]С2.5!$K$11</f>
        <v>3.5813361771260002E-2</v>
      </c>
    </row>
    <row r="150" spans="1:3" hidden="1">
      <c r="A150" s="105"/>
      <c r="B150" s="110">
        <f t="shared" si="0"/>
        <v>2027</v>
      </c>
      <c r="C150" s="111">
        <f>[22]С2.5!$L$11</f>
        <v>3.2682303599220003E-2</v>
      </c>
    </row>
    <row r="151" spans="1:3" hidden="1">
      <c r="A151" s="105"/>
      <c r="B151" s="110">
        <f t="shared" si="0"/>
        <v>2028</v>
      </c>
      <c r="C151" s="111">
        <f>[22]С2.5!$M$11</f>
        <v>0</v>
      </c>
    </row>
    <row r="152" spans="1:3" hidden="1">
      <c r="A152" s="105"/>
      <c r="B152" s="110">
        <f t="shared" si="0"/>
        <v>2029</v>
      </c>
      <c r="C152" s="111">
        <f>[22]С2.5!$N$11</f>
        <v>0</v>
      </c>
    </row>
    <row r="153" spans="1:3" hidden="1">
      <c r="A153" s="105"/>
      <c r="B153" s="110">
        <f t="shared" si="0"/>
        <v>2030</v>
      </c>
      <c r="C153" s="111">
        <f>[22]С2.5!$O$11</f>
        <v>0</v>
      </c>
    </row>
    <row r="154" spans="1:3" hidden="1">
      <c r="A154" s="105"/>
      <c r="B154" s="110">
        <f t="shared" si="0"/>
        <v>2031</v>
      </c>
      <c r="C154" s="111">
        <f>[22]С2.5!$P$11</f>
        <v>0</v>
      </c>
    </row>
    <row r="155" spans="1:3" hidden="1">
      <c r="A155" s="89"/>
      <c r="B155" s="110">
        <f t="shared" si="0"/>
        <v>2032</v>
      </c>
      <c r="C155" s="111">
        <f>[22]С2.5!$Q$11</f>
        <v>0</v>
      </c>
    </row>
    <row r="156" spans="1:3" hidden="1">
      <c r="A156" s="89"/>
      <c r="B156" s="110">
        <f t="shared" si="0"/>
        <v>2033</v>
      </c>
      <c r="C156" s="111">
        <f>[22]С2.5!$R$11</f>
        <v>0</v>
      </c>
    </row>
    <row r="157" spans="1:3" hidden="1">
      <c r="B157" s="110">
        <f t="shared" si="0"/>
        <v>2034</v>
      </c>
      <c r="C157" s="111">
        <f>[22]С2.5!$S$11</f>
        <v>0</v>
      </c>
    </row>
    <row r="158" spans="1:3" hidden="1">
      <c r="B158" s="110">
        <f t="shared" si="0"/>
        <v>2035</v>
      </c>
      <c r="C158" s="111">
        <f>[22]С2.5!$T$11</f>
        <v>0</v>
      </c>
    </row>
    <row r="159" spans="1:3" hidden="1">
      <c r="B159" s="110">
        <f t="shared" si="0"/>
        <v>2036</v>
      </c>
      <c r="C159" s="111">
        <f>[22]С2.5!$U$11</f>
        <v>0</v>
      </c>
    </row>
    <row r="160" spans="1:3" hidden="1">
      <c r="B160" s="110">
        <f t="shared" si="0"/>
        <v>2037</v>
      </c>
      <c r="C160" s="111">
        <f>[22]С2.5!$V$11</f>
        <v>0</v>
      </c>
    </row>
    <row r="161" spans="2:3" hidden="1">
      <c r="B161" s="110">
        <f t="shared" si="0"/>
        <v>2038</v>
      </c>
      <c r="C161" s="111">
        <f>[22]С2.5!$W$11</f>
        <v>0</v>
      </c>
    </row>
    <row r="162" spans="2:3" hidden="1">
      <c r="B162" s="110">
        <f t="shared" si="0"/>
        <v>2039</v>
      </c>
      <c r="C162" s="111">
        <f>[22]С2.5!$X$11</f>
        <v>0</v>
      </c>
    </row>
    <row r="163" spans="2:3" hidden="1">
      <c r="B163" s="110">
        <f t="shared" si="0"/>
        <v>2040</v>
      </c>
      <c r="C163" s="111">
        <f>[22]С2.5!$Y$11</f>
        <v>0</v>
      </c>
    </row>
    <row r="164" spans="2:3" hidden="1">
      <c r="B164" s="110">
        <f t="shared" si="0"/>
        <v>2041</v>
      </c>
      <c r="C164" s="111">
        <f>[22]С2.5!$Z$11</f>
        <v>0</v>
      </c>
    </row>
    <row r="165" spans="2:3" hidden="1">
      <c r="B165" s="110">
        <f t="shared" si="0"/>
        <v>2042</v>
      </c>
      <c r="C165" s="111">
        <f>[22]С2.5!$AA$11</f>
        <v>0</v>
      </c>
    </row>
    <row r="166" spans="2:3" hidden="1">
      <c r="B166" s="110">
        <f t="shared" si="0"/>
        <v>2043</v>
      </c>
      <c r="C166" s="111">
        <f>[22]С2.5!$AB$11</f>
        <v>0</v>
      </c>
    </row>
    <row r="167" spans="2:3" hidden="1">
      <c r="B167" s="110">
        <f t="shared" si="0"/>
        <v>2044</v>
      </c>
      <c r="C167" s="111">
        <f>[22]С2.5!$AC$11</f>
        <v>0</v>
      </c>
    </row>
    <row r="168" spans="2:3" hidden="1">
      <c r="B168" s="110">
        <f t="shared" si="0"/>
        <v>2045</v>
      </c>
      <c r="C168" s="111">
        <f>[22]С2.5!$AD$11</f>
        <v>0</v>
      </c>
    </row>
    <row r="169" spans="2:3" hidden="1">
      <c r="B169" s="110">
        <f t="shared" si="0"/>
        <v>2046</v>
      </c>
      <c r="C169" s="111">
        <f>[22]С2.5!$AE$11</f>
        <v>0</v>
      </c>
    </row>
    <row r="170" spans="2:3" hidden="1">
      <c r="B170" s="110">
        <f t="shared" si="0"/>
        <v>2047</v>
      </c>
      <c r="C170" s="111">
        <f>[22]С2.5!$AF$11</f>
        <v>0</v>
      </c>
    </row>
    <row r="171" spans="2:3" hidden="1">
      <c r="B171" s="110">
        <f t="shared" si="0"/>
        <v>2048</v>
      </c>
      <c r="C171" s="111">
        <f>[22]С2.5!$AG$11</f>
        <v>0</v>
      </c>
    </row>
    <row r="172" spans="2:3" hidden="1">
      <c r="B172" s="110">
        <f t="shared" si="0"/>
        <v>2049</v>
      </c>
      <c r="C172" s="111">
        <f>[22]С2.5!$AH$11</f>
        <v>0</v>
      </c>
    </row>
    <row r="173" spans="2:3" hidden="1">
      <c r="B173" s="110">
        <f t="shared" si="0"/>
        <v>2050</v>
      </c>
      <c r="C173" s="111">
        <f>[22]С2.5!$AI$11</f>
        <v>0</v>
      </c>
    </row>
    <row r="174" spans="2:3" hidden="1">
      <c r="B174" s="110">
        <f t="shared" si="0"/>
        <v>2051</v>
      </c>
      <c r="C174" s="111">
        <f>[22]С2.5!$AJ$11</f>
        <v>0</v>
      </c>
    </row>
    <row r="175" spans="2:3" hidden="1">
      <c r="B175" s="110">
        <f t="shared" si="0"/>
        <v>2052</v>
      </c>
      <c r="C175" s="111">
        <f>[22]С2.5!$AK$11</f>
        <v>0</v>
      </c>
    </row>
    <row r="176" spans="2:3" hidden="1">
      <c r="B176" s="110">
        <f t="shared" si="0"/>
        <v>2053</v>
      </c>
      <c r="C176" s="111">
        <f>[22]С2.5!$AL$11</f>
        <v>0</v>
      </c>
    </row>
    <row r="177" spans="2:3" hidden="1">
      <c r="B177" s="110">
        <f t="shared" si="0"/>
        <v>2054</v>
      </c>
      <c r="C177" s="111">
        <f>[22]С2.5!$AM$11</f>
        <v>0</v>
      </c>
    </row>
    <row r="178" spans="2:3" hidden="1">
      <c r="B178" s="110">
        <f t="shared" si="0"/>
        <v>2055</v>
      </c>
      <c r="C178" s="111">
        <f>[22]С2.5!$AN$11</f>
        <v>0</v>
      </c>
    </row>
    <row r="179" spans="2:3" hidden="1">
      <c r="B179" s="110">
        <f t="shared" si="0"/>
        <v>2056</v>
      </c>
      <c r="C179" s="111">
        <f>[22]С2.5!$AO$11</f>
        <v>0</v>
      </c>
    </row>
    <row r="180" spans="2:3" hidden="1">
      <c r="B180" s="110">
        <f t="shared" si="0"/>
        <v>2057</v>
      </c>
      <c r="C180" s="111">
        <f>[22]С2.5!$AP$11</f>
        <v>0</v>
      </c>
    </row>
    <row r="181" spans="2:3" hidden="1">
      <c r="B181" s="110">
        <f t="shared" si="0"/>
        <v>2058</v>
      </c>
      <c r="C181" s="111">
        <f>[22]С2.5!$AQ$11</f>
        <v>0</v>
      </c>
    </row>
    <row r="182" spans="2:3" hidden="1">
      <c r="B182" s="110">
        <f t="shared" si="0"/>
        <v>2059</v>
      </c>
      <c r="C182" s="111">
        <f>[22]С2.5!$AR$11</f>
        <v>0</v>
      </c>
    </row>
    <row r="183" spans="2:3" hidden="1">
      <c r="B183" s="110">
        <f t="shared" si="0"/>
        <v>2060</v>
      </c>
      <c r="C183" s="111">
        <f>[22]С2.5!$AS$11</f>
        <v>0</v>
      </c>
    </row>
    <row r="184" spans="2:3" hidden="1">
      <c r="B184" s="110">
        <f t="shared" si="0"/>
        <v>2061</v>
      </c>
      <c r="C184" s="111">
        <f>[22]С2.5!$AT$11</f>
        <v>0</v>
      </c>
    </row>
    <row r="185" spans="2:3" hidden="1">
      <c r="B185" s="110">
        <f t="shared" si="0"/>
        <v>2062</v>
      </c>
      <c r="C185" s="111">
        <f>[22]С2.5!$AU$11</f>
        <v>0</v>
      </c>
    </row>
    <row r="186" spans="2:3" hidden="1">
      <c r="B186" s="110">
        <f t="shared" si="0"/>
        <v>2063</v>
      </c>
      <c r="C186" s="111">
        <f>[22]С2.5!$AV$11</f>
        <v>0</v>
      </c>
    </row>
    <row r="187" spans="2:3" hidden="1">
      <c r="B187" s="110">
        <f t="shared" si="0"/>
        <v>2064</v>
      </c>
      <c r="C187" s="111">
        <f>[22]С2.5!$AW$11</f>
        <v>0</v>
      </c>
    </row>
    <row r="188" spans="2:3" hidden="1">
      <c r="B188" s="110">
        <f t="shared" si="0"/>
        <v>2065</v>
      </c>
      <c r="C188" s="111">
        <f>[22]С2.5!$AX$11</f>
        <v>0</v>
      </c>
    </row>
    <row r="189" spans="2:3" hidden="1">
      <c r="B189" s="110">
        <f t="shared" si="0"/>
        <v>2066</v>
      </c>
      <c r="C189" s="111">
        <f>[22]С2.5!$AY$11</f>
        <v>0</v>
      </c>
    </row>
    <row r="190" spans="2:3" hidden="1">
      <c r="B190" s="110">
        <f t="shared" si="0"/>
        <v>2067</v>
      </c>
      <c r="C190" s="111">
        <f>[22]С2.5!$AZ$11</f>
        <v>0</v>
      </c>
    </row>
    <row r="191" spans="2:3" hidden="1">
      <c r="B191" s="110">
        <f t="shared" si="0"/>
        <v>2068</v>
      </c>
      <c r="C191" s="111">
        <f>[22]С2.5!$BA$11</f>
        <v>0</v>
      </c>
    </row>
    <row r="192" spans="2:3" hidden="1">
      <c r="B192" s="110">
        <f t="shared" si="0"/>
        <v>2069</v>
      </c>
      <c r="C192" s="111">
        <f>[22]С2.5!$BB$11</f>
        <v>0</v>
      </c>
    </row>
    <row r="193" spans="2:3" hidden="1">
      <c r="B193" s="110">
        <f t="shared" si="0"/>
        <v>2070</v>
      </c>
      <c r="C193" s="111">
        <f>[22]С2.5!$BC$11</f>
        <v>0</v>
      </c>
    </row>
    <row r="194" spans="2:3" hidden="1">
      <c r="B194" s="110">
        <f t="shared" si="0"/>
        <v>2071</v>
      </c>
      <c r="C194" s="111">
        <f>[22]С2.5!$BD$11</f>
        <v>0</v>
      </c>
    </row>
    <row r="195" spans="2:3" hidden="1">
      <c r="B195" s="110">
        <f t="shared" si="0"/>
        <v>2072</v>
      </c>
      <c r="C195" s="111">
        <f>[22]С2.5!$BE$11</f>
        <v>0</v>
      </c>
    </row>
    <row r="196" spans="2:3" hidden="1">
      <c r="B196" s="110">
        <f t="shared" si="0"/>
        <v>2073</v>
      </c>
      <c r="C196" s="111">
        <f>[22]С2.5!$BF$11</f>
        <v>0</v>
      </c>
    </row>
    <row r="197" spans="2:3" hidden="1">
      <c r="B197" s="110">
        <f t="shared" si="0"/>
        <v>2074</v>
      </c>
      <c r="C197" s="111">
        <f>[22]С2.5!$BG$11</f>
        <v>0</v>
      </c>
    </row>
    <row r="198" spans="2:3" hidden="1">
      <c r="B198" s="110">
        <f t="shared" si="0"/>
        <v>2075</v>
      </c>
      <c r="C198" s="111">
        <f>[22]С2.5!$BH$11</f>
        <v>0</v>
      </c>
    </row>
    <row r="199" spans="2:3" hidden="1">
      <c r="B199" s="110">
        <f t="shared" si="0"/>
        <v>2076</v>
      </c>
      <c r="C199" s="111">
        <f>[22]С2.5!$BI$11</f>
        <v>0</v>
      </c>
    </row>
    <row r="200" spans="2:3" hidden="1">
      <c r="B200" s="110">
        <f t="shared" si="0"/>
        <v>2077</v>
      </c>
      <c r="C200" s="111">
        <f>[22]С2.5!$BJ$11</f>
        <v>0</v>
      </c>
    </row>
    <row r="201" spans="2:3" hidden="1">
      <c r="B201" s="110">
        <f t="shared" si="0"/>
        <v>2078</v>
      </c>
      <c r="C201" s="111">
        <f>[22]С2.5!$BK$11</f>
        <v>0</v>
      </c>
    </row>
    <row r="202" spans="2:3" hidden="1">
      <c r="B202" s="110">
        <f t="shared" si="0"/>
        <v>2079</v>
      </c>
      <c r="C202" s="111">
        <f>[22]С2.5!$BL$11</f>
        <v>0</v>
      </c>
    </row>
    <row r="203" spans="2:3" hidden="1">
      <c r="B203" s="110">
        <f t="shared" si="0"/>
        <v>2080</v>
      </c>
      <c r="C203" s="111">
        <f>[22]С2.5!$BM$11</f>
        <v>0</v>
      </c>
    </row>
    <row r="204" spans="2:3" hidden="1">
      <c r="B204" s="110">
        <f t="shared" si="0"/>
        <v>2081</v>
      </c>
      <c r="C204" s="111">
        <f>[22]С2.5!$BN$11</f>
        <v>0</v>
      </c>
    </row>
    <row r="205" spans="2:3" hidden="1">
      <c r="B205" s="110">
        <f t="shared" si="0"/>
        <v>2082</v>
      </c>
      <c r="C205" s="111">
        <f>[22]С2.5!$BO$11</f>
        <v>0</v>
      </c>
    </row>
    <row r="206" spans="2:3" hidden="1">
      <c r="B206" s="110">
        <f t="shared" si="0"/>
        <v>2083</v>
      </c>
      <c r="C206" s="111">
        <f>[22]С2.5!$BP$11</f>
        <v>0</v>
      </c>
    </row>
    <row r="207" spans="2:3" hidden="1">
      <c r="B207" s="110">
        <f t="shared" si="0"/>
        <v>2084</v>
      </c>
      <c r="C207" s="111">
        <f>[22]С2.5!$BQ$11</f>
        <v>0</v>
      </c>
    </row>
    <row r="208" spans="2:3" hidden="1">
      <c r="B208" s="110">
        <f t="shared" si="0"/>
        <v>2085</v>
      </c>
      <c r="C208" s="111">
        <f>[22]С2.5!$BR$11</f>
        <v>0</v>
      </c>
    </row>
    <row r="209" spans="2:3" hidden="1">
      <c r="B209" s="110">
        <f t="shared" ref="B209:B223" si="1">B208+1</f>
        <v>2086</v>
      </c>
      <c r="C209" s="111">
        <f>[22]С2.5!$BS$11</f>
        <v>0</v>
      </c>
    </row>
    <row r="210" spans="2:3" hidden="1">
      <c r="B210" s="110">
        <f t="shared" si="1"/>
        <v>2087</v>
      </c>
      <c r="C210" s="111">
        <f>[22]С2.5!$BT$11</f>
        <v>0</v>
      </c>
    </row>
    <row r="211" spans="2:3" hidden="1">
      <c r="B211" s="110">
        <f t="shared" si="1"/>
        <v>2088</v>
      </c>
      <c r="C211" s="111">
        <f>[22]С2.5!$BU$11</f>
        <v>0</v>
      </c>
    </row>
    <row r="212" spans="2:3" hidden="1">
      <c r="B212" s="110">
        <f t="shared" si="1"/>
        <v>2089</v>
      </c>
      <c r="C212" s="111">
        <f>[22]С2.5!$BV$11</f>
        <v>0</v>
      </c>
    </row>
    <row r="213" spans="2:3" hidden="1">
      <c r="B213" s="110">
        <f t="shared" si="1"/>
        <v>2090</v>
      </c>
      <c r="C213" s="111">
        <f>[22]С2.5!$BW$11</f>
        <v>0</v>
      </c>
    </row>
    <row r="214" spans="2:3" hidden="1">
      <c r="B214" s="110">
        <f t="shared" si="1"/>
        <v>2091</v>
      </c>
      <c r="C214" s="111">
        <f>[22]С2.5!$BX$11</f>
        <v>0</v>
      </c>
    </row>
    <row r="215" spans="2:3" hidden="1">
      <c r="B215" s="110">
        <f t="shared" si="1"/>
        <v>2092</v>
      </c>
      <c r="C215" s="111">
        <f>[22]С2.5!$BY$11</f>
        <v>0</v>
      </c>
    </row>
    <row r="216" spans="2:3" hidden="1">
      <c r="B216" s="110">
        <f t="shared" si="1"/>
        <v>2093</v>
      </c>
      <c r="C216" s="111">
        <f>[22]С2.5!$BZ$11</f>
        <v>0</v>
      </c>
    </row>
    <row r="217" spans="2:3" hidden="1">
      <c r="B217" s="110">
        <f t="shared" si="1"/>
        <v>2094</v>
      </c>
      <c r="C217" s="111">
        <f>[22]С2.5!$CA$11</f>
        <v>0</v>
      </c>
    </row>
    <row r="218" spans="2:3" hidden="1">
      <c r="B218" s="110">
        <f t="shared" si="1"/>
        <v>2095</v>
      </c>
      <c r="C218" s="111">
        <f>[22]С2.5!$CB$11</f>
        <v>0</v>
      </c>
    </row>
    <row r="219" spans="2:3" hidden="1">
      <c r="B219" s="110">
        <f t="shared" si="1"/>
        <v>2096</v>
      </c>
      <c r="C219" s="111">
        <f>[22]С2.5!$CC$11</f>
        <v>0</v>
      </c>
    </row>
    <row r="220" spans="2:3" hidden="1">
      <c r="B220" s="110">
        <f t="shared" si="1"/>
        <v>2097</v>
      </c>
      <c r="C220" s="111">
        <f>[22]С2.5!$CD$11</f>
        <v>0</v>
      </c>
    </row>
    <row r="221" spans="2:3" hidden="1">
      <c r="B221" s="110">
        <f t="shared" si="1"/>
        <v>2098</v>
      </c>
      <c r="C221" s="111">
        <f>[22]С2.5!$CE$11</f>
        <v>0</v>
      </c>
    </row>
    <row r="222" spans="2:3" hidden="1">
      <c r="B222" s="110">
        <f t="shared" si="1"/>
        <v>2099</v>
      </c>
      <c r="C222" s="111">
        <f>[22]С2.5!$CF$11</f>
        <v>0</v>
      </c>
    </row>
    <row r="223" spans="2:3" ht="13.5" hidden="1" thickBot="1">
      <c r="B223" s="112">
        <f t="shared" si="1"/>
        <v>2100</v>
      </c>
      <c r="C223" s="113">
        <f>[22]С2.5!$CG$11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49" width="9.140625" style="2"/>
    <col min="150" max="231" width="0" style="2" hidden="1" customWidth="1"/>
    <col min="232" max="240" width="9.140625" style="2"/>
    <col min="241" max="241" width="3.7109375" style="2" customWidth="1"/>
    <col min="242" max="242" width="96.85546875" style="2" customWidth="1"/>
    <col min="243" max="243" width="30.85546875" style="2" customWidth="1"/>
    <col min="244" max="244" width="12.5703125" style="2" customWidth="1"/>
    <col min="245" max="245" width="5.140625" style="2" customWidth="1"/>
    <col min="246" max="246" width="9.140625" style="2"/>
    <col min="247" max="247" width="4.85546875" style="2" customWidth="1"/>
    <col min="248" max="248" width="30.5703125" style="2" customWidth="1"/>
    <col min="249" max="249" width="33.85546875" style="2" customWidth="1"/>
    <col min="250" max="250" width="5.140625" style="2" customWidth="1"/>
    <col min="251" max="252" width="17.5703125" style="2" customWidth="1"/>
    <col min="253" max="496" width="9.140625" style="2"/>
    <col min="497" max="497" width="3.7109375" style="2" customWidth="1"/>
    <col min="498" max="498" width="96.85546875" style="2" customWidth="1"/>
    <col min="499" max="499" width="30.85546875" style="2" customWidth="1"/>
    <col min="500" max="500" width="12.5703125" style="2" customWidth="1"/>
    <col min="501" max="501" width="5.140625" style="2" customWidth="1"/>
    <col min="502" max="502" width="9.140625" style="2"/>
    <col min="503" max="503" width="4.85546875" style="2" customWidth="1"/>
    <col min="504" max="504" width="30.5703125" style="2" customWidth="1"/>
    <col min="505" max="505" width="33.85546875" style="2" customWidth="1"/>
    <col min="506" max="506" width="5.140625" style="2" customWidth="1"/>
    <col min="507" max="508" width="17.5703125" style="2" customWidth="1"/>
    <col min="509" max="752" width="9.140625" style="2"/>
    <col min="753" max="753" width="3.7109375" style="2" customWidth="1"/>
    <col min="754" max="754" width="96.85546875" style="2" customWidth="1"/>
    <col min="755" max="755" width="30.85546875" style="2" customWidth="1"/>
    <col min="756" max="756" width="12.5703125" style="2" customWidth="1"/>
    <col min="757" max="757" width="5.140625" style="2" customWidth="1"/>
    <col min="758" max="758" width="9.140625" style="2"/>
    <col min="759" max="759" width="4.85546875" style="2" customWidth="1"/>
    <col min="760" max="760" width="30.5703125" style="2" customWidth="1"/>
    <col min="761" max="761" width="33.85546875" style="2" customWidth="1"/>
    <col min="762" max="762" width="5.140625" style="2" customWidth="1"/>
    <col min="763" max="764" width="17.5703125" style="2" customWidth="1"/>
    <col min="765" max="1008" width="9.140625" style="2"/>
    <col min="1009" max="1009" width="3.7109375" style="2" customWidth="1"/>
    <col min="1010" max="1010" width="96.85546875" style="2" customWidth="1"/>
    <col min="1011" max="1011" width="30.85546875" style="2" customWidth="1"/>
    <col min="1012" max="1012" width="12.5703125" style="2" customWidth="1"/>
    <col min="1013" max="1013" width="5.140625" style="2" customWidth="1"/>
    <col min="1014" max="1014" width="9.140625" style="2"/>
    <col min="1015" max="1015" width="4.85546875" style="2" customWidth="1"/>
    <col min="1016" max="1016" width="30.5703125" style="2" customWidth="1"/>
    <col min="1017" max="1017" width="33.85546875" style="2" customWidth="1"/>
    <col min="1018" max="1018" width="5.140625" style="2" customWidth="1"/>
    <col min="1019" max="1020" width="17.5703125" style="2" customWidth="1"/>
    <col min="1021" max="1264" width="9.140625" style="2"/>
    <col min="1265" max="1265" width="3.7109375" style="2" customWidth="1"/>
    <col min="1266" max="1266" width="96.85546875" style="2" customWidth="1"/>
    <col min="1267" max="1267" width="30.85546875" style="2" customWidth="1"/>
    <col min="1268" max="1268" width="12.5703125" style="2" customWidth="1"/>
    <col min="1269" max="1269" width="5.140625" style="2" customWidth="1"/>
    <col min="1270" max="1270" width="9.140625" style="2"/>
    <col min="1271" max="1271" width="4.85546875" style="2" customWidth="1"/>
    <col min="1272" max="1272" width="30.5703125" style="2" customWidth="1"/>
    <col min="1273" max="1273" width="33.85546875" style="2" customWidth="1"/>
    <col min="1274" max="1274" width="5.140625" style="2" customWidth="1"/>
    <col min="1275" max="1276" width="17.5703125" style="2" customWidth="1"/>
    <col min="1277" max="1520" width="9.140625" style="2"/>
    <col min="1521" max="1521" width="3.7109375" style="2" customWidth="1"/>
    <col min="1522" max="1522" width="96.85546875" style="2" customWidth="1"/>
    <col min="1523" max="1523" width="30.85546875" style="2" customWidth="1"/>
    <col min="1524" max="1524" width="12.5703125" style="2" customWidth="1"/>
    <col min="1525" max="1525" width="5.140625" style="2" customWidth="1"/>
    <col min="1526" max="1526" width="9.140625" style="2"/>
    <col min="1527" max="1527" width="4.85546875" style="2" customWidth="1"/>
    <col min="1528" max="1528" width="30.5703125" style="2" customWidth="1"/>
    <col min="1529" max="1529" width="33.85546875" style="2" customWidth="1"/>
    <col min="1530" max="1530" width="5.140625" style="2" customWidth="1"/>
    <col min="1531" max="1532" width="17.5703125" style="2" customWidth="1"/>
    <col min="1533" max="1776" width="9.140625" style="2"/>
    <col min="1777" max="1777" width="3.7109375" style="2" customWidth="1"/>
    <col min="1778" max="1778" width="96.85546875" style="2" customWidth="1"/>
    <col min="1779" max="1779" width="30.85546875" style="2" customWidth="1"/>
    <col min="1780" max="1780" width="12.5703125" style="2" customWidth="1"/>
    <col min="1781" max="1781" width="5.140625" style="2" customWidth="1"/>
    <col min="1782" max="1782" width="9.140625" style="2"/>
    <col min="1783" max="1783" width="4.85546875" style="2" customWidth="1"/>
    <col min="1784" max="1784" width="30.5703125" style="2" customWidth="1"/>
    <col min="1785" max="1785" width="33.85546875" style="2" customWidth="1"/>
    <col min="1786" max="1786" width="5.140625" style="2" customWidth="1"/>
    <col min="1787" max="1788" width="17.5703125" style="2" customWidth="1"/>
    <col min="1789" max="2032" width="9.140625" style="2"/>
    <col min="2033" max="2033" width="3.7109375" style="2" customWidth="1"/>
    <col min="2034" max="2034" width="96.85546875" style="2" customWidth="1"/>
    <col min="2035" max="2035" width="30.85546875" style="2" customWidth="1"/>
    <col min="2036" max="2036" width="12.5703125" style="2" customWidth="1"/>
    <col min="2037" max="2037" width="5.140625" style="2" customWidth="1"/>
    <col min="2038" max="2038" width="9.140625" style="2"/>
    <col min="2039" max="2039" width="4.85546875" style="2" customWidth="1"/>
    <col min="2040" max="2040" width="30.5703125" style="2" customWidth="1"/>
    <col min="2041" max="2041" width="33.85546875" style="2" customWidth="1"/>
    <col min="2042" max="2042" width="5.140625" style="2" customWidth="1"/>
    <col min="2043" max="2044" width="17.5703125" style="2" customWidth="1"/>
    <col min="2045" max="2288" width="9.140625" style="2"/>
    <col min="2289" max="2289" width="3.7109375" style="2" customWidth="1"/>
    <col min="2290" max="2290" width="96.85546875" style="2" customWidth="1"/>
    <col min="2291" max="2291" width="30.85546875" style="2" customWidth="1"/>
    <col min="2292" max="2292" width="12.5703125" style="2" customWidth="1"/>
    <col min="2293" max="2293" width="5.140625" style="2" customWidth="1"/>
    <col min="2294" max="2294" width="9.140625" style="2"/>
    <col min="2295" max="2295" width="4.85546875" style="2" customWidth="1"/>
    <col min="2296" max="2296" width="30.5703125" style="2" customWidth="1"/>
    <col min="2297" max="2297" width="33.85546875" style="2" customWidth="1"/>
    <col min="2298" max="2298" width="5.140625" style="2" customWidth="1"/>
    <col min="2299" max="2300" width="17.5703125" style="2" customWidth="1"/>
    <col min="2301" max="2544" width="9.140625" style="2"/>
    <col min="2545" max="2545" width="3.7109375" style="2" customWidth="1"/>
    <col min="2546" max="2546" width="96.85546875" style="2" customWidth="1"/>
    <col min="2547" max="2547" width="30.85546875" style="2" customWidth="1"/>
    <col min="2548" max="2548" width="12.5703125" style="2" customWidth="1"/>
    <col min="2549" max="2549" width="5.140625" style="2" customWidth="1"/>
    <col min="2550" max="2550" width="9.140625" style="2"/>
    <col min="2551" max="2551" width="4.85546875" style="2" customWidth="1"/>
    <col min="2552" max="2552" width="30.5703125" style="2" customWidth="1"/>
    <col min="2553" max="2553" width="33.85546875" style="2" customWidth="1"/>
    <col min="2554" max="2554" width="5.140625" style="2" customWidth="1"/>
    <col min="2555" max="2556" width="17.5703125" style="2" customWidth="1"/>
    <col min="2557" max="2800" width="9.140625" style="2"/>
    <col min="2801" max="2801" width="3.7109375" style="2" customWidth="1"/>
    <col min="2802" max="2802" width="96.85546875" style="2" customWidth="1"/>
    <col min="2803" max="2803" width="30.85546875" style="2" customWidth="1"/>
    <col min="2804" max="2804" width="12.5703125" style="2" customWidth="1"/>
    <col min="2805" max="2805" width="5.140625" style="2" customWidth="1"/>
    <col min="2806" max="2806" width="9.140625" style="2"/>
    <col min="2807" max="2807" width="4.85546875" style="2" customWidth="1"/>
    <col min="2808" max="2808" width="30.5703125" style="2" customWidth="1"/>
    <col min="2809" max="2809" width="33.85546875" style="2" customWidth="1"/>
    <col min="2810" max="2810" width="5.140625" style="2" customWidth="1"/>
    <col min="2811" max="2812" width="17.5703125" style="2" customWidth="1"/>
    <col min="2813" max="3056" width="9.140625" style="2"/>
    <col min="3057" max="3057" width="3.7109375" style="2" customWidth="1"/>
    <col min="3058" max="3058" width="96.85546875" style="2" customWidth="1"/>
    <col min="3059" max="3059" width="30.85546875" style="2" customWidth="1"/>
    <col min="3060" max="3060" width="12.5703125" style="2" customWidth="1"/>
    <col min="3061" max="3061" width="5.140625" style="2" customWidth="1"/>
    <col min="3062" max="3062" width="9.140625" style="2"/>
    <col min="3063" max="3063" width="4.85546875" style="2" customWidth="1"/>
    <col min="3064" max="3064" width="30.5703125" style="2" customWidth="1"/>
    <col min="3065" max="3065" width="33.85546875" style="2" customWidth="1"/>
    <col min="3066" max="3066" width="5.140625" style="2" customWidth="1"/>
    <col min="3067" max="3068" width="17.5703125" style="2" customWidth="1"/>
    <col min="3069" max="3312" width="9.140625" style="2"/>
    <col min="3313" max="3313" width="3.7109375" style="2" customWidth="1"/>
    <col min="3314" max="3314" width="96.85546875" style="2" customWidth="1"/>
    <col min="3315" max="3315" width="30.85546875" style="2" customWidth="1"/>
    <col min="3316" max="3316" width="12.5703125" style="2" customWidth="1"/>
    <col min="3317" max="3317" width="5.140625" style="2" customWidth="1"/>
    <col min="3318" max="3318" width="9.140625" style="2"/>
    <col min="3319" max="3319" width="4.85546875" style="2" customWidth="1"/>
    <col min="3320" max="3320" width="30.5703125" style="2" customWidth="1"/>
    <col min="3321" max="3321" width="33.85546875" style="2" customWidth="1"/>
    <col min="3322" max="3322" width="5.140625" style="2" customWidth="1"/>
    <col min="3323" max="3324" width="17.5703125" style="2" customWidth="1"/>
    <col min="3325" max="3568" width="9.140625" style="2"/>
    <col min="3569" max="3569" width="3.7109375" style="2" customWidth="1"/>
    <col min="3570" max="3570" width="96.85546875" style="2" customWidth="1"/>
    <col min="3571" max="3571" width="30.85546875" style="2" customWidth="1"/>
    <col min="3572" max="3572" width="12.5703125" style="2" customWidth="1"/>
    <col min="3573" max="3573" width="5.140625" style="2" customWidth="1"/>
    <col min="3574" max="3574" width="9.140625" style="2"/>
    <col min="3575" max="3575" width="4.85546875" style="2" customWidth="1"/>
    <col min="3576" max="3576" width="30.5703125" style="2" customWidth="1"/>
    <col min="3577" max="3577" width="33.85546875" style="2" customWidth="1"/>
    <col min="3578" max="3578" width="5.140625" style="2" customWidth="1"/>
    <col min="3579" max="3580" width="17.5703125" style="2" customWidth="1"/>
    <col min="3581" max="3824" width="9.140625" style="2"/>
    <col min="3825" max="3825" width="3.7109375" style="2" customWidth="1"/>
    <col min="3826" max="3826" width="96.85546875" style="2" customWidth="1"/>
    <col min="3827" max="3827" width="30.85546875" style="2" customWidth="1"/>
    <col min="3828" max="3828" width="12.5703125" style="2" customWidth="1"/>
    <col min="3829" max="3829" width="5.140625" style="2" customWidth="1"/>
    <col min="3830" max="3830" width="9.140625" style="2"/>
    <col min="3831" max="3831" width="4.85546875" style="2" customWidth="1"/>
    <col min="3832" max="3832" width="30.5703125" style="2" customWidth="1"/>
    <col min="3833" max="3833" width="33.85546875" style="2" customWidth="1"/>
    <col min="3834" max="3834" width="5.140625" style="2" customWidth="1"/>
    <col min="3835" max="3836" width="17.5703125" style="2" customWidth="1"/>
    <col min="3837" max="4080" width="9.140625" style="2"/>
    <col min="4081" max="4081" width="3.7109375" style="2" customWidth="1"/>
    <col min="4082" max="4082" width="96.85546875" style="2" customWidth="1"/>
    <col min="4083" max="4083" width="30.85546875" style="2" customWidth="1"/>
    <col min="4084" max="4084" width="12.5703125" style="2" customWidth="1"/>
    <col min="4085" max="4085" width="5.140625" style="2" customWidth="1"/>
    <col min="4086" max="4086" width="9.140625" style="2"/>
    <col min="4087" max="4087" width="4.85546875" style="2" customWidth="1"/>
    <col min="4088" max="4088" width="30.5703125" style="2" customWidth="1"/>
    <col min="4089" max="4089" width="33.85546875" style="2" customWidth="1"/>
    <col min="4090" max="4090" width="5.140625" style="2" customWidth="1"/>
    <col min="4091" max="4092" width="17.5703125" style="2" customWidth="1"/>
    <col min="4093" max="4336" width="9.140625" style="2"/>
    <col min="4337" max="4337" width="3.7109375" style="2" customWidth="1"/>
    <col min="4338" max="4338" width="96.85546875" style="2" customWidth="1"/>
    <col min="4339" max="4339" width="30.85546875" style="2" customWidth="1"/>
    <col min="4340" max="4340" width="12.5703125" style="2" customWidth="1"/>
    <col min="4341" max="4341" width="5.140625" style="2" customWidth="1"/>
    <col min="4342" max="4342" width="9.140625" style="2"/>
    <col min="4343" max="4343" width="4.85546875" style="2" customWidth="1"/>
    <col min="4344" max="4344" width="30.5703125" style="2" customWidth="1"/>
    <col min="4345" max="4345" width="33.85546875" style="2" customWidth="1"/>
    <col min="4346" max="4346" width="5.140625" style="2" customWidth="1"/>
    <col min="4347" max="4348" width="17.5703125" style="2" customWidth="1"/>
    <col min="4349" max="4592" width="9.140625" style="2"/>
    <col min="4593" max="4593" width="3.7109375" style="2" customWidth="1"/>
    <col min="4594" max="4594" width="96.85546875" style="2" customWidth="1"/>
    <col min="4595" max="4595" width="30.85546875" style="2" customWidth="1"/>
    <col min="4596" max="4596" width="12.5703125" style="2" customWidth="1"/>
    <col min="4597" max="4597" width="5.140625" style="2" customWidth="1"/>
    <col min="4598" max="4598" width="9.140625" style="2"/>
    <col min="4599" max="4599" width="4.85546875" style="2" customWidth="1"/>
    <col min="4600" max="4600" width="30.5703125" style="2" customWidth="1"/>
    <col min="4601" max="4601" width="33.85546875" style="2" customWidth="1"/>
    <col min="4602" max="4602" width="5.140625" style="2" customWidth="1"/>
    <col min="4603" max="4604" width="17.5703125" style="2" customWidth="1"/>
    <col min="4605" max="4848" width="9.140625" style="2"/>
    <col min="4849" max="4849" width="3.7109375" style="2" customWidth="1"/>
    <col min="4850" max="4850" width="96.85546875" style="2" customWidth="1"/>
    <col min="4851" max="4851" width="30.85546875" style="2" customWidth="1"/>
    <col min="4852" max="4852" width="12.5703125" style="2" customWidth="1"/>
    <col min="4853" max="4853" width="5.140625" style="2" customWidth="1"/>
    <col min="4854" max="4854" width="9.140625" style="2"/>
    <col min="4855" max="4855" width="4.85546875" style="2" customWidth="1"/>
    <col min="4856" max="4856" width="30.5703125" style="2" customWidth="1"/>
    <col min="4857" max="4857" width="33.85546875" style="2" customWidth="1"/>
    <col min="4858" max="4858" width="5.140625" style="2" customWidth="1"/>
    <col min="4859" max="4860" width="17.5703125" style="2" customWidth="1"/>
    <col min="4861" max="5104" width="9.140625" style="2"/>
    <col min="5105" max="5105" width="3.7109375" style="2" customWidth="1"/>
    <col min="5106" max="5106" width="96.85546875" style="2" customWidth="1"/>
    <col min="5107" max="5107" width="30.85546875" style="2" customWidth="1"/>
    <col min="5108" max="5108" width="12.5703125" style="2" customWidth="1"/>
    <col min="5109" max="5109" width="5.140625" style="2" customWidth="1"/>
    <col min="5110" max="5110" width="9.140625" style="2"/>
    <col min="5111" max="5111" width="4.85546875" style="2" customWidth="1"/>
    <col min="5112" max="5112" width="30.5703125" style="2" customWidth="1"/>
    <col min="5113" max="5113" width="33.85546875" style="2" customWidth="1"/>
    <col min="5114" max="5114" width="5.140625" style="2" customWidth="1"/>
    <col min="5115" max="5116" width="17.5703125" style="2" customWidth="1"/>
    <col min="5117" max="5360" width="9.140625" style="2"/>
    <col min="5361" max="5361" width="3.7109375" style="2" customWidth="1"/>
    <col min="5362" max="5362" width="96.85546875" style="2" customWidth="1"/>
    <col min="5363" max="5363" width="30.85546875" style="2" customWidth="1"/>
    <col min="5364" max="5364" width="12.5703125" style="2" customWidth="1"/>
    <col min="5365" max="5365" width="5.140625" style="2" customWidth="1"/>
    <col min="5366" max="5366" width="9.140625" style="2"/>
    <col min="5367" max="5367" width="4.85546875" style="2" customWidth="1"/>
    <col min="5368" max="5368" width="30.5703125" style="2" customWidth="1"/>
    <col min="5369" max="5369" width="33.85546875" style="2" customWidth="1"/>
    <col min="5370" max="5370" width="5.140625" style="2" customWidth="1"/>
    <col min="5371" max="5372" width="17.5703125" style="2" customWidth="1"/>
    <col min="5373" max="5616" width="9.140625" style="2"/>
    <col min="5617" max="5617" width="3.7109375" style="2" customWidth="1"/>
    <col min="5618" max="5618" width="96.85546875" style="2" customWidth="1"/>
    <col min="5619" max="5619" width="30.85546875" style="2" customWidth="1"/>
    <col min="5620" max="5620" width="12.5703125" style="2" customWidth="1"/>
    <col min="5621" max="5621" width="5.140625" style="2" customWidth="1"/>
    <col min="5622" max="5622" width="9.140625" style="2"/>
    <col min="5623" max="5623" width="4.85546875" style="2" customWidth="1"/>
    <col min="5624" max="5624" width="30.5703125" style="2" customWidth="1"/>
    <col min="5625" max="5625" width="33.85546875" style="2" customWidth="1"/>
    <col min="5626" max="5626" width="5.140625" style="2" customWidth="1"/>
    <col min="5627" max="5628" width="17.5703125" style="2" customWidth="1"/>
    <col min="5629" max="5872" width="9.140625" style="2"/>
    <col min="5873" max="5873" width="3.7109375" style="2" customWidth="1"/>
    <col min="5874" max="5874" width="96.85546875" style="2" customWidth="1"/>
    <col min="5875" max="5875" width="30.85546875" style="2" customWidth="1"/>
    <col min="5876" max="5876" width="12.5703125" style="2" customWidth="1"/>
    <col min="5877" max="5877" width="5.140625" style="2" customWidth="1"/>
    <col min="5878" max="5878" width="9.140625" style="2"/>
    <col min="5879" max="5879" width="4.85546875" style="2" customWidth="1"/>
    <col min="5880" max="5880" width="30.5703125" style="2" customWidth="1"/>
    <col min="5881" max="5881" width="33.85546875" style="2" customWidth="1"/>
    <col min="5882" max="5882" width="5.140625" style="2" customWidth="1"/>
    <col min="5883" max="5884" width="17.5703125" style="2" customWidth="1"/>
    <col min="5885" max="6128" width="9.140625" style="2"/>
    <col min="6129" max="6129" width="3.7109375" style="2" customWidth="1"/>
    <col min="6130" max="6130" width="96.85546875" style="2" customWidth="1"/>
    <col min="6131" max="6131" width="30.85546875" style="2" customWidth="1"/>
    <col min="6132" max="6132" width="12.5703125" style="2" customWidth="1"/>
    <col min="6133" max="6133" width="5.140625" style="2" customWidth="1"/>
    <col min="6134" max="6134" width="9.140625" style="2"/>
    <col min="6135" max="6135" width="4.85546875" style="2" customWidth="1"/>
    <col min="6136" max="6136" width="30.5703125" style="2" customWidth="1"/>
    <col min="6137" max="6137" width="33.85546875" style="2" customWidth="1"/>
    <col min="6138" max="6138" width="5.140625" style="2" customWidth="1"/>
    <col min="6139" max="6140" width="17.5703125" style="2" customWidth="1"/>
    <col min="6141" max="6384" width="9.140625" style="2"/>
    <col min="6385" max="6385" width="3.7109375" style="2" customWidth="1"/>
    <col min="6386" max="6386" width="96.85546875" style="2" customWidth="1"/>
    <col min="6387" max="6387" width="30.85546875" style="2" customWidth="1"/>
    <col min="6388" max="6388" width="12.5703125" style="2" customWidth="1"/>
    <col min="6389" max="6389" width="5.140625" style="2" customWidth="1"/>
    <col min="6390" max="6390" width="9.140625" style="2"/>
    <col min="6391" max="6391" width="4.85546875" style="2" customWidth="1"/>
    <col min="6392" max="6392" width="30.5703125" style="2" customWidth="1"/>
    <col min="6393" max="6393" width="33.85546875" style="2" customWidth="1"/>
    <col min="6394" max="6394" width="5.140625" style="2" customWidth="1"/>
    <col min="6395" max="6396" width="17.5703125" style="2" customWidth="1"/>
    <col min="6397" max="6640" width="9.140625" style="2"/>
    <col min="6641" max="6641" width="3.7109375" style="2" customWidth="1"/>
    <col min="6642" max="6642" width="96.85546875" style="2" customWidth="1"/>
    <col min="6643" max="6643" width="30.85546875" style="2" customWidth="1"/>
    <col min="6644" max="6644" width="12.5703125" style="2" customWidth="1"/>
    <col min="6645" max="6645" width="5.140625" style="2" customWidth="1"/>
    <col min="6646" max="6646" width="9.140625" style="2"/>
    <col min="6647" max="6647" width="4.85546875" style="2" customWidth="1"/>
    <col min="6648" max="6648" width="30.5703125" style="2" customWidth="1"/>
    <col min="6649" max="6649" width="33.85546875" style="2" customWidth="1"/>
    <col min="6650" max="6650" width="5.140625" style="2" customWidth="1"/>
    <col min="6651" max="6652" width="17.5703125" style="2" customWidth="1"/>
    <col min="6653" max="6896" width="9.140625" style="2"/>
    <col min="6897" max="6897" width="3.7109375" style="2" customWidth="1"/>
    <col min="6898" max="6898" width="96.85546875" style="2" customWidth="1"/>
    <col min="6899" max="6899" width="30.85546875" style="2" customWidth="1"/>
    <col min="6900" max="6900" width="12.5703125" style="2" customWidth="1"/>
    <col min="6901" max="6901" width="5.140625" style="2" customWidth="1"/>
    <col min="6902" max="6902" width="9.140625" style="2"/>
    <col min="6903" max="6903" width="4.85546875" style="2" customWidth="1"/>
    <col min="6904" max="6904" width="30.5703125" style="2" customWidth="1"/>
    <col min="6905" max="6905" width="33.85546875" style="2" customWidth="1"/>
    <col min="6906" max="6906" width="5.140625" style="2" customWidth="1"/>
    <col min="6907" max="6908" width="17.5703125" style="2" customWidth="1"/>
    <col min="6909" max="7152" width="9.140625" style="2"/>
    <col min="7153" max="7153" width="3.7109375" style="2" customWidth="1"/>
    <col min="7154" max="7154" width="96.85546875" style="2" customWidth="1"/>
    <col min="7155" max="7155" width="30.85546875" style="2" customWidth="1"/>
    <col min="7156" max="7156" width="12.5703125" style="2" customWidth="1"/>
    <col min="7157" max="7157" width="5.140625" style="2" customWidth="1"/>
    <col min="7158" max="7158" width="9.140625" style="2"/>
    <col min="7159" max="7159" width="4.85546875" style="2" customWidth="1"/>
    <col min="7160" max="7160" width="30.5703125" style="2" customWidth="1"/>
    <col min="7161" max="7161" width="33.85546875" style="2" customWidth="1"/>
    <col min="7162" max="7162" width="5.140625" style="2" customWidth="1"/>
    <col min="7163" max="7164" width="17.5703125" style="2" customWidth="1"/>
    <col min="7165" max="7408" width="9.140625" style="2"/>
    <col min="7409" max="7409" width="3.7109375" style="2" customWidth="1"/>
    <col min="7410" max="7410" width="96.85546875" style="2" customWidth="1"/>
    <col min="7411" max="7411" width="30.85546875" style="2" customWidth="1"/>
    <col min="7412" max="7412" width="12.5703125" style="2" customWidth="1"/>
    <col min="7413" max="7413" width="5.140625" style="2" customWidth="1"/>
    <col min="7414" max="7414" width="9.140625" style="2"/>
    <col min="7415" max="7415" width="4.85546875" style="2" customWidth="1"/>
    <col min="7416" max="7416" width="30.5703125" style="2" customWidth="1"/>
    <col min="7417" max="7417" width="33.85546875" style="2" customWidth="1"/>
    <col min="7418" max="7418" width="5.140625" style="2" customWidth="1"/>
    <col min="7419" max="7420" width="17.5703125" style="2" customWidth="1"/>
    <col min="7421" max="7664" width="9.140625" style="2"/>
    <col min="7665" max="7665" width="3.7109375" style="2" customWidth="1"/>
    <col min="7666" max="7666" width="96.85546875" style="2" customWidth="1"/>
    <col min="7667" max="7667" width="30.85546875" style="2" customWidth="1"/>
    <col min="7668" max="7668" width="12.5703125" style="2" customWidth="1"/>
    <col min="7669" max="7669" width="5.140625" style="2" customWidth="1"/>
    <col min="7670" max="7670" width="9.140625" style="2"/>
    <col min="7671" max="7671" width="4.85546875" style="2" customWidth="1"/>
    <col min="7672" max="7672" width="30.5703125" style="2" customWidth="1"/>
    <col min="7673" max="7673" width="33.85546875" style="2" customWidth="1"/>
    <col min="7674" max="7674" width="5.140625" style="2" customWidth="1"/>
    <col min="7675" max="7676" width="17.5703125" style="2" customWidth="1"/>
    <col min="7677" max="7920" width="9.140625" style="2"/>
    <col min="7921" max="7921" width="3.7109375" style="2" customWidth="1"/>
    <col min="7922" max="7922" width="96.85546875" style="2" customWidth="1"/>
    <col min="7923" max="7923" width="30.85546875" style="2" customWidth="1"/>
    <col min="7924" max="7924" width="12.5703125" style="2" customWidth="1"/>
    <col min="7925" max="7925" width="5.140625" style="2" customWidth="1"/>
    <col min="7926" max="7926" width="9.140625" style="2"/>
    <col min="7927" max="7927" width="4.85546875" style="2" customWidth="1"/>
    <col min="7928" max="7928" width="30.5703125" style="2" customWidth="1"/>
    <col min="7929" max="7929" width="33.85546875" style="2" customWidth="1"/>
    <col min="7930" max="7930" width="5.140625" style="2" customWidth="1"/>
    <col min="7931" max="7932" width="17.5703125" style="2" customWidth="1"/>
    <col min="7933" max="8176" width="9.140625" style="2"/>
    <col min="8177" max="8177" width="3.7109375" style="2" customWidth="1"/>
    <col min="8178" max="8178" width="96.85546875" style="2" customWidth="1"/>
    <col min="8179" max="8179" width="30.85546875" style="2" customWidth="1"/>
    <col min="8180" max="8180" width="12.5703125" style="2" customWidth="1"/>
    <col min="8181" max="8181" width="5.140625" style="2" customWidth="1"/>
    <col min="8182" max="8182" width="9.140625" style="2"/>
    <col min="8183" max="8183" width="4.85546875" style="2" customWidth="1"/>
    <col min="8184" max="8184" width="30.5703125" style="2" customWidth="1"/>
    <col min="8185" max="8185" width="33.85546875" style="2" customWidth="1"/>
    <col min="8186" max="8186" width="5.140625" style="2" customWidth="1"/>
    <col min="8187" max="8188" width="17.5703125" style="2" customWidth="1"/>
    <col min="8189" max="8432" width="9.140625" style="2"/>
    <col min="8433" max="8433" width="3.7109375" style="2" customWidth="1"/>
    <col min="8434" max="8434" width="96.85546875" style="2" customWidth="1"/>
    <col min="8435" max="8435" width="30.85546875" style="2" customWidth="1"/>
    <col min="8436" max="8436" width="12.5703125" style="2" customWidth="1"/>
    <col min="8437" max="8437" width="5.140625" style="2" customWidth="1"/>
    <col min="8438" max="8438" width="9.140625" style="2"/>
    <col min="8439" max="8439" width="4.85546875" style="2" customWidth="1"/>
    <col min="8440" max="8440" width="30.5703125" style="2" customWidth="1"/>
    <col min="8441" max="8441" width="33.85546875" style="2" customWidth="1"/>
    <col min="8442" max="8442" width="5.140625" style="2" customWidth="1"/>
    <col min="8443" max="8444" width="17.5703125" style="2" customWidth="1"/>
    <col min="8445" max="8688" width="9.140625" style="2"/>
    <col min="8689" max="8689" width="3.7109375" style="2" customWidth="1"/>
    <col min="8690" max="8690" width="96.85546875" style="2" customWidth="1"/>
    <col min="8691" max="8691" width="30.85546875" style="2" customWidth="1"/>
    <col min="8692" max="8692" width="12.5703125" style="2" customWidth="1"/>
    <col min="8693" max="8693" width="5.140625" style="2" customWidth="1"/>
    <col min="8694" max="8694" width="9.140625" style="2"/>
    <col min="8695" max="8695" width="4.85546875" style="2" customWidth="1"/>
    <col min="8696" max="8696" width="30.5703125" style="2" customWidth="1"/>
    <col min="8697" max="8697" width="33.85546875" style="2" customWidth="1"/>
    <col min="8698" max="8698" width="5.140625" style="2" customWidth="1"/>
    <col min="8699" max="8700" width="17.5703125" style="2" customWidth="1"/>
    <col min="8701" max="8944" width="9.140625" style="2"/>
    <col min="8945" max="8945" width="3.7109375" style="2" customWidth="1"/>
    <col min="8946" max="8946" width="96.85546875" style="2" customWidth="1"/>
    <col min="8947" max="8947" width="30.85546875" style="2" customWidth="1"/>
    <col min="8948" max="8948" width="12.5703125" style="2" customWidth="1"/>
    <col min="8949" max="8949" width="5.140625" style="2" customWidth="1"/>
    <col min="8950" max="8950" width="9.140625" style="2"/>
    <col min="8951" max="8951" width="4.85546875" style="2" customWidth="1"/>
    <col min="8952" max="8952" width="30.5703125" style="2" customWidth="1"/>
    <col min="8953" max="8953" width="33.85546875" style="2" customWidth="1"/>
    <col min="8954" max="8954" width="5.140625" style="2" customWidth="1"/>
    <col min="8955" max="8956" width="17.5703125" style="2" customWidth="1"/>
    <col min="8957" max="9200" width="9.140625" style="2"/>
    <col min="9201" max="9201" width="3.7109375" style="2" customWidth="1"/>
    <col min="9202" max="9202" width="96.85546875" style="2" customWidth="1"/>
    <col min="9203" max="9203" width="30.85546875" style="2" customWidth="1"/>
    <col min="9204" max="9204" width="12.5703125" style="2" customWidth="1"/>
    <col min="9205" max="9205" width="5.140625" style="2" customWidth="1"/>
    <col min="9206" max="9206" width="9.140625" style="2"/>
    <col min="9207" max="9207" width="4.85546875" style="2" customWidth="1"/>
    <col min="9208" max="9208" width="30.5703125" style="2" customWidth="1"/>
    <col min="9209" max="9209" width="33.85546875" style="2" customWidth="1"/>
    <col min="9210" max="9210" width="5.140625" style="2" customWidth="1"/>
    <col min="9211" max="9212" width="17.5703125" style="2" customWidth="1"/>
    <col min="9213" max="9456" width="9.140625" style="2"/>
    <col min="9457" max="9457" width="3.7109375" style="2" customWidth="1"/>
    <col min="9458" max="9458" width="96.85546875" style="2" customWidth="1"/>
    <col min="9459" max="9459" width="30.85546875" style="2" customWidth="1"/>
    <col min="9460" max="9460" width="12.5703125" style="2" customWidth="1"/>
    <col min="9461" max="9461" width="5.140625" style="2" customWidth="1"/>
    <col min="9462" max="9462" width="9.140625" style="2"/>
    <col min="9463" max="9463" width="4.85546875" style="2" customWidth="1"/>
    <col min="9464" max="9464" width="30.5703125" style="2" customWidth="1"/>
    <col min="9465" max="9465" width="33.85546875" style="2" customWidth="1"/>
    <col min="9466" max="9466" width="5.140625" style="2" customWidth="1"/>
    <col min="9467" max="9468" width="17.5703125" style="2" customWidth="1"/>
    <col min="9469" max="9712" width="9.140625" style="2"/>
    <col min="9713" max="9713" width="3.7109375" style="2" customWidth="1"/>
    <col min="9714" max="9714" width="96.85546875" style="2" customWidth="1"/>
    <col min="9715" max="9715" width="30.85546875" style="2" customWidth="1"/>
    <col min="9716" max="9716" width="12.5703125" style="2" customWidth="1"/>
    <col min="9717" max="9717" width="5.140625" style="2" customWidth="1"/>
    <col min="9718" max="9718" width="9.140625" style="2"/>
    <col min="9719" max="9719" width="4.85546875" style="2" customWidth="1"/>
    <col min="9720" max="9720" width="30.5703125" style="2" customWidth="1"/>
    <col min="9721" max="9721" width="33.85546875" style="2" customWidth="1"/>
    <col min="9722" max="9722" width="5.140625" style="2" customWidth="1"/>
    <col min="9723" max="9724" width="17.5703125" style="2" customWidth="1"/>
    <col min="9725" max="9968" width="9.140625" style="2"/>
    <col min="9969" max="9969" width="3.7109375" style="2" customWidth="1"/>
    <col min="9970" max="9970" width="96.85546875" style="2" customWidth="1"/>
    <col min="9971" max="9971" width="30.85546875" style="2" customWidth="1"/>
    <col min="9972" max="9972" width="12.5703125" style="2" customWidth="1"/>
    <col min="9973" max="9973" width="5.140625" style="2" customWidth="1"/>
    <col min="9974" max="9974" width="9.140625" style="2"/>
    <col min="9975" max="9975" width="4.85546875" style="2" customWidth="1"/>
    <col min="9976" max="9976" width="30.5703125" style="2" customWidth="1"/>
    <col min="9977" max="9977" width="33.85546875" style="2" customWidth="1"/>
    <col min="9978" max="9978" width="5.140625" style="2" customWidth="1"/>
    <col min="9979" max="9980" width="17.5703125" style="2" customWidth="1"/>
    <col min="9981" max="10224" width="9.140625" style="2"/>
    <col min="10225" max="10225" width="3.7109375" style="2" customWidth="1"/>
    <col min="10226" max="10226" width="96.85546875" style="2" customWidth="1"/>
    <col min="10227" max="10227" width="30.85546875" style="2" customWidth="1"/>
    <col min="10228" max="10228" width="12.5703125" style="2" customWidth="1"/>
    <col min="10229" max="10229" width="5.140625" style="2" customWidth="1"/>
    <col min="10230" max="10230" width="9.140625" style="2"/>
    <col min="10231" max="10231" width="4.85546875" style="2" customWidth="1"/>
    <col min="10232" max="10232" width="30.5703125" style="2" customWidth="1"/>
    <col min="10233" max="10233" width="33.85546875" style="2" customWidth="1"/>
    <col min="10234" max="10234" width="5.140625" style="2" customWidth="1"/>
    <col min="10235" max="10236" width="17.5703125" style="2" customWidth="1"/>
    <col min="10237" max="10480" width="9.140625" style="2"/>
    <col min="10481" max="10481" width="3.7109375" style="2" customWidth="1"/>
    <col min="10482" max="10482" width="96.85546875" style="2" customWidth="1"/>
    <col min="10483" max="10483" width="30.85546875" style="2" customWidth="1"/>
    <col min="10484" max="10484" width="12.5703125" style="2" customWidth="1"/>
    <col min="10485" max="10485" width="5.140625" style="2" customWidth="1"/>
    <col min="10486" max="10486" width="9.140625" style="2"/>
    <col min="10487" max="10487" width="4.85546875" style="2" customWidth="1"/>
    <col min="10488" max="10488" width="30.5703125" style="2" customWidth="1"/>
    <col min="10489" max="10489" width="33.85546875" style="2" customWidth="1"/>
    <col min="10490" max="10490" width="5.140625" style="2" customWidth="1"/>
    <col min="10491" max="10492" width="17.5703125" style="2" customWidth="1"/>
    <col min="10493" max="10736" width="9.140625" style="2"/>
    <col min="10737" max="10737" width="3.7109375" style="2" customWidth="1"/>
    <col min="10738" max="10738" width="96.85546875" style="2" customWidth="1"/>
    <col min="10739" max="10739" width="30.85546875" style="2" customWidth="1"/>
    <col min="10740" max="10740" width="12.5703125" style="2" customWidth="1"/>
    <col min="10741" max="10741" width="5.140625" style="2" customWidth="1"/>
    <col min="10742" max="10742" width="9.140625" style="2"/>
    <col min="10743" max="10743" width="4.85546875" style="2" customWidth="1"/>
    <col min="10744" max="10744" width="30.5703125" style="2" customWidth="1"/>
    <col min="10745" max="10745" width="33.85546875" style="2" customWidth="1"/>
    <col min="10746" max="10746" width="5.140625" style="2" customWidth="1"/>
    <col min="10747" max="10748" width="17.5703125" style="2" customWidth="1"/>
    <col min="10749" max="10992" width="9.140625" style="2"/>
    <col min="10993" max="10993" width="3.7109375" style="2" customWidth="1"/>
    <col min="10994" max="10994" width="96.85546875" style="2" customWidth="1"/>
    <col min="10995" max="10995" width="30.85546875" style="2" customWidth="1"/>
    <col min="10996" max="10996" width="12.5703125" style="2" customWidth="1"/>
    <col min="10997" max="10997" width="5.140625" style="2" customWidth="1"/>
    <col min="10998" max="10998" width="9.140625" style="2"/>
    <col min="10999" max="10999" width="4.85546875" style="2" customWidth="1"/>
    <col min="11000" max="11000" width="30.5703125" style="2" customWidth="1"/>
    <col min="11001" max="11001" width="33.85546875" style="2" customWidth="1"/>
    <col min="11002" max="11002" width="5.140625" style="2" customWidth="1"/>
    <col min="11003" max="11004" width="17.5703125" style="2" customWidth="1"/>
    <col min="11005" max="11248" width="9.140625" style="2"/>
    <col min="11249" max="11249" width="3.7109375" style="2" customWidth="1"/>
    <col min="11250" max="11250" width="96.85546875" style="2" customWidth="1"/>
    <col min="11251" max="11251" width="30.85546875" style="2" customWidth="1"/>
    <col min="11252" max="11252" width="12.5703125" style="2" customWidth="1"/>
    <col min="11253" max="11253" width="5.140625" style="2" customWidth="1"/>
    <col min="11254" max="11254" width="9.140625" style="2"/>
    <col min="11255" max="11255" width="4.85546875" style="2" customWidth="1"/>
    <col min="11256" max="11256" width="30.5703125" style="2" customWidth="1"/>
    <col min="11257" max="11257" width="33.85546875" style="2" customWidth="1"/>
    <col min="11258" max="11258" width="5.140625" style="2" customWidth="1"/>
    <col min="11259" max="11260" width="17.5703125" style="2" customWidth="1"/>
    <col min="11261" max="11504" width="9.140625" style="2"/>
    <col min="11505" max="11505" width="3.7109375" style="2" customWidth="1"/>
    <col min="11506" max="11506" width="96.85546875" style="2" customWidth="1"/>
    <col min="11507" max="11507" width="30.85546875" style="2" customWidth="1"/>
    <col min="11508" max="11508" width="12.5703125" style="2" customWidth="1"/>
    <col min="11509" max="11509" width="5.140625" style="2" customWidth="1"/>
    <col min="11510" max="11510" width="9.140625" style="2"/>
    <col min="11511" max="11511" width="4.85546875" style="2" customWidth="1"/>
    <col min="11512" max="11512" width="30.5703125" style="2" customWidth="1"/>
    <col min="11513" max="11513" width="33.85546875" style="2" customWidth="1"/>
    <col min="11514" max="11514" width="5.140625" style="2" customWidth="1"/>
    <col min="11515" max="11516" width="17.5703125" style="2" customWidth="1"/>
    <col min="11517" max="11760" width="9.140625" style="2"/>
    <col min="11761" max="11761" width="3.7109375" style="2" customWidth="1"/>
    <col min="11762" max="11762" width="96.85546875" style="2" customWidth="1"/>
    <col min="11763" max="11763" width="30.85546875" style="2" customWidth="1"/>
    <col min="11764" max="11764" width="12.5703125" style="2" customWidth="1"/>
    <col min="11765" max="11765" width="5.140625" style="2" customWidth="1"/>
    <col min="11766" max="11766" width="9.140625" style="2"/>
    <col min="11767" max="11767" width="4.85546875" style="2" customWidth="1"/>
    <col min="11768" max="11768" width="30.5703125" style="2" customWidth="1"/>
    <col min="11769" max="11769" width="33.85546875" style="2" customWidth="1"/>
    <col min="11770" max="11770" width="5.140625" style="2" customWidth="1"/>
    <col min="11771" max="11772" width="17.5703125" style="2" customWidth="1"/>
    <col min="11773" max="12016" width="9.140625" style="2"/>
    <col min="12017" max="12017" width="3.7109375" style="2" customWidth="1"/>
    <col min="12018" max="12018" width="96.85546875" style="2" customWidth="1"/>
    <col min="12019" max="12019" width="30.85546875" style="2" customWidth="1"/>
    <col min="12020" max="12020" width="12.5703125" style="2" customWidth="1"/>
    <col min="12021" max="12021" width="5.140625" style="2" customWidth="1"/>
    <col min="12022" max="12022" width="9.140625" style="2"/>
    <col min="12023" max="12023" width="4.85546875" style="2" customWidth="1"/>
    <col min="12024" max="12024" width="30.5703125" style="2" customWidth="1"/>
    <col min="12025" max="12025" width="33.85546875" style="2" customWidth="1"/>
    <col min="12026" max="12026" width="5.140625" style="2" customWidth="1"/>
    <col min="12027" max="12028" width="17.5703125" style="2" customWidth="1"/>
    <col min="12029" max="12272" width="9.140625" style="2"/>
    <col min="12273" max="12273" width="3.7109375" style="2" customWidth="1"/>
    <col min="12274" max="12274" width="96.85546875" style="2" customWidth="1"/>
    <col min="12275" max="12275" width="30.85546875" style="2" customWidth="1"/>
    <col min="12276" max="12276" width="12.5703125" style="2" customWidth="1"/>
    <col min="12277" max="12277" width="5.140625" style="2" customWidth="1"/>
    <col min="12278" max="12278" width="9.140625" style="2"/>
    <col min="12279" max="12279" width="4.85546875" style="2" customWidth="1"/>
    <col min="12280" max="12280" width="30.5703125" style="2" customWidth="1"/>
    <col min="12281" max="12281" width="33.85546875" style="2" customWidth="1"/>
    <col min="12282" max="12282" width="5.140625" style="2" customWidth="1"/>
    <col min="12283" max="12284" width="17.5703125" style="2" customWidth="1"/>
    <col min="12285" max="12528" width="9.140625" style="2"/>
    <col min="12529" max="12529" width="3.7109375" style="2" customWidth="1"/>
    <col min="12530" max="12530" width="96.85546875" style="2" customWidth="1"/>
    <col min="12531" max="12531" width="30.85546875" style="2" customWidth="1"/>
    <col min="12532" max="12532" width="12.5703125" style="2" customWidth="1"/>
    <col min="12533" max="12533" width="5.140625" style="2" customWidth="1"/>
    <col min="12534" max="12534" width="9.140625" style="2"/>
    <col min="12535" max="12535" width="4.85546875" style="2" customWidth="1"/>
    <col min="12536" max="12536" width="30.5703125" style="2" customWidth="1"/>
    <col min="12537" max="12537" width="33.85546875" style="2" customWidth="1"/>
    <col min="12538" max="12538" width="5.140625" style="2" customWidth="1"/>
    <col min="12539" max="12540" width="17.5703125" style="2" customWidth="1"/>
    <col min="12541" max="12784" width="9.140625" style="2"/>
    <col min="12785" max="12785" width="3.7109375" style="2" customWidth="1"/>
    <col min="12786" max="12786" width="96.85546875" style="2" customWidth="1"/>
    <col min="12787" max="12787" width="30.85546875" style="2" customWidth="1"/>
    <col min="12788" max="12788" width="12.5703125" style="2" customWidth="1"/>
    <col min="12789" max="12789" width="5.140625" style="2" customWidth="1"/>
    <col min="12790" max="12790" width="9.140625" style="2"/>
    <col min="12791" max="12791" width="4.85546875" style="2" customWidth="1"/>
    <col min="12792" max="12792" width="30.5703125" style="2" customWidth="1"/>
    <col min="12793" max="12793" width="33.85546875" style="2" customWidth="1"/>
    <col min="12794" max="12794" width="5.140625" style="2" customWidth="1"/>
    <col min="12795" max="12796" width="17.5703125" style="2" customWidth="1"/>
    <col min="12797" max="13040" width="9.140625" style="2"/>
    <col min="13041" max="13041" width="3.7109375" style="2" customWidth="1"/>
    <col min="13042" max="13042" width="96.85546875" style="2" customWidth="1"/>
    <col min="13043" max="13043" width="30.85546875" style="2" customWidth="1"/>
    <col min="13044" max="13044" width="12.5703125" style="2" customWidth="1"/>
    <col min="13045" max="13045" width="5.140625" style="2" customWidth="1"/>
    <col min="13046" max="13046" width="9.140625" style="2"/>
    <col min="13047" max="13047" width="4.85546875" style="2" customWidth="1"/>
    <col min="13048" max="13048" width="30.5703125" style="2" customWidth="1"/>
    <col min="13049" max="13049" width="33.85546875" style="2" customWidth="1"/>
    <col min="13050" max="13050" width="5.140625" style="2" customWidth="1"/>
    <col min="13051" max="13052" width="17.5703125" style="2" customWidth="1"/>
    <col min="13053" max="13296" width="9.140625" style="2"/>
    <col min="13297" max="13297" width="3.7109375" style="2" customWidth="1"/>
    <col min="13298" max="13298" width="96.85546875" style="2" customWidth="1"/>
    <col min="13299" max="13299" width="30.85546875" style="2" customWidth="1"/>
    <col min="13300" max="13300" width="12.5703125" style="2" customWidth="1"/>
    <col min="13301" max="13301" width="5.140625" style="2" customWidth="1"/>
    <col min="13302" max="13302" width="9.140625" style="2"/>
    <col min="13303" max="13303" width="4.85546875" style="2" customWidth="1"/>
    <col min="13304" max="13304" width="30.5703125" style="2" customWidth="1"/>
    <col min="13305" max="13305" width="33.85546875" style="2" customWidth="1"/>
    <col min="13306" max="13306" width="5.140625" style="2" customWidth="1"/>
    <col min="13307" max="13308" width="17.5703125" style="2" customWidth="1"/>
    <col min="13309" max="13552" width="9.140625" style="2"/>
    <col min="13553" max="13553" width="3.7109375" style="2" customWidth="1"/>
    <col min="13554" max="13554" width="96.85546875" style="2" customWidth="1"/>
    <col min="13555" max="13555" width="30.85546875" style="2" customWidth="1"/>
    <col min="13556" max="13556" width="12.5703125" style="2" customWidth="1"/>
    <col min="13557" max="13557" width="5.140625" style="2" customWidth="1"/>
    <col min="13558" max="13558" width="9.140625" style="2"/>
    <col min="13559" max="13559" width="4.85546875" style="2" customWidth="1"/>
    <col min="13560" max="13560" width="30.5703125" style="2" customWidth="1"/>
    <col min="13561" max="13561" width="33.85546875" style="2" customWidth="1"/>
    <col min="13562" max="13562" width="5.140625" style="2" customWidth="1"/>
    <col min="13563" max="13564" width="17.5703125" style="2" customWidth="1"/>
    <col min="13565" max="13808" width="9.140625" style="2"/>
    <col min="13809" max="13809" width="3.7109375" style="2" customWidth="1"/>
    <col min="13810" max="13810" width="96.85546875" style="2" customWidth="1"/>
    <col min="13811" max="13811" width="30.85546875" style="2" customWidth="1"/>
    <col min="13812" max="13812" width="12.5703125" style="2" customWidth="1"/>
    <col min="13813" max="13813" width="5.140625" style="2" customWidth="1"/>
    <col min="13814" max="13814" width="9.140625" style="2"/>
    <col min="13815" max="13815" width="4.85546875" style="2" customWidth="1"/>
    <col min="13816" max="13816" width="30.5703125" style="2" customWidth="1"/>
    <col min="13817" max="13817" width="33.85546875" style="2" customWidth="1"/>
    <col min="13818" max="13818" width="5.140625" style="2" customWidth="1"/>
    <col min="13819" max="13820" width="17.5703125" style="2" customWidth="1"/>
    <col min="13821" max="14064" width="9.140625" style="2"/>
    <col min="14065" max="14065" width="3.7109375" style="2" customWidth="1"/>
    <col min="14066" max="14066" width="96.85546875" style="2" customWidth="1"/>
    <col min="14067" max="14067" width="30.85546875" style="2" customWidth="1"/>
    <col min="14068" max="14068" width="12.5703125" style="2" customWidth="1"/>
    <col min="14069" max="14069" width="5.140625" style="2" customWidth="1"/>
    <col min="14070" max="14070" width="9.140625" style="2"/>
    <col min="14071" max="14071" width="4.85546875" style="2" customWidth="1"/>
    <col min="14072" max="14072" width="30.5703125" style="2" customWidth="1"/>
    <col min="14073" max="14073" width="33.85546875" style="2" customWidth="1"/>
    <col min="14074" max="14074" width="5.140625" style="2" customWidth="1"/>
    <col min="14075" max="14076" width="17.5703125" style="2" customWidth="1"/>
    <col min="14077" max="14320" width="9.140625" style="2"/>
    <col min="14321" max="14321" width="3.7109375" style="2" customWidth="1"/>
    <col min="14322" max="14322" width="96.85546875" style="2" customWidth="1"/>
    <col min="14323" max="14323" width="30.85546875" style="2" customWidth="1"/>
    <col min="14324" max="14324" width="12.5703125" style="2" customWidth="1"/>
    <col min="14325" max="14325" width="5.140625" style="2" customWidth="1"/>
    <col min="14326" max="14326" width="9.140625" style="2"/>
    <col min="14327" max="14327" width="4.85546875" style="2" customWidth="1"/>
    <col min="14328" max="14328" width="30.5703125" style="2" customWidth="1"/>
    <col min="14329" max="14329" width="33.85546875" style="2" customWidth="1"/>
    <col min="14330" max="14330" width="5.140625" style="2" customWidth="1"/>
    <col min="14331" max="14332" width="17.5703125" style="2" customWidth="1"/>
    <col min="14333" max="14576" width="9.140625" style="2"/>
    <col min="14577" max="14577" width="3.7109375" style="2" customWidth="1"/>
    <col min="14578" max="14578" width="96.85546875" style="2" customWidth="1"/>
    <col min="14579" max="14579" width="30.85546875" style="2" customWidth="1"/>
    <col min="14580" max="14580" width="12.5703125" style="2" customWidth="1"/>
    <col min="14581" max="14581" width="5.140625" style="2" customWidth="1"/>
    <col min="14582" max="14582" width="9.140625" style="2"/>
    <col min="14583" max="14583" width="4.85546875" style="2" customWidth="1"/>
    <col min="14584" max="14584" width="30.5703125" style="2" customWidth="1"/>
    <col min="14585" max="14585" width="33.85546875" style="2" customWidth="1"/>
    <col min="14586" max="14586" width="5.140625" style="2" customWidth="1"/>
    <col min="14587" max="14588" width="17.5703125" style="2" customWidth="1"/>
    <col min="14589" max="14832" width="9.140625" style="2"/>
    <col min="14833" max="14833" width="3.7109375" style="2" customWidth="1"/>
    <col min="14834" max="14834" width="96.85546875" style="2" customWidth="1"/>
    <col min="14835" max="14835" width="30.85546875" style="2" customWidth="1"/>
    <col min="14836" max="14836" width="12.5703125" style="2" customWidth="1"/>
    <col min="14837" max="14837" width="5.140625" style="2" customWidth="1"/>
    <col min="14838" max="14838" width="9.140625" style="2"/>
    <col min="14839" max="14839" width="4.85546875" style="2" customWidth="1"/>
    <col min="14840" max="14840" width="30.5703125" style="2" customWidth="1"/>
    <col min="14841" max="14841" width="33.85546875" style="2" customWidth="1"/>
    <col min="14842" max="14842" width="5.140625" style="2" customWidth="1"/>
    <col min="14843" max="14844" width="17.5703125" style="2" customWidth="1"/>
    <col min="14845" max="15088" width="9.140625" style="2"/>
    <col min="15089" max="15089" width="3.7109375" style="2" customWidth="1"/>
    <col min="15090" max="15090" width="96.85546875" style="2" customWidth="1"/>
    <col min="15091" max="15091" width="30.85546875" style="2" customWidth="1"/>
    <col min="15092" max="15092" width="12.5703125" style="2" customWidth="1"/>
    <col min="15093" max="15093" width="5.140625" style="2" customWidth="1"/>
    <col min="15094" max="15094" width="9.140625" style="2"/>
    <col min="15095" max="15095" width="4.85546875" style="2" customWidth="1"/>
    <col min="15096" max="15096" width="30.5703125" style="2" customWidth="1"/>
    <col min="15097" max="15097" width="33.85546875" style="2" customWidth="1"/>
    <col min="15098" max="15098" width="5.140625" style="2" customWidth="1"/>
    <col min="15099" max="15100" width="17.5703125" style="2" customWidth="1"/>
    <col min="15101" max="15344" width="9.140625" style="2"/>
    <col min="15345" max="15345" width="3.7109375" style="2" customWidth="1"/>
    <col min="15346" max="15346" width="96.85546875" style="2" customWidth="1"/>
    <col min="15347" max="15347" width="30.85546875" style="2" customWidth="1"/>
    <col min="15348" max="15348" width="12.5703125" style="2" customWidth="1"/>
    <col min="15349" max="15349" width="5.140625" style="2" customWidth="1"/>
    <col min="15350" max="15350" width="9.140625" style="2"/>
    <col min="15351" max="15351" width="4.85546875" style="2" customWidth="1"/>
    <col min="15352" max="15352" width="30.5703125" style="2" customWidth="1"/>
    <col min="15353" max="15353" width="33.85546875" style="2" customWidth="1"/>
    <col min="15354" max="15354" width="5.140625" style="2" customWidth="1"/>
    <col min="15355" max="15356" width="17.5703125" style="2" customWidth="1"/>
    <col min="15357" max="15600" width="9.140625" style="2"/>
    <col min="15601" max="15601" width="3.7109375" style="2" customWidth="1"/>
    <col min="15602" max="15602" width="96.85546875" style="2" customWidth="1"/>
    <col min="15603" max="15603" width="30.85546875" style="2" customWidth="1"/>
    <col min="15604" max="15604" width="12.5703125" style="2" customWidth="1"/>
    <col min="15605" max="15605" width="5.140625" style="2" customWidth="1"/>
    <col min="15606" max="15606" width="9.140625" style="2"/>
    <col min="15607" max="15607" width="4.85546875" style="2" customWidth="1"/>
    <col min="15608" max="15608" width="30.5703125" style="2" customWidth="1"/>
    <col min="15609" max="15609" width="33.85546875" style="2" customWidth="1"/>
    <col min="15610" max="15610" width="5.140625" style="2" customWidth="1"/>
    <col min="15611" max="15612" width="17.5703125" style="2" customWidth="1"/>
    <col min="15613" max="15856" width="9.140625" style="2"/>
    <col min="15857" max="15857" width="3.7109375" style="2" customWidth="1"/>
    <col min="15858" max="15858" width="96.85546875" style="2" customWidth="1"/>
    <col min="15859" max="15859" width="30.85546875" style="2" customWidth="1"/>
    <col min="15860" max="15860" width="12.5703125" style="2" customWidth="1"/>
    <col min="15861" max="15861" width="5.140625" style="2" customWidth="1"/>
    <col min="15862" max="15862" width="9.140625" style="2"/>
    <col min="15863" max="15863" width="4.85546875" style="2" customWidth="1"/>
    <col min="15864" max="15864" width="30.5703125" style="2" customWidth="1"/>
    <col min="15865" max="15865" width="33.85546875" style="2" customWidth="1"/>
    <col min="15866" max="15866" width="5.140625" style="2" customWidth="1"/>
    <col min="15867" max="15868" width="17.5703125" style="2" customWidth="1"/>
    <col min="15869" max="16112" width="9.140625" style="2"/>
    <col min="16113" max="16113" width="3.7109375" style="2" customWidth="1"/>
    <col min="16114" max="16114" width="96.85546875" style="2" customWidth="1"/>
    <col min="16115" max="16115" width="30.85546875" style="2" customWidth="1"/>
    <col min="16116" max="16116" width="12.5703125" style="2" customWidth="1"/>
    <col min="16117" max="16117" width="5.140625" style="2" customWidth="1"/>
    <col min="16118" max="16118" width="9.140625" style="2"/>
    <col min="16119" max="16119" width="4.85546875" style="2" customWidth="1"/>
    <col min="16120" max="16120" width="30.5703125" style="2" customWidth="1"/>
    <col min="16121" max="16121" width="33.85546875" style="2" customWidth="1"/>
    <col min="16122" max="16122" width="5.140625" style="2" customWidth="1"/>
    <col min="16123" max="16124" width="17.5703125" style="2" customWidth="1"/>
    <col min="16125"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[23]И1!D13</f>
        <v>Субъект Российской Федерации</v>
      </c>
      <c r="C4" s="10" t="str">
        <f>[23]И1!E13</f>
        <v>Новосибирская область</v>
      </c>
    </row>
    <row r="5" spans="1:3" ht="15.95" customHeight="1">
      <c r="A5" s="8"/>
      <c r="B5" s="9" t="str">
        <f>[23]И1!D14</f>
        <v>Тип муниципального образования (выберите из списка)</v>
      </c>
      <c r="C5" s="10" t="str">
        <f>[23]И1!E14</f>
        <v xml:space="preserve">станция Мочище, Новосибирский муниципальный район </v>
      </c>
    </row>
    <row r="6" spans="1:3">
      <c r="A6" s="8"/>
      <c r="B6" s="9" t="str">
        <f>IF([23]И1!E15="","",[23]И1!D15)</f>
        <v/>
      </c>
      <c r="C6" s="7" t="str">
        <f>IF([23]И1!E15="","",[23]И1!E15)</f>
        <v/>
      </c>
    </row>
    <row r="7" spans="1:3">
      <c r="A7" s="8"/>
      <c r="B7" s="9" t="str">
        <f>[23]И1!D16</f>
        <v>Код ОКТМО</v>
      </c>
      <c r="C7" s="11" t="str">
        <f>[23]И1!E16</f>
        <v>50640440101</v>
      </c>
    </row>
    <row r="8" spans="1:3">
      <c r="A8" s="8"/>
      <c r="B8" s="12" t="str">
        <f>[23]И1!D17</f>
        <v>Система теплоснабжения</v>
      </c>
      <c r="C8" s="13">
        <f>[23]И1!E17</f>
        <v>0</v>
      </c>
    </row>
    <row r="9" spans="1:3">
      <c r="A9" s="8"/>
      <c r="B9" s="9" t="str">
        <f>[23]И1!D8</f>
        <v>Период регулирования (i)-й</v>
      </c>
      <c r="C9" s="14">
        <f>[23]И1!E8</f>
        <v>2024</v>
      </c>
    </row>
    <row r="10" spans="1:3">
      <c r="A10" s="8"/>
      <c r="B10" s="9" t="str">
        <f>[23]И1!D9</f>
        <v>Период регулирования (i-1)-й</v>
      </c>
      <c r="C10" s="14">
        <f>[23]И1!E9</f>
        <v>2023</v>
      </c>
    </row>
    <row r="11" spans="1:3">
      <c r="A11" s="8"/>
      <c r="B11" s="9" t="str">
        <f>[23]И1!D10</f>
        <v>Период регулирования (i-2)-й</v>
      </c>
      <c r="C11" s="14">
        <f>[23]И1!E10</f>
        <v>2022</v>
      </c>
    </row>
    <row r="12" spans="1:3">
      <c r="A12" s="8"/>
      <c r="B12" s="9" t="str">
        <f>[23]И1!D11</f>
        <v>Базовый год (б)</v>
      </c>
      <c r="C12" s="14">
        <f>[23]И1!E11</f>
        <v>2019</v>
      </c>
    </row>
    <row r="13" spans="1:3">
      <c r="A13" s="8"/>
      <c r="B13" s="9" t="str">
        <f>[23]И1!D18</f>
        <v>Вид топлива, использование которого преобладает в системе теплоснабжения</v>
      </c>
      <c r="C13" s="15" t="str">
        <f>[23]И1!E18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2967.0974574307011</v>
      </c>
    </row>
    <row r="18" spans="1:3" ht="42.75">
      <c r="A18" s="22" t="s">
        <v>8</v>
      </c>
      <c r="B18" s="25" t="s">
        <v>9</v>
      </c>
      <c r="C18" s="26">
        <f>[23]С1!F12</f>
        <v>994.35037159416254</v>
      </c>
    </row>
    <row r="19" spans="1:3" ht="42.75">
      <c r="A19" s="22" t="s">
        <v>10</v>
      </c>
      <c r="B19" s="25" t="s">
        <v>11</v>
      </c>
      <c r="C19" s="26">
        <f>[23]С2!F12</f>
        <v>1337.1646821037446</v>
      </c>
    </row>
    <row r="20" spans="1:3" ht="30">
      <c r="A20" s="22" t="s">
        <v>12</v>
      </c>
      <c r="B20" s="25" t="s">
        <v>13</v>
      </c>
      <c r="C20" s="26">
        <f>[23]С3!F12</f>
        <v>317.6025648848447</v>
      </c>
    </row>
    <row r="21" spans="1:3" ht="42.75">
      <c r="A21" s="22" t="s">
        <v>14</v>
      </c>
      <c r="B21" s="25" t="s">
        <v>228</v>
      </c>
      <c r="C21" s="26">
        <f>[23]С4!F12</f>
        <v>259.8014573297005</v>
      </c>
    </row>
    <row r="22" spans="1:3" ht="33" customHeight="1">
      <c r="A22" s="22" t="s">
        <v>16</v>
      </c>
      <c r="B22" s="25" t="s">
        <v>229</v>
      </c>
      <c r="C22" s="26">
        <f>[23]С5!F12</f>
        <v>58.178381518249047</v>
      </c>
    </row>
    <row r="23" spans="1:3" ht="45.75" customHeight="1" thickBot="1">
      <c r="A23" s="27" t="s">
        <v>18</v>
      </c>
      <c r="B23" s="144" t="s">
        <v>230</v>
      </c>
      <c r="C23" s="28">
        <f>[23]С6!F12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[23]С1.1!E16</f>
        <v>7900</v>
      </c>
    </row>
    <row r="29" spans="1:3" ht="42.75">
      <c r="A29" s="22" t="s">
        <v>10</v>
      </c>
      <c r="B29" s="33" t="s">
        <v>232</v>
      </c>
      <c r="C29" s="34">
        <f>[23]С1.1!E32</f>
        <v>5751.37</v>
      </c>
    </row>
    <row r="30" spans="1:3" ht="38.25">
      <c r="A30" s="22" t="s">
        <v>233</v>
      </c>
      <c r="B30" s="33" t="s">
        <v>234</v>
      </c>
      <c r="C30" s="85" t="str">
        <f>[23]С1.1!E25</f>
        <v>ООО "Газпром газораспределение Томск"</v>
      </c>
    </row>
    <row r="31" spans="1:3" ht="38.25">
      <c r="A31" s="22" t="s">
        <v>235</v>
      </c>
      <c r="B31" s="33" t="str">
        <f>[23]С1.1!D26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[23]С1.1!E26</f>
        <v>4699.5</v>
      </c>
    </row>
    <row r="32" spans="1:3" ht="25.5">
      <c r="A32" s="22" t="s">
        <v>236</v>
      </c>
      <c r="B32" s="33" t="str">
        <f>[23]С1.1!D27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[23]С1.1!E27</f>
        <v>795.43</v>
      </c>
    </row>
    <row r="33" spans="1:3" ht="25.5">
      <c r="A33" s="22" t="s">
        <v>237</v>
      </c>
      <c r="B33" s="33" t="str">
        <f>[23]С1.1!D28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[23]С1.1!E28</f>
        <v>136.54</v>
      </c>
    </row>
    <row r="34" spans="1:3" ht="38.25">
      <c r="A34" s="22" t="s">
        <v>238</v>
      </c>
      <c r="B34" s="33" t="str">
        <f>[23]С1.1!D29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[23]С1.1!E29</f>
        <v>119.9</v>
      </c>
    </row>
    <row r="35" spans="1:3" ht="17.25">
      <c r="A35" s="22" t="s">
        <v>12</v>
      </c>
      <c r="B35" s="33" t="s">
        <v>23</v>
      </c>
      <c r="C35" s="35">
        <f>[23]С1.1!E20</f>
        <v>8.5000000000000006E-2</v>
      </c>
    </row>
    <row r="36" spans="1:3" ht="17.25">
      <c r="A36" s="22" t="s">
        <v>14</v>
      </c>
      <c r="B36" s="33" t="s">
        <v>24</v>
      </c>
      <c r="C36" s="35">
        <f>[23]С1.1!E21</f>
        <v>0.112</v>
      </c>
    </row>
    <row r="37" spans="1:3" ht="30">
      <c r="A37" s="22" t="s">
        <v>16</v>
      </c>
      <c r="B37" s="36" t="s">
        <v>239</v>
      </c>
      <c r="C37" s="121">
        <f>[23]С1!F13</f>
        <v>156.1</v>
      </c>
    </row>
    <row r="38" spans="1:3">
      <c r="A38" s="22" t="s">
        <v>18</v>
      </c>
      <c r="B38" s="36" t="s">
        <v>26</v>
      </c>
      <c r="C38" s="38">
        <f>[23]С1!F16</f>
        <v>7000</v>
      </c>
    </row>
    <row r="39" spans="1:3" ht="14.25">
      <c r="A39" s="122" t="s">
        <v>27</v>
      </c>
      <c r="B39" s="39" t="s">
        <v>240</v>
      </c>
      <c r="C39" s="40">
        <f>[23]С1!F17</f>
        <v>1.1285714285714286</v>
      </c>
    </row>
    <row r="40" spans="1:3" ht="15.75">
      <c r="A40" s="123" t="s">
        <v>29</v>
      </c>
      <c r="B40" s="42" t="s">
        <v>30</v>
      </c>
      <c r="C40" s="40">
        <f>[23]С1!F20</f>
        <v>22.307053372799995</v>
      </c>
    </row>
    <row r="41" spans="1:3" ht="15.75">
      <c r="A41" s="123" t="s">
        <v>31</v>
      </c>
      <c r="B41" s="43" t="s">
        <v>32</v>
      </c>
      <c r="C41" s="40">
        <f>[23]С1!F21</f>
        <v>21.531904799999996</v>
      </c>
    </row>
    <row r="42" spans="1:3" ht="14.25">
      <c r="A42" s="123" t="s">
        <v>33</v>
      </c>
      <c r="B42" s="44" t="s">
        <v>34</v>
      </c>
      <c r="C42" s="40">
        <f>[23]С1!F22</f>
        <v>1.036</v>
      </c>
    </row>
    <row r="43" spans="1:3" ht="53.25" thickBot="1">
      <c r="A43" s="27" t="s">
        <v>35</v>
      </c>
      <c r="B43" s="45" t="s">
        <v>36</v>
      </c>
      <c r="C43" s="46" t="str">
        <f>[23]С1!F23</f>
        <v>-</v>
      </c>
    </row>
    <row r="44" spans="1:3" ht="13.5" thickBot="1">
      <c r="A44" s="47"/>
      <c r="B44" s="75"/>
      <c r="C44" s="15"/>
    </row>
    <row r="45" spans="1:3" ht="30" customHeight="1">
      <c r="A45" s="50" t="s">
        <v>37</v>
      </c>
      <c r="B45" s="145" t="s">
        <v>38</v>
      </c>
      <c r="C45" s="145"/>
    </row>
    <row r="46" spans="1:3" ht="25.5">
      <c r="A46" s="22" t="s">
        <v>39</v>
      </c>
      <c r="B46" s="36" t="s">
        <v>40</v>
      </c>
      <c r="C46" s="51" t="str">
        <f>[23]С2.1!E12</f>
        <v>V</v>
      </c>
    </row>
    <row r="47" spans="1:3" ht="25.5">
      <c r="A47" s="22" t="s">
        <v>41</v>
      </c>
      <c r="B47" s="33" t="s">
        <v>42</v>
      </c>
      <c r="C47" s="51" t="str">
        <f>[23]С2.1!E13</f>
        <v>6 и менее баллов</v>
      </c>
    </row>
    <row r="48" spans="1:3" ht="25.5">
      <c r="A48" s="22" t="s">
        <v>43</v>
      </c>
      <c r="B48" s="33" t="s">
        <v>241</v>
      </c>
      <c r="C48" s="51" t="str">
        <f>[23]С2.1!E14</f>
        <v>от 200 до 500</v>
      </c>
    </row>
    <row r="49" spans="1:3" ht="25.5">
      <c r="A49" s="22" t="s">
        <v>45</v>
      </c>
      <c r="B49" s="33" t="s">
        <v>242</v>
      </c>
      <c r="C49" s="52" t="str">
        <f>[23]С2.1!E15</f>
        <v>нет</v>
      </c>
    </row>
    <row r="50" spans="1:3" ht="30">
      <c r="A50" s="22" t="s">
        <v>47</v>
      </c>
      <c r="B50" s="33" t="s">
        <v>48</v>
      </c>
      <c r="C50" s="34">
        <f>[23]С2!F18</f>
        <v>35106.652004551666</v>
      </c>
    </row>
    <row r="51" spans="1:3" ht="30">
      <c r="A51" s="22" t="s">
        <v>49</v>
      </c>
      <c r="B51" s="53" t="s">
        <v>50</v>
      </c>
      <c r="C51" s="34">
        <f>IF([23]С2!F19&gt;0,[23]С2!F19,[23]С2!F20)</f>
        <v>23441.524932855718</v>
      </c>
    </row>
    <row r="52" spans="1:3" ht="25.5">
      <c r="A52" s="22" t="s">
        <v>51</v>
      </c>
      <c r="B52" s="54" t="s">
        <v>52</v>
      </c>
      <c r="C52" s="34">
        <f>[23]С2.1!E20</f>
        <v>-37</v>
      </c>
    </row>
    <row r="53" spans="1:3" ht="25.5">
      <c r="A53" s="22" t="s">
        <v>53</v>
      </c>
      <c r="B53" s="54" t="s">
        <v>54</v>
      </c>
      <c r="C53" s="34" t="str">
        <f>[23]С2.1!E23</f>
        <v>нет</v>
      </c>
    </row>
    <row r="54" spans="1:3" ht="38.25">
      <c r="A54" s="22" t="s">
        <v>55</v>
      </c>
      <c r="B54" s="55" t="s">
        <v>56</v>
      </c>
      <c r="C54" s="34">
        <f>[23]С2.2!E10</f>
        <v>1287</v>
      </c>
    </row>
    <row r="55" spans="1:3" ht="25.5">
      <c r="A55" s="22" t="s">
        <v>57</v>
      </c>
      <c r="B55" s="56" t="s">
        <v>58</v>
      </c>
      <c r="C55" s="34">
        <f>[23]С2.2!E12</f>
        <v>5.97</v>
      </c>
    </row>
    <row r="56" spans="1:3" ht="52.5">
      <c r="A56" s="22" t="s">
        <v>59</v>
      </c>
      <c r="B56" s="57" t="s">
        <v>60</v>
      </c>
      <c r="C56" s="34">
        <f>[23]С2.2!E13</f>
        <v>1</v>
      </c>
    </row>
    <row r="57" spans="1:3" ht="27.75">
      <c r="A57" s="22" t="s">
        <v>61</v>
      </c>
      <c r="B57" s="56" t="s">
        <v>62</v>
      </c>
      <c r="C57" s="34">
        <f>[23]С2.2!E14</f>
        <v>12104</v>
      </c>
    </row>
    <row r="58" spans="1:3" ht="25.5">
      <c r="A58" s="22" t="s">
        <v>63</v>
      </c>
      <c r="B58" s="57" t="s">
        <v>64</v>
      </c>
      <c r="C58" s="35">
        <f>[23]С2.2!E15</f>
        <v>4.8000000000000001E-2</v>
      </c>
    </row>
    <row r="59" spans="1:3">
      <c r="A59" s="22" t="s">
        <v>65</v>
      </c>
      <c r="B59" s="57" t="s">
        <v>66</v>
      </c>
      <c r="C59" s="124">
        <f>[23]С2.2!E16</f>
        <v>1</v>
      </c>
    </row>
    <row r="60" spans="1:3" ht="15.75">
      <c r="A60" s="22" t="s">
        <v>67</v>
      </c>
      <c r="B60" s="58" t="s">
        <v>68</v>
      </c>
      <c r="C60" s="34">
        <f>[23]С2!F21</f>
        <v>1</v>
      </c>
    </row>
    <row r="61" spans="1:3" ht="30">
      <c r="A61" s="59" t="s">
        <v>69</v>
      </c>
      <c r="B61" s="33" t="s">
        <v>243</v>
      </c>
      <c r="C61" s="34">
        <f>[23]С2!F13</f>
        <v>105136.23090983224</v>
      </c>
    </row>
    <row r="62" spans="1:3" ht="30">
      <c r="A62" s="59" t="s">
        <v>71</v>
      </c>
      <c r="B62" s="60" t="s">
        <v>244</v>
      </c>
      <c r="C62" s="34">
        <f>[23]С2!F14</f>
        <v>64899</v>
      </c>
    </row>
    <row r="63" spans="1:3" ht="15.75">
      <c r="A63" s="59" t="s">
        <v>73</v>
      </c>
      <c r="B63" s="60" t="s">
        <v>74</v>
      </c>
      <c r="C63" s="40">
        <f>[23]С2!F15</f>
        <v>1.071</v>
      </c>
    </row>
    <row r="64" spans="1:3" ht="15.75">
      <c r="A64" s="59" t="s">
        <v>75</v>
      </c>
      <c r="B64" s="60" t="s">
        <v>76</v>
      </c>
      <c r="C64" s="125">
        <f>[23]С2!F16</f>
        <v>1</v>
      </c>
    </row>
    <row r="65" spans="1:3" ht="17.25">
      <c r="A65" s="59" t="s">
        <v>77</v>
      </c>
      <c r="B65" s="60" t="s">
        <v>78</v>
      </c>
      <c r="C65" s="126">
        <f>[23]С2!F17</f>
        <v>1.01</v>
      </c>
    </row>
    <row r="66" spans="1:3" s="63" customFormat="1" ht="14.25">
      <c r="A66" s="59" t="s">
        <v>79</v>
      </c>
      <c r="B66" s="61" t="s">
        <v>80</v>
      </c>
      <c r="C66" s="62">
        <f>[23]С2!F35</f>
        <v>10</v>
      </c>
    </row>
    <row r="67" spans="1:3" ht="30">
      <c r="A67" s="59" t="s">
        <v>81</v>
      </c>
      <c r="B67" s="64" t="s">
        <v>82</v>
      </c>
      <c r="C67" s="34">
        <f>[23]С2!F28</f>
        <v>141.64867100230373</v>
      </c>
    </row>
    <row r="68" spans="1:3" ht="17.25">
      <c r="A68" s="59" t="s">
        <v>83</v>
      </c>
      <c r="B68" s="53" t="s">
        <v>245</v>
      </c>
      <c r="C68" s="40">
        <f>[23]С2!F29</f>
        <v>0.18916419899999998</v>
      </c>
    </row>
    <row r="69" spans="1:3" ht="17.25">
      <c r="A69" s="59" t="s">
        <v>85</v>
      </c>
      <c r="B69" s="58" t="s">
        <v>246</v>
      </c>
      <c r="C69" s="62">
        <f>[23]С2!F30</f>
        <v>500</v>
      </c>
    </row>
    <row r="70" spans="1:3" ht="42.75">
      <c r="A70" s="59" t="s">
        <v>87</v>
      </c>
      <c r="B70" s="33" t="s">
        <v>247</v>
      </c>
      <c r="C70" s="34">
        <f>[23]С2!F22</f>
        <v>39638.324046481182</v>
      </c>
    </row>
    <row r="71" spans="1:3" ht="30">
      <c r="A71" s="59" t="s">
        <v>89</v>
      </c>
      <c r="B71" s="60" t="s">
        <v>248</v>
      </c>
      <c r="C71" s="34">
        <f>[23]С2!F23</f>
        <v>21</v>
      </c>
    </row>
    <row r="72" spans="1:3" ht="30">
      <c r="A72" s="59" t="s">
        <v>91</v>
      </c>
      <c r="B72" s="53" t="s">
        <v>92</v>
      </c>
      <c r="C72" s="34">
        <f>[23]С2.1!E28</f>
        <v>14036.09995</v>
      </c>
    </row>
    <row r="73" spans="1:3" ht="38.25">
      <c r="A73" s="59" t="s">
        <v>93</v>
      </c>
      <c r="B73" s="65" t="s">
        <v>94</v>
      </c>
      <c r="C73" s="52">
        <f>[23]С2.3!E21</f>
        <v>0</v>
      </c>
    </row>
    <row r="74" spans="1:3" ht="25.5">
      <c r="A74" s="59" t="s">
        <v>95</v>
      </c>
      <c r="B74" s="66" t="s">
        <v>96</v>
      </c>
      <c r="C74" s="67">
        <f>[23]С2.3!E11</f>
        <v>5.45</v>
      </c>
    </row>
    <row r="75" spans="1:3" ht="25.5">
      <c r="A75" s="59" t="s">
        <v>97</v>
      </c>
      <c r="B75" s="66" t="s">
        <v>98</v>
      </c>
      <c r="C75" s="62">
        <f>[23]С2.3!E13</f>
        <v>300</v>
      </c>
    </row>
    <row r="76" spans="1:3" ht="25.5">
      <c r="A76" s="59" t="s">
        <v>99</v>
      </c>
      <c r="B76" s="65" t="s">
        <v>100</v>
      </c>
      <c r="C76" s="68">
        <f>IF([23]С2.3!E22&gt;0,[23]С2.3!E22,[23]С2.3!E14)</f>
        <v>61211</v>
      </c>
    </row>
    <row r="77" spans="1:3" ht="38.25">
      <c r="A77" s="59" t="s">
        <v>101</v>
      </c>
      <c r="B77" s="65" t="s">
        <v>102</v>
      </c>
      <c r="C77" s="68">
        <f>IF([23]С2.3!E23&gt;0,[23]С2.3!E23,[23]С2.3!E15)</f>
        <v>45675</v>
      </c>
    </row>
    <row r="78" spans="1:3" ht="30">
      <c r="A78" s="59" t="s">
        <v>103</v>
      </c>
      <c r="B78" s="53" t="s">
        <v>104</v>
      </c>
      <c r="C78" s="34">
        <f>[23]С2.1!E29</f>
        <v>9518.3274000000001</v>
      </c>
    </row>
    <row r="79" spans="1:3" ht="38.25">
      <c r="A79" s="59" t="s">
        <v>105</v>
      </c>
      <c r="B79" s="65" t="s">
        <v>106</v>
      </c>
      <c r="C79" s="52">
        <f>[23]С2.3!E25</f>
        <v>0</v>
      </c>
    </row>
    <row r="80" spans="1:3" ht="25.5">
      <c r="A80" s="59" t="s">
        <v>107</v>
      </c>
      <c r="B80" s="66" t="s">
        <v>108</v>
      </c>
      <c r="C80" s="67">
        <f>[23]С2.3!E12</f>
        <v>0.2</v>
      </c>
    </row>
    <row r="81" spans="1:3" ht="25.5">
      <c r="A81" s="59" t="s">
        <v>109</v>
      </c>
      <c r="B81" s="66" t="s">
        <v>98</v>
      </c>
      <c r="C81" s="62">
        <f>[23]С2.3!E13</f>
        <v>300</v>
      </c>
    </row>
    <row r="82" spans="1:3" ht="25.5">
      <c r="A82" s="59" t="s">
        <v>110</v>
      </c>
      <c r="B82" s="69" t="s">
        <v>111</v>
      </c>
      <c r="C82" s="68">
        <f>IF([23]С2.3!E26&gt;0,[23]С2.3!E26,[23]С2.3!E16)</f>
        <v>65637</v>
      </c>
    </row>
    <row r="83" spans="1:3" ht="38.25">
      <c r="A83" s="59" t="s">
        <v>112</v>
      </c>
      <c r="B83" s="69" t="s">
        <v>113</v>
      </c>
      <c r="C83" s="68">
        <f>IF([23]С2.3!E27&gt;0,[23]С2.3!E27,[23]С2.3!E17)</f>
        <v>31684</v>
      </c>
    </row>
    <row r="84" spans="1:3" ht="30">
      <c r="A84" s="59" t="s">
        <v>249</v>
      </c>
      <c r="B84" s="60" t="s">
        <v>250</v>
      </c>
      <c r="C84" s="68">
        <f>IF([23]С2.1!E19&gt;0,[23]С2.1!E19,[23]С2!F26)</f>
        <v>2892</v>
      </c>
    </row>
    <row r="85" spans="1:3" ht="17.25">
      <c r="A85" s="59" t="s">
        <v>114</v>
      </c>
      <c r="B85" s="33" t="s">
        <v>115</v>
      </c>
      <c r="C85" s="35">
        <f>[23]С2!F31</f>
        <v>9.5962865259740182E-2</v>
      </c>
    </row>
    <row r="86" spans="1:3" ht="30">
      <c r="A86" s="59" t="s">
        <v>116</v>
      </c>
      <c r="B86" s="53" t="s">
        <v>117</v>
      </c>
      <c r="C86" s="70">
        <f>[23]С2!F32</f>
        <v>8.4029304029304031E-2</v>
      </c>
    </row>
    <row r="87" spans="1:3" ht="17.25">
      <c r="A87" s="59" t="s">
        <v>118</v>
      </c>
      <c r="B87" s="71" t="s">
        <v>119</v>
      </c>
      <c r="C87" s="35">
        <f>[23]С2!F33</f>
        <v>0.13880000000000001</v>
      </c>
    </row>
    <row r="88" spans="1:3" s="63" customFormat="1" ht="18" thickBot="1">
      <c r="A88" s="72" t="s">
        <v>120</v>
      </c>
      <c r="B88" s="73" t="s">
        <v>121</v>
      </c>
      <c r="C88" s="74">
        <f>[23]С2!F34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[23]С3!F14</f>
        <v>4199.9055432306041</v>
      </c>
    </row>
    <row r="92" spans="1:3" s="63" customFormat="1" ht="42.75">
      <c r="A92" s="77" t="s">
        <v>126</v>
      </c>
      <c r="B92" s="53" t="s">
        <v>127</v>
      </c>
      <c r="C92" s="78">
        <f>[23]С3!F15</f>
        <v>0.2</v>
      </c>
    </row>
    <row r="93" spans="1:3" s="63" customFormat="1" ht="14.25">
      <c r="A93" s="77" t="s">
        <v>128</v>
      </c>
      <c r="B93" s="79" t="s">
        <v>129</v>
      </c>
      <c r="C93" s="62">
        <f>[23]С3!F18</f>
        <v>15</v>
      </c>
    </row>
    <row r="94" spans="1:3" s="63" customFormat="1" ht="17.25">
      <c r="A94" s="77" t="s">
        <v>130</v>
      </c>
      <c r="B94" s="33" t="s">
        <v>131</v>
      </c>
      <c r="C94" s="34">
        <f>[23]С3!F19</f>
        <v>2638.2577020926874</v>
      </c>
    </row>
    <row r="95" spans="1:3" s="63" customFormat="1" ht="55.5">
      <c r="A95" s="77" t="s">
        <v>132</v>
      </c>
      <c r="B95" s="53" t="s">
        <v>133</v>
      </c>
      <c r="C95" s="80">
        <f>[23]С3!F20</f>
        <v>2.1999999999999999E-2</v>
      </c>
    </row>
    <row r="96" spans="1:3" s="63" customFormat="1" ht="14.25">
      <c r="A96" s="77" t="s">
        <v>134</v>
      </c>
      <c r="B96" s="58" t="s">
        <v>80</v>
      </c>
      <c r="C96" s="62">
        <f>[23]С3!F21</f>
        <v>10</v>
      </c>
    </row>
    <row r="97" spans="1:3" s="63" customFormat="1" ht="17.25">
      <c r="A97" s="77" t="s">
        <v>135</v>
      </c>
      <c r="B97" s="33" t="s">
        <v>136</v>
      </c>
      <c r="C97" s="34">
        <f>[23]С3!F22</f>
        <v>0.42494601300691121</v>
      </c>
    </row>
    <row r="98" spans="1:3" s="63" customFormat="1" ht="55.5">
      <c r="A98" s="77" t="s">
        <v>137</v>
      </c>
      <c r="B98" s="53" t="s">
        <v>138</v>
      </c>
      <c r="C98" s="80">
        <f>[23]С3!F23</f>
        <v>3.0000000000000001E-3</v>
      </c>
    </row>
    <row r="99" spans="1:3" s="63" customFormat="1" ht="30.75" thickBot="1">
      <c r="A99" s="81" t="s">
        <v>139</v>
      </c>
      <c r="B99" s="82" t="s">
        <v>82</v>
      </c>
      <c r="C99" s="83">
        <f>[23]С3!F24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[23]С4!F16</f>
        <v>832.33500000000004</v>
      </c>
    </row>
    <row r="103" spans="1:3" ht="30">
      <c r="A103" s="59" t="s">
        <v>145</v>
      </c>
      <c r="B103" s="58" t="s">
        <v>252</v>
      </c>
      <c r="C103" s="34">
        <f>[23]С4!F17</f>
        <v>43385</v>
      </c>
    </row>
    <row r="104" spans="1:3" ht="17.25">
      <c r="A104" s="59" t="s">
        <v>147</v>
      </c>
      <c r="B104" s="58" t="s">
        <v>148</v>
      </c>
      <c r="C104" s="40">
        <f>[23]С4!F18</f>
        <v>1.4999999999999999E-2</v>
      </c>
    </row>
    <row r="105" spans="1:3" ht="30">
      <c r="A105" s="59" t="s">
        <v>149</v>
      </c>
      <c r="B105" s="58" t="s">
        <v>150</v>
      </c>
      <c r="C105" s="34">
        <f>[23]С4!F19</f>
        <v>12104</v>
      </c>
    </row>
    <row r="106" spans="1:3" ht="31.5">
      <c r="A106" s="59" t="s">
        <v>151</v>
      </c>
      <c r="B106" s="58" t="s">
        <v>152</v>
      </c>
      <c r="C106" s="40">
        <f>[23]С4!F20</f>
        <v>1.4999999999999999E-2</v>
      </c>
    </row>
    <row r="107" spans="1:3" ht="30">
      <c r="A107" s="59" t="s">
        <v>153</v>
      </c>
      <c r="B107" s="33" t="s">
        <v>253</v>
      </c>
      <c r="C107" s="34">
        <f>[23]С4!F21</f>
        <v>1221.9019409821399</v>
      </c>
    </row>
    <row r="108" spans="1:3" ht="45.6" customHeight="1">
      <c r="A108" s="59" t="s">
        <v>155</v>
      </c>
      <c r="B108" s="53" t="s">
        <v>156</v>
      </c>
      <c r="C108" s="85" t="str">
        <f>IF([23]С4.2!F8="да",[23]С4.2!D21,[23]С4.2!D15)</f>
        <v>АО "Новосибирскэнергосбыт"</v>
      </c>
    </row>
    <row r="109" spans="1:3" ht="68.25" customHeight="1">
      <c r="A109" s="59" t="s">
        <v>157</v>
      </c>
      <c r="B109" s="53" t="s">
        <v>158</v>
      </c>
      <c r="C109" s="34">
        <f>[23]С4!F22</f>
        <v>3.6112641666666665</v>
      </c>
    </row>
    <row r="110" spans="1:3" ht="30">
      <c r="A110" s="59" t="s">
        <v>159</v>
      </c>
      <c r="B110" s="58" t="s">
        <v>254</v>
      </c>
      <c r="C110" s="62">
        <f>[23]С4!F23</f>
        <v>110</v>
      </c>
    </row>
    <row r="111" spans="1:3" ht="14.25">
      <c r="A111" s="59" t="s">
        <v>161</v>
      </c>
      <c r="B111" s="53" t="s">
        <v>162</v>
      </c>
      <c r="C111" s="34">
        <f>[23]С4!F24</f>
        <v>8497.1999999999989</v>
      </c>
    </row>
    <row r="112" spans="1:3" ht="14.25">
      <c r="A112" s="59" t="s">
        <v>163</v>
      </c>
      <c r="B112" s="58" t="s">
        <v>164</v>
      </c>
      <c r="C112" s="40">
        <f>[23]С4!F25</f>
        <v>0.36199999999999999</v>
      </c>
    </row>
    <row r="113" spans="1:3" ht="17.25">
      <c r="A113" s="59" t="s">
        <v>165</v>
      </c>
      <c r="B113" s="33" t="s">
        <v>166</v>
      </c>
      <c r="C113" s="34">
        <f>[23]С4!F26</f>
        <v>47.147619999999996</v>
      </c>
    </row>
    <row r="114" spans="1:3" ht="25.5">
      <c r="A114" s="59" t="s">
        <v>167</v>
      </c>
      <c r="B114" s="53" t="s">
        <v>94</v>
      </c>
      <c r="C114" s="85">
        <f>[23]С4.3!E16</f>
        <v>0</v>
      </c>
    </row>
    <row r="115" spans="1:3" ht="25.5">
      <c r="A115" s="59" t="s">
        <v>168</v>
      </c>
      <c r="B115" s="53" t="s">
        <v>169</v>
      </c>
      <c r="C115" s="34">
        <f>[23]С4.3!E17</f>
        <v>23.57</v>
      </c>
    </row>
    <row r="116" spans="1:3" ht="38.25">
      <c r="A116" s="59" t="s">
        <v>170</v>
      </c>
      <c r="B116" s="53" t="s">
        <v>106</v>
      </c>
      <c r="C116" s="85">
        <f>[23]С4.3!E18</f>
        <v>0</v>
      </c>
    </row>
    <row r="117" spans="1:3">
      <c r="A117" s="59" t="s">
        <v>171</v>
      </c>
      <c r="B117" s="53" t="s">
        <v>172</v>
      </c>
      <c r="C117" s="34">
        <f>[23]С4.3!E19</f>
        <v>22.06</v>
      </c>
    </row>
    <row r="118" spans="1:3">
      <c r="A118" s="59" t="s">
        <v>173</v>
      </c>
      <c r="B118" s="58" t="s">
        <v>174</v>
      </c>
      <c r="C118" s="62">
        <f>[23]С4.3!E11</f>
        <v>1871</v>
      </c>
    </row>
    <row r="119" spans="1:3">
      <c r="A119" s="59" t="s">
        <v>175</v>
      </c>
      <c r="B119" s="58" t="s">
        <v>176</v>
      </c>
      <c r="C119" s="52">
        <f>[23]С4.3!E12</f>
        <v>61</v>
      </c>
    </row>
    <row r="120" spans="1:3">
      <c r="A120" s="59" t="s">
        <v>177</v>
      </c>
      <c r="B120" s="58" t="s">
        <v>178</v>
      </c>
      <c r="C120" s="52">
        <f>[23]С4.3!E13</f>
        <v>73</v>
      </c>
    </row>
    <row r="121" spans="1:3" ht="30">
      <c r="A121" s="59" t="s">
        <v>179</v>
      </c>
      <c r="B121" s="33" t="s">
        <v>255</v>
      </c>
      <c r="C121" s="34">
        <f>[23]С4!F27</f>
        <v>1296.7467102743137</v>
      </c>
    </row>
    <row r="122" spans="1:3" ht="25.5">
      <c r="A122" s="59" t="s">
        <v>181</v>
      </c>
      <c r="B122" s="53" t="s">
        <v>256</v>
      </c>
      <c r="C122" s="34">
        <f>[23]С4!F28</f>
        <v>995.96521526444985</v>
      </c>
    </row>
    <row r="123" spans="1:3" ht="42.75">
      <c r="A123" s="59" t="s">
        <v>183</v>
      </c>
      <c r="B123" s="53" t="s">
        <v>184</v>
      </c>
      <c r="C123" s="34">
        <f>[23]С4!F29</f>
        <v>300.78149500986387</v>
      </c>
    </row>
    <row r="124" spans="1:3" ht="30.75" thickBot="1">
      <c r="A124" s="72" t="s">
        <v>185</v>
      </c>
      <c r="B124" s="90" t="s">
        <v>186</v>
      </c>
      <c r="C124" s="83">
        <f>[23]С4!F30</f>
        <v>504.88835954740301</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[23]С5!F17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IF([23]С6.1!E11="нет",[23]С6!F13,"")</f>
        <v/>
      </c>
    </row>
    <row r="131" spans="1:3" ht="42.75">
      <c r="A131" s="59" t="s">
        <v>204</v>
      </c>
      <c r="B131" s="86" t="s">
        <v>205</v>
      </c>
      <c r="C131" s="92" t="str">
        <f>IF([23]С6.1!E12="нет",[23]С6.1!E17,"")</f>
        <v/>
      </c>
    </row>
    <row r="132" spans="1:3" ht="68.25">
      <c r="A132" s="59" t="s">
        <v>206</v>
      </c>
      <c r="B132" s="91" t="s">
        <v>207</v>
      </c>
      <c r="C132" s="127" t="str">
        <f>IF([23]С6.1!E18="нет",[23]С6!F19,"")</f>
        <v/>
      </c>
    </row>
    <row r="133" spans="1:3" ht="55.5">
      <c r="A133" s="59" t="s">
        <v>208</v>
      </c>
      <c r="B133" s="86" t="s">
        <v>209</v>
      </c>
      <c r="C133" s="35" t="str">
        <f>IF([23]С6.1!E18="нет",[23]С6.1!E19,"")</f>
        <v/>
      </c>
    </row>
    <row r="134" spans="1:3" ht="61.5" customHeight="1">
      <c r="A134" s="59" t="s">
        <v>210</v>
      </c>
      <c r="B134" s="86" t="s">
        <v>257</v>
      </c>
      <c r="C134" s="35" t="str">
        <f>IF([23]С6.1!E18="нет",[23]С6.1!E22,"")</f>
        <v/>
      </c>
    </row>
    <row r="135" spans="1:3" ht="69" thickBot="1">
      <c r="A135" s="72" t="s">
        <v>212</v>
      </c>
      <c r="B135" s="98" t="s">
        <v>213</v>
      </c>
      <c r="C135" s="74" t="str">
        <f>IF([23]С6.1!E18="нет",[23]С6.1!E23,"")</f>
        <v/>
      </c>
    </row>
    <row r="136" spans="1:3" s="89" customFormat="1" ht="13.5" thickBot="1">
      <c r="A136" s="47"/>
      <c r="B136" s="75"/>
      <c r="C136" s="15"/>
    </row>
    <row r="137" spans="1:3" ht="15.75">
      <c r="A137" s="84" t="s">
        <v>214</v>
      </c>
      <c r="B137" s="99" t="s">
        <v>215</v>
      </c>
      <c r="C137" s="100">
        <f>[23]С2!F39</f>
        <v>21.531904799999996</v>
      </c>
    </row>
    <row r="138" spans="1:3" ht="14.25">
      <c r="A138" s="59" t="s">
        <v>216</v>
      </c>
      <c r="B138" s="58" t="s">
        <v>217</v>
      </c>
      <c r="C138" s="34">
        <f>[23]С2!F40</f>
        <v>7</v>
      </c>
    </row>
    <row r="139" spans="1:3" ht="17.25">
      <c r="A139" s="59" t="s">
        <v>218</v>
      </c>
      <c r="B139" s="58" t="s">
        <v>219</v>
      </c>
      <c r="C139" s="34">
        <f>[23]С2!F42</f>
        <v>0.97</v>
      </c>
    </row>
    <row r="140" spans="1:3" ht="15" thickBot="1">
      <c r="A140" s="72" t="s">
        <v>220</v>
      </c>
      <c r="B140" s="73" t="s">
        <v>221</v>
      </c>
      <c r="C140" s="46">
        <f>[23]С2!F44</f>
        <v>0.36199999999999999</v>
      </c>
    </row>
    <row r="141" spans="1:3" s="89" customFormat="1" ht="13.5" thickBot="1">
      <c r="A141" s="47"/>
      <c r="B141" s="75"/>
      <c r="C141" s="15"/>
    </row>
    <row r="142" spans="1:3" ht="17.25">
      <c r="A142" s="84" t="s">
        <v>222</v>
      </c>
      <c r="B142" s="103" t="s">
        <v>258</v>
      </c>
      <c r="C142" s="128">
        <f>[23]С2!F37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[23]С2.5!$E$11</f>
        <v>-2.9000000000000026E-2</v>
      </c>
    </row>
    <row r="146" spans="1:3">
      <c r="B146" s="131">
        <f>B145+1</f>
        <v>2021</v>
      </c>
      <c r="C146" s="133">
        <f>[23]С2.5!$F$11</f>
        <v>0.245</v>
      </c>
    </row>
    <row r="147" spans="1:3">
      <c r="B147" s="131">
        <f t="shared" ref="B147:B210" si="0">B146+1</f>
        <v>2022</v>
      </c>
      <c r="C147" s="134">
        <f>[23]С2.5!$G$11</f>
        <v>0.114</v>
      </c>
    </row>
    <row r="148" spans="1:3">
      <c r="B148" s="110">
        <f t="shared" si="0"/>
        <v>2023</v>
      </c>
      <c r="C148" s="135">
        <f>[23]С2.5!$H$11</f>
        <v>2.4E-2</v>
      </c>
    </row>
    <row r="149" spans="1:3" ht="13.5" thickBot="1">
      <c r="B149" s="110">
        <f t="shared" si="0"/>
        <v>2024</v>
      </c>
      <c r="C149" s="135">
        <f>[23]С2.5!$I$11</f>
        <v>8.5999999999999993E-2</v>
      </c>
    </row>
    <row r="150" spans="1:3" ht="13.5" hidden="1" thickBot="1">
      <c r="B150" s="110">
        <f t="shared" si="0"/>
        <v>2025</v>
      </c>
      <c r="C150" s="135">
        <f>[23]С2.5!$J$11</f>
        <v>0</v>
      </c>
    </row>
    <row r="151" spans="1:3" ht="13.5" hidden="1" thickBot="1">
      <c r="B151" s="110">
        <f t="shared" si="0"/>
        <v>2026</v>
      </c>
      <c r="C151" s="135">
        <f>[23]С2.5!$K$11</f>
        <v>0</v>
      </c>
    </row>
    <row r="152" spans="1:3" ht="13.5" hidden="1" thickBot="1">
      <c r="B152" s="110">
        <f t="shared" si="0"/>
        <v>2027</v>
      </c>
      <c r="C152" s="135">
        <f>[23]С2.5!$L$11</f>
        <v>0</v>
      </c>
    </row>
    <row r="153" spans="1:3" ht="13.5" hidden="1" thickBot="1">
      <c r="B153" s="110">
        <f t="shared" si="0"/>
        <v>2028</v>
      </c>
      <c r="C153" s="135">
        <f>[23]С2.5!$M$11</f>
        <v>0</v>
      </c>
    </row>
    <row r="154" spans="1:3" ht="13.5" hidden="1" thickBot="1">
      <c r="B154" s="110">
        <f t="shared" si="0"/>
        <v>2029</v>
      </c>
      <c r="C154" s="135">
        <f>[23]С2.5!$N$11</f>
        <v>0</v>
      </c>
    </row>
    <row r="155" spans="1:3" ht="13.5" hidden="1" thickBot="1">
      <c r="B155" s="110">
        <f t="shared" si="0"/>
        <v>2030</v>
      </c>
      <c r="C155" s="135">
        <f>[23]С2.5!$O$11</f>
        <v>0</v>
      </c>
    </row>
    <row r="156" spans="1:3" ht="13.5" hidden="1" thickBot="1">
      <c r="B156" s="110">
        <f t="shared" si="0"/>
        <v>2031</v>
      </c>
      <c r="C156" s="135">
        <f>[23]С2.5!$P$11</f>
        <v>0</v>
      </c>
    </row>
    <row r="157" spans="1:3" ht="13.5" hidden="1" thickBot="1">
      <c r="B157" s="110">
        <f t="shared" si="0"/>
        <v>2032</v>
      </c>
      <c r="C157" s="135">
        <f>[23]С2.5!$Q$11</f>
        <v>0</v>
      </c>
    </row>
    <row r="158" spans="1:3" ht="13.5" hidden="1" thickBot="1">
      <c r="B158" s="110">
        <f t="shared" si="0"/>
        <v>2033</v>
      </c>
      <c r="C158" s="135">
        <f>[23]С2.5!$R$11</f>
        <v>0</v>
      </c>
    </row>
    <row r="159" spans="1:3" ht="13.5" hidden="1" thickBot="1">
      <c r="B159" s="110">
        <f t="shared" si="0"/>
        <v>2034</v>
      </c>
      <c r="C159" s="135">
        <f>[23]С2.5!$S$11</f>
        <v>0</v>
      </c>
    </row>
    <row r="160" spans="1:3" ht="13.5" hidden="1" thickBot="1">
      <c r="B160" s="110">
        <f t="shared" si="0"/>
        <v>2035</v>
      </c>
      <c r="C160" s="135">
        <f>[23]С2.5!$T$11</f>
        <v>0</v>
      </c>
    </row>
    <row r="161" spans="2:3" ht="13.5" hidden="1" thickBot="1">
      <c r="B161" s="110">
        <f t="shared" si="0"/>
        <v>2036</v>
      </c>
      <c r="C161" s="135">
        <f>[23]С2.5!$U$11</f>
        <v>0</v>
      </c>
    </row>
    <row r="162" spans="2:3" ht="13.5" hidden="1" thickBot="1">
      <c r="B162" s="110">
        <f t="shared" si="0"/>
        <v>2037</v>
      </c>
      <c r="C162" s="135">
        <f>[23]С2.5!$V$11</f>
        <v>0</v>
      </c>
    </row>
    <row r="163" spans="2:3" ht="13.5" hidden="1" thickBot="1">
      <c r="B163" s="110">
        <f t="shared" si="0"/>
        <v>2038</v>
      </c>
      <c r="C163" s="135">
        <f>[23]С2.5!$W$11</f>
        <v>0</v>
      </c>
    </row>
    <row r="164" spans="2:3" ht="13.5" hidden="1" thickBot="1">
      <c r="B164" s="110">
        <f t="shared" si="0"/>
        <v>2039</v>
      </c>
      <c r="C164" s="135">
        <f>[23]С2.5!$X$11</f>
        <v>0</v>
      </c>
    </row>
    <row r="165" spans="2:3" ht="13.5" hidden="1" thickBot="1">
      <c r="B165" s="110">
        <f t="shared" si="0"/>
        <v>2040</v>
      </c>
      <c r="C165" s="135">
        <f>[23]С2.5!$Y$11</f>
        <v>0</v>
      </c>
    </row>
    <row r="166" spans="2:3" ht="13.5" hidden="1" thickBot="1">
      <c r="B166" s="110">
        <f t="shared" si="0"/>
        <v>2041</v>
      </c>
      <c r="C166" s="135">
        <f>[23]С2.5!$Z$11</f>
        <v>0</v>
      </c>
    </row>
    <row r="167" spans="2:3" ht="13.5" hidden="1" thickBot="1">
      <c r="B167" s="110">
        <f t="shared" si="0"/>
        <v>2042</v>
      </c>
      <c r="C167" s="135">
        <f>[23]С2.5!$AA$11</f>
        <v>0</v>
      </c>
    </row>
    <row r="168" spans="2:3" ht="13.5" hidden="1" thickBot="1">
      <c r="B168" s="110">
        <f t="shared" si="0"/>
        <v>2043</v>
      </c>
      <c r="C168" s="135">
        <f>[23]С2.5!$AB$11</f>
        <v>0</v>
      </c>
    </row>
    <row r="169" spans="2:3" ht="13.5" hidden="1" thickBot="1">
      <c r="B169" s="110">
        <f t="shared" si="0"/>
        <v>2044</v>
      </c>
      <c r="C169" s="135">
        <f>[23]С2.5!$AC$11</f>
        <v>0</v>
      </c>
    </row>
    <row r="170" spans="2:3" ht="13.5" hidden="1" thickBot="1">
      <c r="B170" s="110">
        <f t="shared" si="0"/>
        <v>2045</v>
      </c>
      <c r="C170" s="135">
        <f>[23]С2.5!$AD$11</f>
        <v>0</v>
      </c>
    </row>
    <row r="171" spans="2:3" ht="13.5" hidden="1" thickBot="1">
      <c r="B171" s="110">
        <f t="shared" si="0"/>
        <v>2046</v>
      </c>
      <c r="C171" s="135">
        <f>[23]С2.5!$AE$11</f>
        <v>0</v>
      </c>
    </row>
    <row r="172" spans="2:3" ht="13.5" hidden="1" thickBot="1">
      <c r="B172" s="110">
        <f t="shared" si="0"/>
        <v>2047</v>
      </c>
      <c r="C172" s="135">
        <f>[23]С2.5!$AF$11</f>
        <v>0</v>
      </c>
    </row>
    <row r="173" spans="2:3" ht="13.5" hidden="1" thickBot="1">
      <c r="B173" s="110">
        <f t="shared" si="0"/>
        <v>2048</v>
      </c>
      <c r="C173" s="135">
        <f>[23]С2.5!$AG$11</f>
        <v>0</v>
      </c>
    </row>
    <row r="174" spans="2:3" ht="13.5" hidden="1" thickBot="1">
      <c r="B174" s="110">
        <f t="shared" si="0"/>
        <v>2049</v>
      </c>
      <c r="C174" s="135">
        <f>[23]С2.5!$AH$11</f>
        <v>0</v>
      </c>
    </row>
    <row r="175" spans="2:3" ht="13.5" hidden="1" thickBot="1">
      <c r="B175" s="110">
        <f t="shared" si="0"/>
        <v>2050</v>
      </c>
      <c r="C175" s="135">
        <f>[23]С2.5!$AI$11</f>
        <v>0</v>
      </c>
    </row>
    <row r="176" spans="2:3" ht="13.5" hidden="1" thickBot="1">
      <c r="B176" s="110">
        <f t="shared" si="0"/>
        <v>2051</v>
      </c>
      <c r="C176" s="135">
        <f>[23]С2.5!$AJ$11</f>
        <v>0</v>
      </c>
    </row>
    <row r="177" spans="2:3" ht="13.5" hidden="1" thickBot="1">
      <c r="B177" s="110">
        <f t="shared" si="0"/>
        <v>2052</v>
      </c>
      <c r="C177" s="135">
        <f>[23]С2.5!$AK$11</f>
        <v>0</v>
      </c>
    </row>
    <row r="178" spans="2:3" ht="13.5" hidden="1" thickBot="1">
      <c r="B178" s="110">
        <f t="shared" si="0"/>
        <v>2053</v>
      </c>
      <c r="C178" s="135">
        <f>[23]С2.5!$AL$11</f>
        <v>0</v>
      </c>
    </row>
    <row r="179" spans="2:3" ht="13.5" hidden="1" thickBot="1">
      <c r="B179" s="110">
        <f t="shared" si="0"/>
        <v>2054</v>
      </c>
      <c r="C179" s="135">
        <f>[23]С2.5!$AM$11</f>
        <v>0</v>
      </c>
    </row>
    <row r="180" spans="2:3" ht="13.5" hidden="1" thickBot="1">
      <c r="B180" s="110">
        <f t="shared" si="0"/>
        <v>2055</v>
      </c>
      <c r="C180" s="135">
        <f>[23]С2.5!$AN$11</f>
        <v>0</v>
      </c>
    </row>
    <row r="181" spans="2:3" ht="13.5" hidden="1" thickBot="1">
      <c r="B181" s="110">
        <f t="shared" si="0"/>
        <v>2056</v>
      </c>
      <c r="C181" s="135">
        <f>[23]С2.5!$AO$11</f>
        <v>0</v>
      </c>
    </row>
    <row r="182" spans="2:3" ht="13.5" hidden="1" thickBot="1">
      <c r="B182" s="110">
        <f t="shared" si="0"/>
        <v>2057</v>
      </c>
      <c r="C182" s="135">
        <f>[23]С2.5!$AP$11</f>
        <v>0</v>
      </c>
    </row>
    <row r="183" spans="2:3" ht="13.5" hidden="1" thickBot="1">
      <c r="B183" s="110">
        <f t="shared" si="0"/>
        <v>2058</v>
      </c>
      <c r="C183" s="135">
        <f>[23]С2.5!$AQ$11</f>
        <v>0</v>
      </c>
    </row>
    <row r="184" spans="2:3" ht="13.5" hidden="1" thickBot="1">
      <c r="B184" s="110">
        <f t="shared" si="0"/>
        <v>2059</v>
      </c>
      <c r="C184" s="135">
        <f>[23]С2.5!$AR$11</f>
        <v>0</v>
      </c>
    </row>
    <row r="185" spans="2:3" ht="13.5" hidden="1" thickBot="1">
      <c r="B185" s="110">
        <f t="shared" si="0"/>
        <v>2060</v>
      </c>
      <c r="C185" s="135">
        <f>[23]С2.5!$AS$11</f>
        <v>0</v>
      </c>
    </row>
    <row r="186" spans="2:3" ht="13.5" hidden="1" thickBot="1">
      <c r="B186" s="110">
        <f t="shared" si="0"/>
        <v>2061</v>
      </c>
      <c r="C186" s="135">
        <f>[23]С2.5!$AT$11</f>
        <v>0</v>
      </c>
    </row>
    <row r="187" spans="2:3" ht="13.5" hidden="1" thickBot="1">
      <c r="B187" s="110">
        <f t="shared" si="0"/>
        <v>2062</v>
      </c>
      <c r="C187" s="135">
        <f>[23]С2.5!$AU$11</f>
        <v>0</v>
      </c>
    </row>
    <row r="188" spans="2:3" ht="13.5" hidden="1" thickBot="1">
      <c r="B188" s="110">
        <f t="shared" si="0"/>
        <v>2063</v>
      </c>
      <c r="C188" s="135">
        <f>[23]С2.5!$AV$11</f>
        <v>0</v>
      </c>
    </row>
    <row r="189" spans="2:3" ht="13.5" hidden="1" thickBot="1">
      <c r="B189" s="110">
        <f t="shared" si="0"/>
        <v>2064</v>
      </c>
      <c r="C189" s="135">
        <f>[23]С2.5!$AW$11</f>
        <v>0</v>
      </c>
    </row>
    <row r="190" spans="2:3" ht="13.5" hidden="1" thickBot="1">
      <c r="B190" s="110">
        <f t="shared" si="0"/>
        <v>2065</v>
      </c>
      <c r="C190" s="135">
        <f>[23]С2.5!$AX$11</f>
        <v>0</v>
      </c>
    </row>
    <row r="191" spans="2:3" ht="13.5" hidden="1" thickBot="1">
      <c r="B191" s="110">
        <f t="shared" si="0"/>
        <v>2066</v>
      </c>
      <c r="C191" s="135">
        <f>[23]С2.5!$AY$11</f>
        <v>0</v>
      </c>
    </row>
    <row r="192" spans="2:3" ht="13.5" hidden="1" thickBot="1">
      <c r="B192" s="110">
        <f t="shared" si="0"/>
        <v>2067</v>
      </c>
      <c r="C192" s="135">
        <f>[23]С2.5!$AZ$11</f>
        <v>0</v>
      </c>
    </row>
    <row r="193" spans="2:3" ht="13.5" hidden="1" thickBot="1">
      <c r="B193" s="110">
        <f t="shared" si="0"/>
        <v>2068</v>
      </c>
      <c r="C193" s="135">
        <f>[23]С2.5!$BA$11</f>
        <v>0</v>
      </c>
    </row>
    <row r="194" spans="2:3" ht="13.5" hidden="1" thickBot="1">
      <c r="B194" s="110">
        <f t="shared" si="0"/>
        <v>2069</v>
      </c>
      <c r="C194" s="135">
        <f>[23]С2.5!$BB$11</f>
        <v>0</v>
      </c>
    </row>
    <row r="195" spans="2:3" ht="13.5" hidden="1" thickBot="1">
      <c r="B195" s="110">
        <f t="shared" si="0"/>
        <v>2070</v>
      </c>
      <c r="C195" s="135">
        <f>[23]С2.5!$BC$11</f>
        <v>0</v>
      </c>
    </row>
    <row r="196" spans="2:3" ht="13.5" hidden="1" thickBot="1">
      <c r="B196" s="110">
        <f t="shared" si="0"/>
        <v>2071</v>
      </c>
      <c r="C196" s="135">
        <f>[23]С2.5!$BD$11</f>
        <v>0</v>
      </c>
    </row>
    <row r="197" spans="2:3" ht="13.5" hidden="1" thickBot="1">
      <c r="B197" s="110">
        <f t="shared" si="0"/>
        <v>2072</v>
      </c>
      <c r="C197" s="135">
        <f>[23]С2.5!$BE$11</f>
        <v>0</v>
      </c>
    </row>
    <row r="198" spans="2:3" ht="13.5" hidden="1" thickBot="1">
      <c r="B198" s="110">
        <f t="shared" si="0"/>
        <v>2073</v>
      </c>
      <c r="C198" s="135">
        <f>[23]С2.5!$BF$11</f>
        <v>0</v>
      </c>
    </row>
    <row r="199" spans="2:3" ht="13.5" hidden="1" thickBot="1">
      <c r="B199" s="110">
        <f t="shared" si="0"/>
        <v>2074</v>
      </c>
      <c r="C199" s="135">
        <f>[23]С2.5!$BG$11</f>
        <v>0</v>
      </c>
    </row>
    <row r="200" spans="2:3" ht="13.5" hidden="1" thickBot="1">
      <c r="B200" s="110">
        <f t="shared" si="0"/>
        <v>2075</v>
      </c>
      <c r="C200" s="135">
        <f>[23]С2.5!$BH$11</f>
        <v>0</v>
      </c>
    </row>
    <row r="201" spans="2:3" ht="13.5" hidden="1" thickBot="1">
      <c r="B201" s="110">
        <f t="shared" si="0"/>
        <v>2076</v>
      </c>
      <c r="C201" s="135">
        <f>[23]С2.5!$BI$11</f>
        <v>0</v>
      </c>
    </row>
    <row r="202" spans="2:3" ht="13.5" hidden="1" thickBot="1">
      <c r="B202" s="110">
        <f t="shared" si="0"/>
        <v>2077</v>
      </c>
      <c r="C202" s="135">
        <f>[23]С2.5!$BJ$11</f>
        <v>0</v>
      </c>
    </row>
    <row r="203" spans="2:3" ht="13.5" hidden="1" thickBot="1">
      <c r="B203" s="110">
        <f t="shared" si="0"/>
        <v>2078</v>
      </c>
      <c r="C203" s="135">
        <f>[23]С2.5!$BK$11</f>
        <v>0</v>
      </c>
    </row>
    <row r="204" spans="2:3" ht="13.5" hidden="1" thickBot="1">
      <c r="B204" s="110">
        <f t="shared" si="0"/>
        <v>2079</v>
      </c>
      <c r="C204" s="135">
        <f>[23]С2.5!$BL$11</f>
        <v>0</v>
      </c>
    </row>
    <row r="205" spans="2:3" ht="13.5" hidden="1" thickBot="1">
      <c r="B205" s="110">
        <f t="shared" si="0"/>
        <v>2080</v>
      </c>
      <c r="C205" s="135">
        <f>[23]С2.5!$BM$11</f>
        <v>0</v>
      </c>
    </row>
    <row r="206" spans="2:3" ht="13.5" hidden="1" thickBot="1">
      <c r="B206" s="110">
        <f t="shared" si="0"/>
        <v>2081</v>
      </c>
      <c r="C206" s="135">
        <f>[23]С2.5!$BN$11</f>
        <v>0</v>
      </c>
    </row>
    <row r="207" spans="2:3" ht="13.5" hidden="1" thickBot="1">
      <c r="B207" s="110">
        <f t="shared" si="0"/>
        <v>2082</v>
      </c>
      <c r="C207" s="135">
        <f>[23]С2.5!$BO$11</f>
        <v>0</v>
      </c>
    </row>
    <row r="208" spans="2:3" ht="13.5" hidden="1" thickBot="1">
      <c r="B208" s="110">
        <f t="shared" si="0"/>
        <v>2083</v>
      </c>
      <c r="C208" s="135">
        <f>[23]С2.5!$BP$11</f>
        <v>0</v>
      </c>
    </row>
    <row r="209" spans="2:3" ht="13.5" hidden="1" thickBot="1">
      <c r="B209" s="110">
        <f t="shared" si="0"/>
        <v>2084</v>
      </c>
      <c r="C209" s="135">
        <f>[23]С2.5!$BQ$11</f>
        <v>0</v>
      </c>
    </row>
    <row r="210" spans="2:3" ht="13.5" hidden="1" thickBot="1">
      <c r="B210" s="110">
        <f t="shared" si="0"/>
        <v>2085</v>
      </c>
      <c r="C210" s="135">
        <f>[23]С2.5!$BR$11</f>
        <v>0</v>
      </c>
    </row>
    <row r="211" spans="2:3" ht="13.5" hidden="1" thickBot="1">
      <c r="B211" s="110">
        <f t="shared" ref="B211:B224" si="1">B210+1</f>
        <v>2086</v>
      </c>
      <c r="C211" s="135">
        <f>[23]С2.5!$BS$11</f>
        <v>0</v>
      </c>
    </row>
    <row r="212" spans="2:3" ht="13.5" hidden="1" thickBot="1">
      <c r="B212" s="110">
        <f t="shared" si="1"/>
        <v>2087</v>
      </c>
      <c r="C212" s="135">
        <f>[23]С2.5!$BT$11</f>
        <v>0</v>
      </c>
    </row>
    <row r="213" spans="2:3" ht="13.5" hidden="1" thickBot="1">
      <c r="B213" s="110">
        <f t="shared" si="1"/>
        <v>2088</v>
      </c>
      <c r="C213" s="135">
        <f>[23]С2.5!$BU$11</f>
        <v>0</v>
      </c>
    </row>
    <row r="214" spans="2:3" ht="13.5" hidden="1" thickBot="1">
      <c r="B214" s="110">
        <f t="shared" si="1"/>
        <v>2089</v>
      </c>
      <c r="C214" s="135">
        <f>[23]С2.5!$BV$11</f>
        <v>0</v>
      </c>
    </row>
    <row r="215" spans="2:3" ht="13.5" hidden="1" thickBot="1">
      <c r="B215" s="110">
        <f t="shared" si="1"/>
        <v>2090</v>
      </c>
      <c r="C215" s="135">
        <f>[23]С2.5!$BW$11</f>
        <v>0</v>
      </c>
    </row>
    <row r="216" spans="2:3" ht="13.5" hidden="1" thickBot="1">
      <c r="B216" s="110">
        <f t="shared" si="1"/>
        <v>2091</v>
      </c>
      <c r="C216" s="135">
        <f>[23]С2.5!$BX$11</f>
        <v>0</v>
      </c>
    </row>
    <row r="217" spans="2:3" ht="13.5" hidden="1" thickBot="1">
      <c r="B217" s="110">
        <f t="shared" si="1"/>
        <v>2092</v>
      </c>
      <c r="C217" s="135">
        <f>[23]С2.5!$BY$11</f>
        <v>0</v>
      </c>
    </row>
    <row r="218" spans="2:3" ht="13.5" hidden="1" thickBot="1">
      <c r="B218" s="110">
        <f t="shared" si="1"/>
        <v>2093</v>
      </c>
      <c r="C218" s="135">
        <f>[23]С2.5!$BZ$11</f>
        <v>0</v>
      </c>
    </row>
    <row r="219" spans="2:3" ht="13.5" hidden="1" thickBot="1">
      <c r="B219" s="110">
        <f t="shared" si="1"/>
        <v>2094</v>
      </c>
      <c r="C219" s="135">
        <f>[23]С2.5!$CA$11</f>
        <v>0</v>
      </c>
    </row>
    <row r="220" spans="2:3" ht="13.5" hidden="1" thickBot="1">
      <c r="B220" s="110">
        <f t="shared" si="1"/>
        <v>2095</v>
      </c>
      <c r="C220" s="135">
        <f>[23]С2.5!$CB$11</f>
        <v>0</v>
      </c>
    </row>
    <row r="221" spans="2:3" ht="13.5" hidden="1" thickBot="1">
      <c r="B221" s="110">
        <f t="shared" si="1"/>
        <v>2096</v>
      </c>
      <c r="C221" s="135">
        <f>[23]С2.5!$CC$11</f>
        <v>0</v>
      </c>
    </row>
    <row r="222" spans="2:3" ht="13.5" hidden="1" thickBot="1">
      <c r="B222" s="110">
        <f t="shared" si="1"/>
        <v>2097</v>
      </c>
      <c r="C222" s="135">
        <f>[23]С2.5!$CD$11</f>
        <v>0</v>
      </c>
    </row>
    <row r="223" spans="2:3" ht="13.5" hidden="1" thickBot="1">
      <c r="B223" s="110">
        <f t="shared" si="1"/>
        <v>2098</v>
      </c>
      <c r="C223" s="135">
        <f>[23]С2.5!$CE$11</f>
        <v>0</v>
      </c>
    </row>
    <row r="224" spans="2:3" ht="13.5" hidden="1" thickBot="1">
      <c r="B224" s="110">
        <f t="shared" si="1"/>
        <v>2099</v>
      </c>
      <c r="C224" s="135">
        <f>[23]С2.5!$CF$11</f>
        <v>0</v>
      </c>
    </row>
    <row r="225" spans="2:3" ht="13.5" hidden="1" thickBot="1">
      <c r="B225" s="112">
        <f>B162+1</f>
        <v>2038</v>
      </c>
      <c r="C225" s="136" t="e">
        <f>[23]С2.5!#REF!</f>
        <v>#REF!</v>
      </c>
    </row>
    <row r="226" spans="2:3">
      <c r="B226" s="137"/>
      <c r="C226" s="138"/>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23" width="9.140625" style="2"/>
    <col min="224" max="224" width="3.5703125" style="2" customWidth="1"/>
    <col min="225" max="225" width="96.85546875" style="2" customWidth="1"/>
    <col min="226" max="226" width="30.85546875" style="2" customWidth="1"/>
    <col min="227" max="227" width="12.5703125" style="2" customWidth="1"/>
    <col min="228" max="228" width="5.140625" style="2" customWidth="1"/>
    <col min="229" max="229" width="9.140625" style="2"/>
    <col min="230" max="230" width="4.85546875" style="2" customWidth="1"/>
    <col min="231" max="231" width="30.5703125" style="2" customWidth="1"/>
    <col min="232" max="232" width="33.85546875" style="2" customWidth="1"/>
    <col min="233" max="233" width="5.140625" style="2" customWidth="1"/>
    <col min="234" max="235" width="17.5703125" style="2" customWidth="1"/>
    <col min="236" max="479" width="9.140625" style="2"/>
    <col min="480" max="480" width="3.5703125" style="2" customWidth="1"/>
    <col min="481" max="481" width="96.85546875" style="2" customWidth="1"/>
    <col min="482" max="482" width="30.85546875" style="2" customWidth="1"/>
    <col min="483" max="483" width="12.5703125" style="2" customWidth="1"/>
    <col min="484" max="484" width="5.140625" style="2" customWidth="1"/>
    <col min="485" max="485" width="9.140625" style="2"/>
    <col min="486" max="486" width="4.85546875" style="2" customWidth="1"/>
    <col min="487" max="487" width="30.5703125" style="2" customWidth="1"/>
    <col min="488" max="488" width="33.85546875" style="2" customWidth="1"/>
    <col min="489" max="489" width="5.140625" style="2" customWidth="1"/>
    <col min="490" max="491" width="17.5703125" style="2" customWidth="1"/>
    <col min="492" max="735" width="9.140625" style="2"/>
    <col min="736" max="736" width="3.5703125" style="2" customWidth="1"/>
    <col min="737" max="737" width="96.85546875" style="2" customWidth="1"/>
    <col min="738" max="738" width="30.85546875" style="2" customWidth="1"/>
    <col min="739" max="739" width="12.5703125" style="2" customWidth="1"/>
    <col min="740" max="740" width="5.140625" style="2" customWidth="1"/>
    <col min="741" max="741" width="9.140625" style="2"/>
    <col min="742" max="742" width="4.85546875" style="2" customWidth="1"/>
    <col min="743" max="743" width="30.5703125" style="2" customWidth="1"/>
    <col min="744" max="744" width="33.85546875" style="2" customWidth="1"/>
    <col min="745" max="745" width="5.140625" style="2" customWidth="1"/>
    <col min="746" max="747" width="17.5703125" style="2" customWidth="1"/>
    <col min="748" max="991" width="9.140625" style="2"/>
    <col min="992" max="992" width="3.5703125" style="2" customWidth="1"/>
    <col min="993" max="993" width="96.85546875" style="2" customWidth="1"/>
    <col min="994" max="994" width="30.85546875" style="2" customWidth="1"/>
    <col min="995" max="995" width="12.5703125" style="2" customWidth="1"/>
    <col min="996" max="996" width="5.140625" style="2" customWidth="1"/>
    <col min="997" max="997" width="9.140625" style="2"/>
    <col min="998" max="998" width="4.85546875" style="2" customWidth="1"/>
    <col min="999" max="999" width="30.5703125" style="2" customWidth="1"/>
    <col min="1000" max="1000" width="33.85546875" style="2" customWidth="1"/>
    <col min="1001" max="1001" width="5.140625" style="2" customWidth="1"/>
    <col min="1002" max="1003" width="17.5703125" style="2" customWidth="1"/>
    <col min="1004" max="1247" width="9.140625" style="2"/>
    <col min="1248" max="1248" width="3.5703125" style="2" customWidth="1"/>
    <col min="1249" max="1249" width="96.85546875" style="2" customWidth="1"/>
    <col min="1250" max="1250" width="30.85546875" style="2" customWidth="1"/>
    <col min="1251" max="1251" width="12.5703125" style="2" customWidth="1"/>
    <col min="1252" max="1252" width="5.140625" style="2" customWidth="1"/>
    <col min="1253" max="1253" width="9.140625" style="2"/>
    <col min="1254" max="1254" width="4.85546875" style="2" customWidth="1"/>
    <col min="1255" max="1255" width="30.5703125" style="2" customWidth="1"/>
    <col min="1256" max="1256" width="33.85546875" style="2" customWidth="1"/>
    <col min="1257" max="1257" width="5.140625" style="2" customWidth="1"/>
    <col min="1258" max="1259" width="17.5703125" style="2" customWidth="1"/>
    <col min="1260" max="1503" width="9.140625" style="2"/>
    <col min="1504" max="1504" width="3.5703125" style="2" customWidth="1"/>
    <col min="1505" max="1505" width="96.85546875" style="2" customWidth="1"/>
    <col min="1506" max="1506" width="30.85546875" style="2" customWidth="1"/>
    <col min="1507" max="1507" width="12.5703125" style="2" customWidth="1"/>
    <col min="1508" max="1508" width="5.140625" style="2" customWidth="1"/>
    <col min="1509" max="1509" width="9.140625" style="2"/>
    <col min="1510" max="1510" width="4.85546875" style="2" customWidth="1"/>
    <col min="1511" max="1511" width="30.5703125" style="2" customWidth="1"/>
    <col min="1512" max="1512" width="33.85546875" style="2" customWidth="1"/>
    <col min="1513" max="1513" width="5.140625" style="2" customWidth="1"/>
    <col min="1514" max="1515" width="17.5703125" style="2" customWidth="1"/>
    <col min="1516" max="1759" width="9.140625" style="2"/>
    <col min="1760" max="1760" width="3.5703125" style="2" customWidth="1"/>
    <col min="1761" max="1761" width="96.85546875" style="2" customWidth="1"/>
    <col min="1762" max="1762" width="30.85546875" style="2" customWidth="1"/>
    <col min="1763" max="1763" width="12.5703125" style="2" customWidth="1"/>
    <col min="1764" max="1764" width="5.140625" style="2" customWidth="1"/>
    <col min="1765" max="1765" width="9.140625" style="2"/>
    <col min="1766" max="1766" width="4.85546875" style="2" customWidth="1"/>
    <col min="1767" max="1767" width="30.5703125" style="2" customWidth="1"/>
    <col min="1768" max="1768" width="33.85546875" style="2" customWidth="1"/>
    <col min="1769" max="1769" width="5.140625" style="2" customWidth="1"/>
    <col min="1770" max="1771" width="17.5703125" style="2" customWidth="1"/>
    <col min="1772" max="2015" width="9.140625" style="2"/>
    <col min="2016" max="2016" width="3.5703125" style="2" customWidth="1"/>
    <col min="2017" max="2017" width="96.85546875" style="2" customWidth="1"/>
    <col min="2018" max="2018" width="30.85546875" style="2" customWidth="1"/>
    <col min="2019" max="2019" width="12.5703125" style="2" customWidth="1"/>
    <col min="2020" max="2020" width="5.140625" style="2" customWidth="1"/>
    <col min="2021" max="2021" width="9.140625" style="2"/>
    <col min="2022" max="2022" width="4.85546875" style="2" customWidth="1"/>
    <col min="2023" max="2023" width="30.5703125" style="2" customWidth="1"/>
    <col min="2024" max="2024" width="33.85546875" style="2" customWidth="1"/>
    <col min="2025" max="2025" width="5.140625" style="2" customWidth="1"/>
    <col min="2026" max="2027" width="17.5703125" style="2" customWidth="1"/>
    <col min="2028" max="2271" width="9.140625" style="2"/>
    <col min="2272" max="2272" width="3.5703125" style="2" customWidth="1"/>
    <col min="2273" max="2273" width="96.85546875" style="2" customWidth="1"/>
    <col min="2274" max="2274" width="30.85546875" style="2" customWidth="1"/>
    <col min="2275" max="2275" width="12.5703125" style="2" customWidth="1"/>
    <col min="2276" max="2276" width="5.140625" style="2" customWidth="1"/>
    <col min="2277" max="2277" width="9.140625" style="2"/>
    <col min="2278" max="2278" width="4.85546875" style="2" customWidth="1"/>
    <col min="2279" max="2279" width="30.5703125" style="2" customWidth="1"/>
    <col min="2280" max="2280" width="33.85546875" style="2" customWidth="1"/>
    <col min="2281" max="2281" width="5.140625" style="2" customWidth="1"/>
    <col min="2282" max="2283" width="17.5703125" style="2" customWidth="1"/>
    <col min="2284" max="2527" width="9.140625" style="2"/>
    <col min="2528" max="2528" width="3.5703125" style="2" customWidth="1"/>
    <col min="2529" max="2529" width="96.85546875" style="2" customWidth="1"/>
    <col min="2530" max="2530" width="30.85546875" style="2" customWidth="1"/>
    <col min="2531" max="2531" width="12.5703125" style="2" customWidth="1"/>
    <col min="2532" max="2532" width="5.140625" style="2" customWidth="1"/>
    <col min="2533" max="2533" width="9.140625" style="2"/>
    <col min="2534" max="2534" width="4.85546875" style="2" customWidth="1"/>
    <col min="2535" max="2535" width="30.5703125" style="2" customWidth="1"/>
    <col min="2536" max="2536" width="33.85546875" style="2" customWidth="1"/>
    <col min="2537" max="2537" width="5.140625" style="2" customWidth="1"/>
    <col min="2538" max="2539" width="17.5703125" style="2" customWidth="1"/>
    <col min="2540" max="2783" width="9.140625" style="2"/>
    <col min="2784" max="2784" width="3.5703125" style="2" customWidth="1"/>
    <col min="2785" max="2785" width="96.85546875" style="2" customWidth="1"/>
    <col min="2786" max="2786" width="30.85546875" style="2" customWidth="1"/>
    <col min="2787" max="2787" width="12.5703125" style="2" customWidth="1"/>
    <col min="2788" max="2788" width="5.140625" style="2" customWidth="1"/>
    <col min="2789" max="2789" width="9.140625" style="2"/>
    <col min="2790" max="2790" width="4.85546875" style="2" customWidth="1"/>
    <col min="2791" max="2791" width="30.5703125" style="2" customWidth="1"/>
    <col min="2792" max="2792" width="33.85546875" style="2" customWidth="1"/>
    <col min="2793" max="2793" width="5.140625" style="2" customWidth="1"/>
    <col min="2794" max="2795" width="17.5703125" style="2" customWidth="1"/>
    <col min="2796" max="3039" width="9.140625" style="2"/>
    <col min="3040" max="3040" width="3.5703125" style="2" customWidth="1"/>
    <col min="3041" max="3041" width="96.85546875" style="2" customWidth="1"/>
    <col min="3042" max="3042" width="30.85546875" style="2" customWidth="1"/>
    <col min="3043" max="3043" width="12.5703125" style="2" customWidth="1"/>
    <col min="3044" max="3044" width="5.140625" style="2" customWidth="1"/>
    <col min="3045" max="3045" width="9.140625" style="2"/>
    <col min="3046" max="3046" width="4.85546875" style="2" customWidth="1"/>
    <col min="3047" max="3047" width="30.5703125" style="2" customWidth="1"/>
    <col min="3048" max="3048" width="33.85546875" style="2" customWidth="1"/>
    <col min="3049" max="3049" width="5.140625" style="2" customWidth="1"/>
    <col min="3050" max="3051" width="17.5703125" style="2" customWidth="1"/>
    <col min="3052" max="3295" width="9.140625" style="2"/>
    <col min="3296" max="3296" width="3.5703125" style="2" customWidth="1"/>
    <col min="3297" max="3297" width="96.85546875" style="2" customWidth="1"/>
    <col min="3298" max="3298" width="30.85546875" style="2" customWidth="1"/>
    <col min="3299" max="3299" width="12.5703125" style="2" customWidth="1"/>
    <col min="3300" max="3300" width="5.140625" style="2" customWidth="1"/>
    <col min="3301" max="3301" width="9.140625" style="2"/>
    <col min="3302" max="3302" width="4.85546875" style="2" customWidth="1"/>
    <col min="3303" max="3303" width="30.5703125" style="2" customWidth="1"/>
    <col min="3304" max="3304" width="33.85546875" style="2" customWidth="1"/>
    <col min="3305" max="3305" width="5.140625" style="2" customWidth="1"/>
    <col min="3306" max="3307" width="17.5703125" style="2" customWidth="1"/>
    <col min="3308" max="3551" width="9.140625" style="2"/>
    <col min="3552" max="3552" width="3.5703125" style="2" customWidth="1"/>
    <col min="3553" max="3553" width="96.85546875" style="2" customWidth="1"/>
    <col min="3554" max="3554" width="30.85546875" style="2" customWidth="1"/>
    <col min="3555" max="3555" width="12.5703125" style="2" customWidth="1"/>
    <col min="3556" max="3556" width="5.140625" style="2" customWidth="1"/>
    <col min="3557" max="3557" width="9.140625" style="2"/>
    <col min="3558" max="3558" width="4.85546875" style="2" customWidth="1"/>
    <col min="3559" max="3559" width="30.5703125" style="2" customWidth="1"/>
    <col min="3560" max="3560" width="33.85546875" style="2" customWidth="1"/>
    <col min="3561" max="3561" width="5.140625" style="2" customWidth="1"/>
    <col min="3562" max="3563" width="17.5703125" style="2" customWidth="1"/>
    <col min="3564" max="3807" width="9.140625" style="2"/>
    <col min="3808" max="3808" width="3.5703125" style="2" customWidth="1"/>
    <col min="3809" max="3809" width="96.85546875" style="2" customWidth="1"/>
    <col min="3810" max="3810" width="30.85546875" style="2" customWidth="1"/>
    <col min="3811" max="3811" width="12.5703125" style="2" customWidth="1"/>
    <col min="3812" max="3812" width="5.140625" style="2" customWidth="1"/>
    <col min="3813" max="3813" width="9.140625" style="2"/>
    <col min="3814" max="3814" width="4.85546875" style="2" customWidth="1"/>
    <col min="3815" max="3815" width="30.5703125" style="2" customWidth="1"/>
    <col min="3816" max="3816" width="33.85546875" style="2" customWidth="1"/>
    <col min="3817" max="3817" width="5.140625" style="2" customWidth="1"/>
    <col min="3818" max="3819" width="17.5703125" style="2" customWidth="1"/>
    <col min="3820" max="4063" width="9.140625" style="2"/>
    <col min="4064" max="4064" width="3.5703125" style="2" customWidth="1"/>
    <col min="4065" max="4065" width="96.85546875" style="2" customWidth="1"/>
    <col min="4066" max="4066" width="30.85546875" style="2" customWidth="1"/>
    <col min="4067" max="4067" width="12.5703125" style="2" customWidth="1"/>
    <col min="4068" max="4068" width="5.140625" style="2" customWidth="1"/>
    <col min="4069" max="4069" width="9.140625" style="2"/>
    <col min="4070" max="4070" width="4.85546875" style="2" customWidth="1"/>
    <col min="4071" max="4071" width="30.5703125" style="2" customWidth="1"/>
    <col min="4072" max="4072" width="33.85546875" style="2" customWidth="1"/>
    <col min="4073" max="4073" width="5.140625" style="2" customWidth="1"/>
    <col min="4074" max="4075" width="17.5703125" style="2" customWidth="1"/>
    <col min="4076" max="4319" width="9.140625" style="2"/>
    <col min="4320" max="4320" width="3.5703125" style="2" customWidth="1"/>
    <col min="4321" max="4321" width="96.85546875" style="2" customWidth="1"/>
    <col min="4322" max="4322" width="30.85546875" style="2" customWidth="1"/>
    <col min="4323" max="4323" width="12.5703125" style="2" customWidth="1"/>
    <col min="4324" max="4324" width="5.140625" style="2" customWidth="1"/>
    <col min="4325" max="4325" width="9.140625" style="2"/>
    <col min="4326" max="4326" width="4.85546875" style="2" customWidth="1"/>
    <col min="4327" max="4327" width="30.5703125" style="2" customWidth="1"/>
    <col min="4328" max="4328" width="33.85546875" style="2" customWidth="1"/>
    <col min="4329" max="4329" width="5.140625" style="2" customWidth="1"/>
    <col min="4330" max="4331" width="17.5703125" style="2" customWidth="1"/>
    <col min="4332" max="4575" width="9.140625" style="2"/>
    <col min="4576" max="4576" width="3.5703125" style="2" customWidth="1"/>
    <col min="4577" max="4577" width="96.85546875" style="2" customWidth="1"/>
    <col min="4578" max="4578" width="30.85546875" style="2" customWidth="1"/>
    <col min="4579" max="4579" width="12.5703125" style="2" customWidth="1"/>
    <col min="4580" max="4580" width="5.140625" style="2" customWidth="1"/>
    <col min="4581" max="4581" width="9.140625" style="2"/>
    <col min="4582" max="4582" width="4.85546875" style="2" customWidth="1"/>
    <col min="4583" max="4583" width="30.5703125" style="2" customWidth="1"/>
    <col min="4584" max="4584" width="33.85546875" style="2" customWidth="1"/>
    <col min="4585" max="4585" width="5.140625" style="2" customWidth="1"/>
    <col min="4586" max="4587" width="17.5703125" style="2" customWidth="1"/>
    <col min="4588" max="4831" width="9.140625" style="2"/>
    <col min="4832" max="4832" width="3.5703125" style="2" customWidth="1"/>
    <col min="4833" max="4833" width="96.85546875" style="2" customWidth="1"/>
    <col min="4834" max="4834" width="30.85546875" style="2" customWidth="1"/>
    <col min="4835" max="4835" width="12.5703125" style="2" customWidth="1"/>
    <col min="4836" max="4836" width="5.140625" style="2" customWidth="1"/>
    <col min="4837" max="4837" width="9.140625" style="2"/>
    <col min="4838" max="4838" width="4.85546875" style="2" customWidth="1"/>
    <col min="4839" max="4839" width="30.5703125" style="2" customWidth="1"/>
    <col min="4840" max="4840" width="33.85546875" style="2" customWidth="1"/>
    <col min="4841" max="4841" width="5.140625" style="2" customWidth="1"/>
    <col min="4842" max="4843" width="17.5703125" style="2" customWidth="1"/>
    <col min="4844" max="5087" width="9.140625" style="2"/>
    <col min="5088" max="5088" width="3.5703125" style="2" customWidth="1"/>
    <col min="5089" max="5089" width="96.85546875" style="2" customWidth="1"/>
    <col min="5090" max="5090" width="30.85546875" style="2" customWidth="1"/>
    <col min="5091" max="5091" width="12.5703125" style="2" customWidth="1"/>
    <col min="5092" max="5092" width="5.140625" style="2" customWidth="1"/>
    <col min="5093" max="5093" width="9.140625" style="2"/>
    <col min="5094" max="5094" width="4.85546875" style="2" customWidth="1"/>
    <col min="5095" max="5095" width="30.5703125" style="2" customWidth="1"/>
    <col min="5096" max="5096" width="33.85546875" style="2" customWidth="1"/>
    <col min="5097" max="5097" width="5.140625" style="2" customWidth="1"/>
    <col min="5098" max="5099" width="17.5703125" style="2" customWidth="1"/>
    <col min="5100" max="5343" width="9.140625" style="2"/>
    <col min="5344" max="5344" width="3.5703125" style="2" customWidth="1"/>
    <col min="5345" max="5345" width="96.85546875" style="2" customWidth="1"/>
    <col min="5346" max="5346" width="30.85546875" style="2" customWidth="1"/>
    <col min="5347" max="5347" width="12.5703125" style="2" customWidth="1"/>
    <col min="5348" max="5348" width="5.140625" style="2" customWidth="1"/>
    <col min="5349" max="5349" width="9.140625" style="2"/>
    <col min="5350" max="5350" width="4.85546875" style="2" customWidth="1"/>
    <col min="5351" max="5351" width="30.5703125" style="2" customWidth="1"/>
    <col min="5352" max="5352" width="33.85546875" style="2" customWidth="1"/>
    <col min="5353" max="5353" width="5.140625" style="2" customWidth="1"/>
    <col min="5354" max="5355" width="17.5703125" style="2" customWidth="1"/>
    <col min="5356" max="5599" width="9.140625" style="2"/>
    <col min="5600" max="5600" width="3.5703125" style="2" customWidth="1"/>
    <col min="5601" max="5601" width="96.85546875" style="2" customWidth="1"/>
    <col min="5602" max="5602" width="30.85546875" style="2" customWidth="1"/>
    <col min="5603" max="5603" width="12.5703125" style="2" customWidth="1"/>
    <col min="5604" max="5604" width="5.140625" style="2" customWidth="1"/>
    <col min="5605" max="5605" width="9.140625" style="2"/>
    <col min="5606" max="5606" width="4.85546875" style="2" customWidth="1"/>
    <col min="5607" max="5607" width="30.5703125" style="2" customWidth="1"/>
    <col min="5608" max="5608" width="33.85546875" style="2" customWidth="1"/>
    <col min="5609" max="5609" width="5.140625" style="2" customWidth="1"/>
    <col min="5610" max="5611" width="17.5703125" style="2" customWidth="1"/>
    <col min="5612" max="5855" width="9.140625" style="2"/>
    <col min="5856" max="5856" width="3.5703125" style="2" customWidth="1"/>
    <col min="5857" max="5857" width="96.85546875" style="2" customWidth="1"/>
    <col min="5858" max="5858" width="30.85546875" style="2" customWidth="1"/>
    <col min="5859" max="5859" width="12.5703125" style="2" customWidth="1"/>
    <col min="5860" max="5860" width="5.140625" style="2" customWidth="1"/>
    <col min="5861" max="5861" width="9.140625" style="2"/>
    <col min="5862" max="5862" width="4.85546875" style="2" customWidth="1"/>
    <col min="5863" max="5863" width="30.5703125" style="2" customWidth="1"/>
    <col min="5864" max="5864" width="33.85546875" style="2" customWidth="1"/>
    <col min="5865" max="5865" width="5.140625" style="2" customWidth="1"/>
    <col min="5866" max="5867" width="17.5703125" style="2" customWidth="1"/>
    <col min="5868" max="6111" width="9.140625" style="2"/>
    <col min="6112" max="6112" width="3.5703125" style="2" customWidth="1"/>
    <col min="6113" max="6113" width="96.85546875" style="2" customWidth="1"/>
    <col min="6114" max="6114" width="30.85546875" style="2" customWidth="1"/>
    <col min="6115" max="6115" width="12.5703125" style="2" customWidth="1"/>
    <col min="6116" max="6116" width="5.140625" style="2" customWidth="1"/>
    <col min="6117" max="6117" width="9.140625" style="2"/>
    <col min="6118" max="6118" width="4.85546875" style="2" customWidth="1"/>
    <col min="6119" max="6119" width="30.5703125" style="2" customWidth="1"/>
    <col min="6120" max="6120" width="33.85546875" style="2" customWidth="1"/>
    <col min="6121" max="6121" width="5.140625" style="2" customWidth="1"/>
    <col min="6122" max="6123" width="17.5703125" style="2" customWidth="1"/>
    <col min="6124" max="6367" width="9.140625" style="2"/>
    <col min="6368" max="6368" width="3.5703125" style="2" customWidth="1"/>
    <col min="6369" max="6369" width="96.85546875" style="2" customWidth="1"/>
    <col min="6370" max="6370" width="30.85546875" style="2" customWidth="1"/>
    <col min="6371" max="6371" width="12.5703125" style="2" customWidth="1"/>
    <col min="6372" max="6372" width="5.140625" style="2" customWidth="1"/>
    <col min="6373" max="6373" width="9.140625" style="2"/>
    <col min="6374" max="6374" width="4.85546875" style="2" customWidth="1"/>
    <col min="6375" max="6375" width="30.5703125" style="2" customWidth="1"/>
    <col min="6376" max="6376" width="33.85546875" style="2" customWidth="1"/>
    <col min="6377" max="6377" width="5.140625" style="2" customWidth="1"/>
    <col min="6378" max="6379" width="17.5703125" style="2" customWidth="1"/>
    <col min="6380" max="6623" width="9.140625" style="2"/>
    <col min="6624" max="6624" width="3.5703125" style="2" customWidth="1"/>
    <col min="6625" max="6625" width="96.85546875" style="2" customWidth="1"/>
    <col min="6626" max="6626" width="30.85546875" style="2" customWidth="1"/>
    <col min="6627" max="6627" width="12.5703125" style="2" customWidth="1"/>
    <col min="6628" max="6628" width="5.140625" style="2" customWidth="1"/>
    <col min="6629" max="6629" width="9.140625" style="2"/>
    <col min="6630" max="6630" width="4.85546875" style="2" customWidth="1"/>
    <col min="6631" max="6631" width="30.5703125" style="2" customWidth="1"/>
    <col min="6632" max="6632" width="33.85546875" style="2" customWidth="1"/>
    <col min="6633" max="6633" width="5.140625" style="2" customWidth="1"/>
    <col min="6634" max="6635" width="17.5703125" style="2" customWidth="1"/>
    <col min="6636" max="6879" width="9.140625" style="2"/>
    <col min="6880" max="6880" width="3.5703125" style="2" customWidth="1"/>
    <col min="6881" max="6881" width="96.85546875" style="2" customWidth="1"/>
    <col min="6882" max="6882" width="30.85546875" style="2" customWidth="1"/>
    <col min="6883" max="6883" width="12.5703125" style="2" customWidth="1"/>
    <col min="6884" max="6884" width="5.140625" style="2" customWidth="1"/>
    <col min="6885" max="6885" width="9.140625" style="2"/>
    <col min="6886" max="6886" width="4.85546875" style="2" customWidth="1"/>
    <col min="6887" max="6887" width="30.5703125" style="2" customWidth="1"/>
    <col min="6888" max="6888" width="33.85546875" style="2" customWidth="1"/>
    <col min="6889" max="6889" width="5.140625" style="2" customWidth="1"/>
    <col min="6890" max="6891" width="17.5703125" style="2" customWidth="1"/>
    <col min="6892" max="7135" width="9.140625" style="2"/>
    <col min="7136" max="7136" width="3.5703125" style="2" customWidth="1"/>
    <col min="7137" max="7137" width="96.85546875" style="2" customWidth="1"/>
    <col min="7138" max="7138" width="30.85546875" style="2" customWidth="1"/>
    <col min="7139" max="7139" width="12.5703125" style="2" customWidth="1"/>
    <col min="7140" max="7140" width="5.140625" style="2" customWidth="1"/>
    <col min="7141" max="7141" width="9.140625" style="2"/>
    <col min="7142" max="7142" width="4.85546875" style="2" customWidth="1"/>
    <col min="7143" max="7143" width="30.5703125" style="2" customWidth="1"/>
    <col min="7144" max="7144" width="33.85546875" style="2" customWidth="1"/>
    <col min="7145" max="7145" width="5.140625" style="2" customWidth="1"/>
    <col min="7146" max="7147" width="17.5703125" style="2" customWidth="1"/>
    <col min="7148" max="7391" width="9.140625" style="2"/>
    <col min="7392" max="7392" width="3.5703125" style="2" customWidth="1"/>
    <col min="7393" max="7393" width="96.85546875" style="2" customWidth="1"/>
    <col min="7394" max="7394" width="30.85546875" style="2" customWidth="1"/>
    <col min="7395" max="7395" width="12.5703125" style="2" customWidth="1"/>
    <col min="7396" max="7396" width="5.140625" style="2" customWidth="1"/>
    <col min="7397" max="7397" width="9.140625" style="2"/>
    <col min="7398" max="7398" width="4.85546875" style="2" customWidth="1"/>
    <col min="7399" max="7399" width="30.5703125" style="2" customWidth="1"/>
    <col min="7400" max="7400" width="33.85546875" style="2" customWidth="1"/>
    <col min="7401" max="7401" width="5.140625" style="2" customWidth="1"/>
    <col min="7402" max="7403" width="17.5703125" style="2" customWidth="1"/>
    <col min="7404" max="7647" width="9.140625" style="2"/>
    <col min="7648" max="7648" width="3.5703125" style="2" customWidth="1"/>
    <col min="7649" max="7649" width="96.85546875" style="2" customWidth="1"/>
    <col min="7650" max="7650" width="30.85546875" style="2" customWidth="1"/>
    <col min="7651" max="7651" width="12.5703125" style="2" customWidth="1"/>
    <col min="7652" max="7652" width="5.140625" style="2" customWidth="1"/>
    <col min="7653" max="7653" width="9.140625" style="2"/>
    <col min="7654" max="7654" width="4.85546875" style="2" customWidth="1"/>
    <col min="7655" max="7655" width="30.5703125" style="2" customWidth="1"/>
    <col min="7656" max="7656" width="33.85546875" style="2" customWidth="1"/>
    <col min="7657" max="7657" width="5.140625" style="2" customWidth="1"/>
    <col min="7658" max="7659" width="17.5703125" style="2" customWidth="1"/>
    <col min="7660" max="7903" width="9.140625" style="2"/>
    <col min="7904" max="7904" width="3.5703125" style="2" customWidth="1"/>
    <col min="7905" max="7905" width="96.85546875" style="2" customWidth="1"/>
    <col min="7906" max="7906" width="30.85546875" style="2" customWidth="1"/>
    <col min="7907" max="7907" width="12.5703125" style="2" customWidth="1"/>
    <col min="7908" max="7908" width="5.140625" style="2" customWidth="1"/>
    <col min="7909" max="7909" width="9.140625" style="2"/>
    <col min="7910" max="7910" width="4.85546875" style="2" customWidth="1"/>
    <col min="7911" max="7911" width="30.5703125" style="2" customWidth="1"/>
    <col min="7912" max="7912" width="33.85546875" style="2" customWidth="1"/>
    <col min="7913" max="7913" width="5.140625" style="2" customWidth="1"/>
    <col min="7914" max="7915" width="17.5703125" style="2" customWidth="1"/>
    <col min="7916" max="8159" width="9.140625" style="2"/>
    <col min="8160" max="8160" width="3.5703125" style="2" customWidth="1"/>
    <col min="8161" max="8161" width="96.85546875" style="2" customWidth="1"/>
    <col min="8162" max="8162" width="30.85546875" style="2" customWidth="1"/>
    <col min="8163" max="8163" width="12.5703125" style="2" customWidth="1"/>
    <col min="8164" max="8164" width="5.140625" style="2" customWidth="1"/>
    <col min="8165" max="8165" width="9.140625" style="2"/>
    <col min="8166" max="8166" width="4.85546875" style="2" customWidth="1"/>
    <col min="8167" max="8167" width="30.5703125" style="2" customWidth="1"/>
    <col min="8168" max="8168" width="33.85546875" style="2" customWidth="1"/>
    <col min="8169" max="8169" width="5.140625" style="2" customWidth="1"/>
    <col min="8170" max="8171" width="17.5703125" style="2" customWidth="1"/>
    <col min="8172" max="8415" width="9.140625" style="2"/>
    <col min="8416" max="8416" width="3.5703125" style="2" customWidth="1"/>
    <col min="8417" max="8417" width="96.85546875" style="2" customWidth="1"/>
    <col min="8418" max="8418" width="30.85546875" style="2" customWidth="1"/>
    <col min="8419" max="8419" width="12.5703125" style="2" customWidth="1"/>
    <col min="8420" max="8420" width="5.140625" style="2" customWidth="1"/>
    <col min="8421" max="8421" width="9.140625" style="2"/>
    <col min="8422" max="8422" width="4.85546875" style="2" customWidth="1"/>
    <col min="8423" max="8423" width="30.5703125" style="2" customWidth="1"/>
    <col min="8424" max="8424" width="33.85546875" style="2" customWidth="1"/>
    <col min="8425" max="8425" width="5.140625" style="2" customWidth="1"/>
    <col min="8426" max="8427" width="17.5703125" style="2" customWidth="1"/>
    <col min="8428" max="8671" width="9.140625" style="2"/>
    <col min="8672" max="8672" width="3.5703125" style="2" customWidth="1"/>
    <col min="8673" max="8673" width="96.85546875" style="2" customWidth="1"/>
    <col min="8674" max="8674" width="30.85546875" style="2" customWidth="1"/>
    <col min="8675" max="8675" width="12.5703125" style="2" customWidth="1"/>
    <col min="8676" max="8676" width="5.140625" style="2" customWidth="1"/>
    <col min="8677" max="8677" width="9.140625" style="2"/>
    <col min="8678" max="8678" width="4.85546875" style="2" customWidth="1"/>
    <col min="8679" max="8679" width="30.5703125" style="2" customWidth="1"/>
    <col min="8680" max="8680" width="33.85546875" style="2" customWidth="1"/>
    <col min="8681" max="8681" width="5.140625" style="2" customWidth="1"/>
    <col min="8682" max="8683" width="17.5703125" style="2" customWidth="1"/>
    <col min="8684" max="8927" width="9.140625" style="2"/>
    <col min="8928" max="8928" width="3.5703125" style="2" customWidth="1"/>
    <col min="8929" max="8929" width="96.85546875" style="2" customWidth="1"/>
    <col min="8930" max="8930" width="30.85546875" style="2" customWidth="1"/>
    <col min="8931" max="8931" width="12.5703125" style="2" customWidth="1"/>
    <col min="8932" max="8932" width="5.140625" style="2" customWidth="1"/>
    <col min="8933" max="8933" width="9.140625" style="2"/>
    <col min="8934" max="8934" width="4.85546875" style="2" customWidth="1"/>
    <col min="8935" max="8935" width="30.5703125" style="2" customWidth="1"/>
    <col min="8936" max="8936" width="33.85546875" style="2" customWidth="1"/>
    <col min="8937" max="8937" width="5.140625" style="2" customWidth="1"/>
    <col min="8938" max="8939" width="17.5703125" style="2" customWidth="1"/>
    <col min="8940" max="9183" width="9.140625" style="2"/>
    <col min="9184" max="9184" width="3.5703125" style="2" customWidth="1"/>
    <col min="9185" max="9185" width="96.85546875" style="2" customWidth="1"/>
    <col min="9186" max="9186" width="30.85546875" style="2" customWidth="1"/>
    <col min="9187" max="9187" width="12.5703125" style="2" customWidth="1"/>
    <col min="9188" max="9188" width="5.140625" style="2" customWidth="1"/>
    <col min="9189" max="9189" width="9.140625" style="2"/>
    <col min="9190" max="9190" width="4.85546875" style="2" customWidth="1"/>
    <col min="9191" max="9191" width="30.5703125" style="2" customWidth="1"/>
    <col min="9192" max="9192" width="33.85546875" style="2" customWidth="1"/>
    <col min="9193" max="9193" width="5.140625" style="2" customWidth="1"/>
    <col min="9194" max="9195" width="17.5703125" style="2" customWidth="1"/>
    <col min="9196" max="9439" width="9.140625" style="2"/>
    <col min="9440" max="9440" width="3.5703125" style="2" customWidth="1"/>
    <col min="9441" max="9441" width="96.85546875" style="2" customWidth="1"/>
    <col min="9442" max="9442" width="30.85546875" style="2" customWidth="1"/>
    <col min="9443" max="9443" width="12.5703125" style="2" customWidth="1"/>
    <col min="9444" max="9444" width="5.140625" style="2" customWidth="1"/>
    <col min="9445" max="9445" width="9.140625" style="2"/>
    <col min="9446" max="9446" width="4.85546875" style="2" customWidth="1"/>
    <col min="9447" max="9447" width="30.5703125" style="2" customWidth="1"/>
    <col min="9448" max="9448" width="33.85546875" style="2" customWidth="1"/>
    <col min="9449" max="9449" width="5.140625" style="2" customWidth="1"/>
    <col min="9450" max="9451" width="17.5703125" style="2" customWidth="1"/>
    <col min="9452" max="9695" width="9.140625" style="2"/>
    <col min="9696" max="9696" width="3.5703125" style="2" customWidth="1"/>
    <col min="9697" max="9697" width="96.85546875" style="2" customWidth="1"/>
    <col min="9698" max="9698" width="30.85546875" style="2" customWidth="1"/>
    <col min="9699" max="9699" width="12.5703125" style="2" customWidth="1"/>
    <col min="9700" max="9700" width="5.140625" style="2" customWidth="1"/>
    <col min="9701" max="9701" width="9.140625" style="2"/>
    <col min="9702" max="9702" width="4.85546875" style="2" customWidth="1"/>
    <col min="9703" max="9703" width="30.5703125" style="2" customWidth="1"/>
    <col min="9704" max="9704" width="33.85546875" style="2" customWidth="1"/>
    <col min="9705" max="9705" width="5.140625" style="2" customWidth="1"/>
    <col min="9706" max="9707" width="17.5703125" style="2" customWidth="1"/>
    <col min="9708" max="9951" width="9.140625" style="2"/>
    <col min="9952" max="9952" width="3.5703125" style="2" customWidth="1"/>
    <col min="9953" max="9953" width="96.85546875" style="2" customWidth="1"/>
    <col min="9954" max="9954" width="30.85546875" style="2" customWidth="1"/>
    <col min="9955" max="9955" width="12.5703125" style="2" customWidth="1"/>
    <col min="9956" max="9956" width="5.140625" style="2" customWidth="1"/>
    <col min="9957" max="9957" width="9.140625" style="2"/>
    <col min="9958" max="9958" width="4.85546875" style="2" customWidth="1"/>
    <col min="9959" max="9959" width="30.5703125" style="2" customWidth="1"/>
    <col min="9960" max="9960" width="33.85546875" style="2" customWidth="1"/>
    <col min="9961" max="9961" width="5.140625" style="2" customWidth="1"/>
    <col min="9962" max="9963" width="17.5703125" style="2" customWidth="1"/>
    <col min="9964" max="10207" width="9.140625" style="2"/>
    <col min="10208" max="10208" width="3.5703125" style="2" customWidth="1"/>
    <col min="10209" max="10209" width="96.85546875" style="2" customWidth="1"/>
    <col min="10210" max="10210" width="30.85546875" style="2" customWidth="1"/>
    <col min="10211" max="10211" width="12.5703125" style="2" customWidth="1"/>
    <col min="10212" max="10212" width="5.140625" style="2" customWidth="1"/>
    <col min="10213" max="10213" width="9.140625" style="2"/>
    <col min="10214" max="10214" width="4.85546875" style="2" customWidth="1"/>
    <col min="10215" max="10215" width="30.5703125" style="2" customWidth="1"/>
    <col min="10216" max="10216" width="33.85546875" style="2" customWidth="1"/>
    <col min="10217" max="10217" width="5.140625" style="2" customWidth="1"/>
    <col min="10218" max="10219" width="17.5703125" style="2" customWidth="1"/>
    <col min="10220" max="10463" width="9.140625" style="2"/>
    <col min="10464" max="10464" width="3.5703125" style="2" customWidth="1"/>
    <col min="10465" max="10465" width="96.85546875" style="2" customWidth="1"/>
    <col min="10466" max="10466" width="30.85546875" style="2" customWidth="1"/>
    <col min="10467" max="10467" width="12.5703125" style="2" customWidth="1"/>
    <col min="10468" max="10468" width="5.140625" style="2" customWidth="1"/>
    <col min="10469" max="10469" width="9.140625" style="2"/>
    <col min="10470" max="10470" width="4.85546875" style="2" customWidth="1"/>
    <col min="10471" max="10471" width="30.5703125" style="2" customWidth="1"/>
    <col min="10472" max="10472" width="33.85546875" style="2" customWidth="1"/>
    <col min="10473" max="10473" width="5.140625" style="2" customWidth="1"/>
    <col min="10474" max="10475" width="17.5703125" style="2" customWidth="1"/>
    <col min="10476" max="10719" width="9.140625" style="2"/>
    <col min="10720" max="10720" width="3.5703125" style="2" customWidth="1"/>
    <col min="10721" max="10721" width="96.85546875" style="2" customWidth="1"/>
    <col min="10722" max="10722" width="30.85546875" style="2" customWidth="1"/>
    <col min="10723" max="10723" width="12.5703125" style="2" customWidth="1"/>
    <col min="10724" max="10724" width="5.140625" style="2" customWidth="1"/>
    <col min="10725" max="10725" width="9.140625" style="2"/>
    <col min="10726" max="10726" width="4.85546875" style="2" customWidth="1"/>
    <col min="10727" max="10727" width="30.5703125" style="2" customWidth="1"/>
    <col min="10728" max="10728" width="33.85546875" style="2" customWidth="1"/>
    <col min="10729" max="10729" width="5.140625" style="2" customWidth="1"/>
    <col min="10730" max="10731" width="17.5703125" style="2" customWidth="1"/>
    <col min="10732" max="10975" width="9.140625" style="2"/>
    <col min="10976" max="10976" width="3.5703125" style="2" customWidth="1"/>
    <col min="10977" max="10977" width="96.85546875" style="2" customWidth="1"/>
    <col min="10978" max="10978" width="30.85546875" style="2" customWidth="1"/>
    <col min="10979" max="10979" width="12.5703125" style="2" customWidth="1"/>
    <col min="10980" max="10980" width="5.140625" style="2" customWidth="1"/>
    <col min="10981" max="10981" width="9.140625" style="2"/>
    <col min="10982" max="10982" width="4.85546875" style="2" customWidth="1"/>
    <col min="10983" max="10983" width="30.5703125" style="2" customWidth="1"/>
    <col min="10984" max="10984" width="33.85546875" style="2" customWidth="1"/>
    <col min="10985" max="10985" width="5.140625" style="2" customWidth="1"/>
    <col min="10986" max="10987" width="17.5703125" style="2" customWidth="1"/>
    <col min="10988" max="11231" width="9.140625" style="2"/>
    <col min="11232" max="11232" width="3.5703125" style="2" customWidth="1"/>
    <col min="11233" max="11233" width="96.85546875" style="2" customWidth="1"/>
    <col min="11234" max="11234" width="30.85546875" style="2" customWidth="1"/>
    <col min="11235" max="11235" width="12.5703125" style="2" customWidth="1"/>
    <col min="11236" max="11236" width="5.140625" style="2" customWidth="1"/>
    <col min="11237" max="11237" width="9.140625" style="2"/>
    <col min="11238" max="11238" width="4.85546875" style="2" customWidth="1"/>
    <col min="11239" max="11239" width="30.5703125" style="2" customWidth="1"/>
    <col min="11240" max="11240" width="33.85546875" style="2" customWidth="1"/>
    <col min="11241" max="11241" width="5.140625" style="2" customWidth="1"/>
    <col min="11242" max="11243" width="17.5703125" style="2" customWidth="1"/>
    <col min="11244" max="11487" width="9.140625" style="2"/>
    <col min="11488" max="11488" width="3.5703125" style="2" customWidth="1"/>
    <col min="11489" max="11489" width="96.85546875" style="2" customWidth="1"/>
    <col min="11490" max="11490" width="30.85546875" style="2" customWidth="1"/>
    <col min="11491" max="11491" width="12.5703125" style="2" customWidth="1"/>
    <col min="11492" max="11492" width="5.140625" style="2" customWidth="1"/>
    <col min="11493" max="11493" width="9.140625" style="2"/>
    <col min="11494" max="11494" width="4.85546875" style="2" customWidth="1"/>
    <col min="11495" max="11495" width="30.5703125" style="2" customWidth="1"/>
    <col min="11496" max="11496" width="33.85546875" style="2" customWidth="1"/>
    <col min="11497" max="11497" width="5.140625" style="2" customWidth="1"/>
    <col min="11498" max="11499" width="17.5703125" style="2" customWidth="1"/>
    <col min="11500" max="11743" width="9.140625" style="2"/>
    <col min="11744" max="11744" width="3.5703125" style="2" customWidth="1"/>
    <col min="11745" max="11745" width="96.85546875" style="2" customWidth="1"/>
    <col min="11746" max="11746" width="30.85546875" style="2" customWidth="1"/>
    <col min="11747" max="11747" width="12.5703125" style="2" customWidth="1"/>
    <col min="11748" max="11748" width="5.140625" style="2" customWidth="1"/>
    <col min="11749" max="11749" width="9.140625" style="2"/>
    <col min="11750" max="11750" width="4.85546875" style="2" customWidth="1"/>
    <col min="11751" max="11751" width="30.5703125" style="2" customWidth="1"/>
    <col min="11752" max="11752" width="33.85546875" style="2" customWidth="1"/>
    <col min="11753" max="11753" width="5.140625" style="2" customWidth="1"/>
    <col min="11754" max="11755" width="17.5703125" style="2" customWidth="1"/>
    <col min="11756" max="11999" width="9.140625" style="2"/>
    <col min="12000" max="12000" width="3.5703125" style="2" customWidth="1"/>
    <col min="12001" max="12001" width="96.85546875" style="2" customWidth="1"/>
    <col min="12002" max="12002" width="30.85546875" style="2" customWidth="1"/>
    <col min="12003" max="12003" width="12.5703125" style="2" customWidth="1"/>
    <col min="12004" max="12004" width="5.140625" style="2" customWidth="1"/>
    <col min="12005" max="12005" width="9.140625" style="2"/>
    <col min="12006" max="12006" width="4.85546875" style="2" customWidth="1"/>
    <col min="12007" max="12007" width="30.5703125" style="2" customWidth="1"/>
    <col min="12008" max="12008" width="33.85546875" style="2" customWidth="1"/>
    <col min="12009" max="12009" width="5.140625" style="2" customWidth="1"/>
    <col min="12010" max="12011" width="17.5703125" style="2" customWidth="1"/>
    <col min="12012" max="12255" width="9.140625" style="2"/>
    <col min="12256" max="12256" width="3.5703125" style="2" customWidth="1"/>
    <col min="12257" max="12257" width="96.85546875" style="2" customWidth="1"/>
    <col min="12258" max="12258" width="30.85546875" style="2" customWidth="1"/>
    <col min="12259" max="12259" width="12.5703125" style="2" customWidth="1"/>
    <col min="12260" max="12260" width="5.140625" style="2" customWidth="1"/>
    <col min="12261" max="12261" width="9.140625" style="2"/>
    <col min="12262" max="12262" width="4.85546875" style="2" customWidth="1"/>
    <col min="12263" max="12263" width="30.5703125" style="2" customWidth="1"/>
    <col min="12264" max="12264" width="33.85546875" style="2" customWidth="1"/>
    <col min="12265" max="12265" width="5.140625" style="2" customWidth="1"/>
    <col min="12266" max="12267" width="17.5703125" style="2" customWidth="1"/>
    <col min="12268" max="12511" width="9.140625" style="2"/>
    <col min="12512" max="12512" width="3.5703125" style="2" customWidth="1"/>
    <col min="12513" max="12513" width="96.85546875" style="2" customWidth="1"/>
    <col min="12514" max="12514" width="30.85546875" style="2" customWidth="1"/>
    <col min="12515" max="12515" width="12.5703125" style="2" customWidth="1"/>
    <col min="12516" max="12516" width="5.140625" style="2" customWidth="1"/>
    <col min="12517" max="12517" width="9.140625" style="2"/>
    <col min="12518" max="12518" width="4.85546875" style="2" customWidth="1"/>
    <col min="12519" max="12519" width="30.5703125" style="2" customWidth="1"/>
    <col min="12520" max="12520" width="33.85546875" style="2" customWidth="1"/>
    <col min="12521" max="12521" width="5.140625" style="2" customWidth="1"/>
    <col min="12522" max="12523" width="17.5703125" style="2" customWidth="1"/>
    <col min="12524" max="12767" width="9.140625" style="2"/>
    <col min="12768" max="12768" width="3.5703125" style="2" customWidth="1"/>
    <col min="12769" max="12769" width="96.85546875" style="2" customWidth="1"/>
    <col min="12770" max="12770" width="30.85546875" style="2" customWidth="1"/>
    <col min="12771" max="12771" width="12.5703125" style="2" customWidth="1"/>
    <col min="12772" max="12772" width="5.140625" style="2" customWidth="1"/>
    <col min="12773" max="12773" width="9.140625" style="2"/>
    <col min="12774" max="12774" width="4.85546875" style="2" customWidth="1"/>
    <col min="12775" max="12775" width="30.5703125" style="2" customWidth="1"/>
    <col min="12776" max="12776" width="33.85546875" style="2" customWidth="1"/>
    <col min="12777" max="12777" width="5.140625" style="2" customWidth="1"/>
    <col min="12778" max="12779" width="17.5703125" style="2" customWidth="1"/>
    <col min="12780" max="13023" width="9.140625" style="2"/>
    <col min="13024" max="13024" width="3.5703125" style="2" customWidth="1"/>
    <col min="13025" max="13025" width="96.85546875" style="2" customWidth="1"/>
    <col min="13026" max="13026" width="30.85546875" style="2" customWidth="1"/>
    <col min="13027" max="13027" width="12.5703125" style="2" customWidth="1"/>
    <col min="13028" max="13028" width="5.140625" style="2" customWidth="1"/>
    <col min="13029" max="13029" width="9.140625" style="2"/>
    <col min="13030" max="13030" width="4.85546875" style="2" customWidth="1"/>
    <col min="13031" max="13031" width="30.5703125" style="2" customWidth="1"/>
    <col min="13032" max="13032" width="33.85546875" style="2" customWidth="1"/>
    <col min="13033" max="13033" width="5.140625" style="2" customWidth="1"/>
    <col min="13034" max="13035" width="17.5703125" style="2" customWidth="1"/>
    <col min="13036" max="13279" width="9.140625" style="2"/>
    <col min="13280" max="13280" width="3.5703125" style="2" customWidth="1"/>
    <col min="13281" max="13281" width="96.85546875" style="2" customWidth="1"/>
    <col min="13282" max="13282" width="30.85546875" style="2" customWidth="1"/>
    <col min="13283" max="13283" width="12.5703125" style="2" customWidth="1"/>
    <col min="13284" max="13284" width="5.140625" style="2" customWidth="1"/>
    <col min="13285" max="13285" width="9.140625" style="2"/>
    <col min="13286" max="13286" width="4.85546875" style="2" customWidth="1"/>
    <col min="13287" max="13287" width="30.5703125" style="2" customWidth="1"/>
    <col min="13288" max="13288" width="33.85546875" style="2" customWidth="1"/>
    <col min="13289" max="13289" width="5.140625" style="2" customWidth="1"/>
    <col min="13290" max="13291" width="17.5703125" style="2" customWidth="1"/>
    <col min="13292" max="13535" width="9.140625" style="2"/>
    <col min="13536" max="13536" width="3.5703125" style="2" customWidth="1"/>
    <col min="13537" max="13537" width="96.85546875" style="2" customWidth="1"/>
    <col min="13538" max="13538" width="30.85546875" style="2" customWidth="1"/>
    <col min="13539" max="13539" width="12.5703125" style="2" customWidth="1"/>
    <col min="13540" max="13540" width="5.140625" style="2" customWidth="1"/>
    <col min="13541" max="13541" width="9.140625" style="2"/>
    <col min="13542" max="13542" width="4.85546875" style="2" customWidth="1"/>
    <col min="13543" max="13543" width="30.5703125" style="2" customWidth="1"/>
    <col min="13544" max="13544" width="33.85546875" style="2" customWidth="1"/>
    <col min="13545" max="13545" width="5.140625" style="2" customWidth="1"/>
    <col min="13546" max="13547" width="17.5703125" style="2" customWidth="1"/>
    <col min="13548" max="13791" width="9.140625" style="2"/>
    <col min="13792" max="13792" width="3.5703125" style="2" customWidth="1"/>
    <col min="13793" max="13793" width="96.85546875" style="2" customWidth="1"/>
    <col min="13794" max="13794" width="30.85546875" style="2" customWidth="1"/>
    <col min="13795" max="13795" width="12.5703125" style="2" customWidth="1"/>
    <col min="13796" max="13796" width="5.140625" style="2" customWidth="1"/>
    <col min="13797" max="13797" width="9.140625" style="2"/>
    <col min="13798" max="13798" width="4.85546875" style="2" customWidth="1"/>
    <col min="13799" max="13799" width="30.5703125" style="2" customWidth="1"/>
    <col min="13800" max="13800" width="33.85546875" style="2" customWidth="1"/>
    <col min="13801" max="13801" width="5.140625" style="2" customWidth="1"/>
    <col min="13802" max="13803" width="17.5703125" style="2" customWidth="1"/>
    <col min="13804" max="14047" width="9.140625" style="2"/>
    <col min="14048" max="14048" width="3.5703125" style="2" customWidth="1"/>
    <col min="14049" max="14049" width="96.85546875" style="2" customWidth="1"/>
    <col min="14050" max="14050" width="30.85546875" style="2" customWidth="1"/>
    <col min="14051" max="14051" width="12.5703125" style="2" customWidth="1"/>
    <col min="14052" max="14052" width="5.140625" style="2" customWidth="1"/>
    <col min="14053" max="14053" width="9.140625" style="2"/>
    <col min="14054" max="14054" width="4.85546875" style="2" customWidth="1"/>
    <col min="14055" max="14055" width="30.5703125" style="2" customWidth="1"/>
    <col min="14056" max="14056" width="33.85546875" style="2" customWidth="1"/>
    <col min="14057" max="14057" width="5.140625" style="2" customWidth="1"/>
    <col min="14058" max="14059" width="17.5703125" style="2" customWidth="1"/>
    <col min="14060" max="14303" width="9.140625" style="2"/>
    <col min="14304" max="14304" width="3.5703125" style="2" customWidth="1"/>
    <col min="14305" max="14305" width="96.85546875" style="2" customWidth="1"/>
    <col min="14306" max="14306" width="30.85546875" style="2" customWidth="1"/>
    <col min="14307" max="14307" width="12.5703125" style="2" customWidth="1"/>
    <col min="14308" max="14308" width="5.140625" style="2" customWidth="1"/>
    <col min="14309" max="14309" width="9.140625" style="2"/>
    <col min="14310" max="14310" width="4.85546875" style="2" customWidth="1"/>
    <col min="14311" max="14311" width="30.5703125" style="2" customWidth="1"/>
    <col min="14312" max="14312" width="33.85546875" style="2" customWidth="1"/>
    <col min="14313" max="14313" width="5.140625" style="2" customWidth="1"/>
    <col min="14314" max="14315" width="17.5703125" style="2" customWidth="1"/>
    <col min="14316" max="14559" width="9.140625" style="2"/>
    <col min="14560" max="14560" width="3.5703125" style="2" customWidth="1"/>
    <col min="14561" max="14561" width="96.85546875" style="2" customWidth="1"/>
    <col min="14562" max="14562" width="30.85546875" style="2" customWidth="1"/>
    <col min="14563" max="14563" width="12.5703125" style="2" customWidth="1"/>
    <col min="14564" max="14564" width="5.140625" style="2" customWidth="1"/>
    <col min="14565" max="14565" width="9.140625" style="2"/>
    <col min="14566" max="14566" width="4.85546875" style="2" customWidth="1"/>
    <col min="14567" max="14567" width="30.5703125" style="2" customWidth="1"/>
    <col min="14568" max="14568" width="33.85546875" style="2" customWidth="1"/>
    <col min="14569" max="14569" width="5.140625" style="2" customWidth="1"/>
    <col min="14570" max="14571" width="17.5703125" style="2" customWidth="1"/>
    <col min="14572" max="14815" width="9.140625" style="2"/>
    <col min="14816" max="14816" width="3.5703125" style="2" customWidth="1"/>
    <col min="14817" max="14817" width="96.85546875" style="2" customWidth="1"/>
    <col min="14818" max="14818" width="30.85546875" style="2" customWidth="1"/>
    <col min="14819" max="14819" width="12.5703125" style="2" customWidth="1"/>
    <col min="14820" max="14820" width="5.140625" style="2" customWidth="1"/>
    <col min="14821" max="14821" width="9.140625" style="2"/>
    <col min="14822" max="14822" width="4.85546875" style="2" customWidth="1"/>
    <col min="14823" max="14823" width="30.5703125" style="2" customWidth="1"/>
    <col min="14824" max="14824" width="33.85546875" style="2" customWidth="1"/>
    <col min="14825" max="14825" width="5.140625" style="2" customWidth="1"/>
    <col min="14826" max="14827" width="17.5703125" style="2" customWidth="1"/>
    <col min="14828" max="15071" width="9.140625" style="2"/>
    <col min="15072" max="15072" width="3.5703125" style="2" customWidth="1"/>
    <col min="15073" max="15073" width="96.85546875" style="2" customWidth="1"/>
    <col min="15074" max="15074" width="30.85546875" style="2" customWidth="1"/>
    <col min="15075" max="15075" width="12.5703125" style="2" customWidth="1"/>
    <col min="15076" max="15076" width="5.140625" style="2" customWidth="1"/>
    <col min="15077" max="15077" width="9.140625" style="2"/>
    <col min="15078" max="15078" width="4.85546875" style="2" customWidth="1"/>
    <col min="15079" max="15079" width="30.5703125" style="2" customWidth="1"/>
    <col min="15080" max="15080" width="33.85546875" style="2" customWidth="1"/>
    <col min="15081" max="15081" width="5.140625" style="2" customWidth="1"/>
    <col min="15082" max="15083" width="17.5703125" style="2" customWidth="1"/>
    <col min="15084" max="15327" width="9.140625" style="2"/>
    <col min="15328" max="15328" width="3.5703125" style="2" customWidth="1"/>
    <col min="15329" max="15329" width="96.85546875" style="2" customWidth="1"/>
    <col min="15330" max="15330" width="30.85546875" style="2" customWidth="1"/>
    <col min="15331" max="15331" width="12.5703125" style="2" customWidth="1"/>
    <col min="15332" max="15332" width="5.140625" style="2" customWidth="1"/>
    <col min="15333" max="15333" width="9.140625" style="2"/>
    <col min="15334" max="15334" width="4.85546875" style="2" customWidth="1"/>
    <col min="15335" max="15335" width="30.5703125" style="2" customWidth="1"/>
    <col min="15336" max="15336" width="33.85546875" style="2" customWidth="1"/>
    <col min="15337" max="15337" width="5.140625" style="2" customWidth="1"/>
    <col min="15338" max="15339" width="17.5703125" style="2" customWidth="1"/>
    <col min="15340" max="15583" width="9.140625" style="2"/>
    <col min="15584" max="15584" width="3.5703125" style="2" customWidth="1"/>
    <col min="15585" max="15585" width="96.85546875" style="2" customWidth="1"/>
    <col min="15586" max="15586" width="30.85546875" style="2" customWidth="1"/>
    <col min="15587" max="15587" width="12.5703125" style="2" customWidth="1"/>
    <col min="15588" max="15588" width="5.140625" style="2" customWidth="1"/>
    <col min="15589" max="15589" width="9.140625" style="2"/>
    <col min="15590" max="15590" width="4.85546875" style="2" customWidth="1"/>
    <col min="15591" max="15591" width="30.5703125" style="2" customWidth="1"/>
    <col min="15592" max="15592" width="33.85546875" style="2" customWidth="1"/>
    <col min="15593" max="15593" width="5.140625" style="2" customWidth="1"/>
    <col min="15594" max="15595" width="17.5703125" style="2" customWidth="1"/>
    <col min="15596" max="15839" width="9.140625" style="2"/>
    <col min="15840" max="15840" width="3.5703125" style="2" customWidth="1"/>
    <col min="15841" max="15841" width="96.85546875" style="2" customWidth="1"/>
    <col min="15842" max="15842" width="30.85546875" style="2" customWidth="1"/>
    <col min="15843" max="15843" width="12.5703125" style="2" customWidth="1"/>
    <col min="15844" max="15844" width="5.140625" style="2" customWidth="1"/>
    <col min="15845" max="15845" width="9.140625" style="2"/>
    <col min="15846" max="15846" width="4.85546875" style="2" customWidth="1"/>
    <col min="15847" max="15847" width="30.5703125" style="2" customWidth="1"/>
    <col min="15848" max="15848" width="33.85546875" style="2" customWidth="1"/>
    <col min="15849" max="15849" width="5.140625" style="2" customWidth="1"/>
    <col min="15850" max="15851" width="17.5703125" style="2" customWidth="1"/>
    <col min="15852" max="16095" width="9.140625" style="2"/>
    <col min="16096" max="16096" width="3.5703125" style="2" customWidth="1"/>
    <col min="16097" max="16097" width="96.85546875" style="2" customWidth="1"/>
    <col min="16098" max="16098" width="30.85546875" style="2" customWidth="1"/>
    <col min="16099" max="16099" width="12.5703125" style="2" customWidth="1"/>
    <col min="16100" max="16100" width="5.140625" style="2" customWidth="1"/>
    <col min="16101" max="16101" width="9.140625" style="2"/>
    <col min="16102" max="16102" width="4.85546875" style="2" customWidth="1"/>
    <col min="16103" max="16103" width="30.5703125" style="2" customWidth="1"/>
    <col min="16104" max="16104" width="33.85546875" style="2" customWidth="1"/>
    <col min="16105" max="16105" width="5.140625" style="2" customWidth="1"/>
    <col min="16106" max="16107" width="17.5703125" style="2" customWidth="1"/>
    <col min="16108" max="16384" width="9.140625" style="2"/>
  </cols>
  <sheetData>
    <row r="1" spans="1:3" ht="48" customHeight="1">
      <c r="A1" s="1"/>
      <c r="B1" s="147" t="s">
        <v>0</v>
      </c>
      <c r="C1" s="147"/>
    </row>
    <row r="2" spans="1:3">
      <c r="A2" s="3"/>
      <c r="B2" s="4" t="s">
        <v>1</v>
      </c>
      <c r="C2" s="5">
        <v>45317</v>
      </c>
    </row>
    <row r="3" spans="1:3">
      <c r="A3" s="3"/>
      <c r="B3" s="6" t="s">
        <v>2</v>
      </c>
    </row>
    <row r="4" spans="1:3" ht="25.5">
      <c r="A4" s="8"/>
      <c r="B4" s="9" t="str">
        <f>[24]И1!D13</f>
        <v>Субъект Российской Федерации</v>
      </c>
      <c r="C4" s="10" t="str">
        <f>[24]И1!E13</f>
        <v>Новосибирская область</v>
      </c>
    </row>
    <row r="5" spans="1:3" ht="38.25">
      <c r="A5" s="8"/>
      <c r="B5" s="9" t="str">
        <f>[24]И1!D14</f>
        <v>Тип муниципального образования (выберите из списка)</v>
      </c>
      <c r="C5" s="10" t="str">
        <f>[24]И1!E14</f>
        <v xml:space="preserve">станция Мочище, Новосибирский муниципальный район </v>
      </c>
    </row>
    <row r="6" spans="1:3">
      <c r="A6" s="8"/>
      <c r="B6" s="9" t="str">
        <f>IF([24]И1!E15="","",[24]И1!D15)</f>
        <v/>
      </c>
      <c r="C6" s="10"/>
    </row>
    <row r="7" spans="1:3">
      <c r="A7" s="8"/>
      <c r="B7" s="9" t="str">
        <f>[24]И1!D16</f>
        <v>Код ОКТМО</v>
      </c>
      <c r="C7" s="11" t="str">
        <f>[24]И1!E16</f>
        <v>50640440101</v>
      </c>
    </row>
    <row r="8" spans="1:3">
      <c r="A8" s="8"/>
      <c r="B8" s="12" t="str">
        <f>[24]И1!D17</f>
        <v>Система теплоснабжения</v>
      </c>
      <c r="C8" s="13">
        <f>[24]И1!E17</f>
        <v>0</v>
      </c>
    </row>
    <row r="9" spans="1:3">
      <c r="A9" s="8"/>
      <c r="B9" s="9" t="str">
        <f>[24]И1!D8</f>
        <v>Период регулирования (i)-й</v>
      </c>
      <c r="C9" s="14">
        <f>[24]И1!E8</f>
        <v>2024</v>
      </c>
    </row>
    <row r="10" spans="1:3">
      <c r="A10" s="8"/>
      <c r="B10" s="9" t="str">
        <f>[24]И1!D9</f>
        <v>Период регулирования (i-1)-й</v>
      </c>
      <c r="C10" s="14">
        <f>[24]И1!E9</f>
        <v>2023</v>
      </c>
    </row>
    <row r="11" spans="1:3">
      <c r="A11" s="8"/>
      <c r="B11" s="9" t="str">
        <f>[24]И1!D10</f>
        <v>Период регулирования (i-2)-й</v>
      </c>
      <c r="C11" s="14">
        <f>[24]И1!E10</f>
        <v>2022</v>
      </c>
    </row>
    <row r="12" spans="1:3">
      <c r="A12" s="8"/>
      <c r="B12" s="9" t="str">
        <f>[24]И1!D11</f>
        <v>Базовый год (б)</v>
      </c>
      <c r="C12" s="14">
        <f>[24]И1!E11</f>
        <v>2019</v>
      </c>
    </row>
    <row r="13" spans="1:3" ht="38.25">
      <c r="A13" s="8"/>
      <c r="B13" s="9" t="str">
        <f>[24]И1!D18</f>
        <v>Вид топлива, использование которого преобладает в системе теплоснабжения</v>
      </c>
      <c r="C13" s="15" t="str">
        <f>[24]С1.1!E13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3699.043010834444</v>
      </c>
    </row>
    <row r="18" spans="1:3" ht="42.75">
      <c r="A18" s="22" t="s">
        <v>8</v>
      </c>
      <c r="B18" s="25" t="s">
        <v>9</v>
      </c>
      <c r="C18" s="26">
        <f>[24]С1!F12</f>
        <v>683.33733758630206</v>
      </c>
    </row>
    <row r="19" spans="1:3" ht="42.75">
      <c r="A19" s="22" t="s">
        <v>10</v>
      </c>
      <c r="B19" s="25" t="s">
        <v>11</v>
      </c>
      <c r="C19" s="26">
        <f>[24]С2!F12</f>
        <v>1988.145782203278</v>
      </c>
    </row>
    <row r="20" spans="1:3" ht="30">
      <c r="A20" s="22" t="s">
        <v>12</v>
      </c>
      <c r="B20" s="25" t="s">
        <v>13</v>
      </c>
      <c r="C20" s="26">
        <f>[24]С3!F12</f>
        <v>472.46007696916996</v>
      </c>
    </row>
    <row r="21" spans="1:3" ht="42.75">
      <c r="A21" s="22" t="s">
        <v>14</v>
      </c>
      <c r="B21" s="25" t="s">
        <v>15</v>
      </c>
      <c r="C21" s="26">
        <f>[24]С4!F12</f>
        <v>482.56955896129267</v>
      </c>
    </row>
    <row r="22" spans="1:3" ht="30">
      <c r="A22" s="22" t="s">
        <v>16</v>
      </c>
      <c r="B22" s="25" t="s">
        <v>17</v>
      </c>
      <c r="C22" s="26">
        <f>[24]С5!F12</f>
        <v>72.530255114400859</v>
      </c>
    </row>
    <row r="23" spans="1:3" ht="43.5" thickBot="1">
      <c r="A23" s="27" t="s">
        <v>18</v>
      </c>
      <c r="B23" s="144" t="s">
        <v>19</v>
      </c>
      <c r="C23" s="28" t="str">
        <f>[24]С6!F12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[24]С1.1!E16</f>
        <v>5100</v>
      </c>
    </row>
    <row r="29" spans="1:3" ht="42.75">
      <c r="A29" s="22" t="s">
        <v>10</v>
      </c>
      <c r="B29" s="33" t="s">
        <v>22</v>
      </c>
      <c r="C29" s="34">
        <f>[24]С1.1!E27</f>
        <v>3070.2643160361417</v>
      </c>
    </row>
    <row r="30" spans="1:3" ht="17.25">
      <c r="A30" s="22" t="s">
        <v>12</v>
      </c>
      <c r="B30" s="33" t="s">
        <v>23</v>
      </c>
      <c r="C30" s="35">
        <f>[24]С1.1!E19</f>
        <v>-0.19900000000000001</v>
      </c>
    </row>
    <row r="31" spans="1:3" ht="17.25">
      <c r="A31" s="22" t="s">
        <v>14</v>
      </c>
      <c r="B31" s="33" t="s">
        <v>24</v>
      </c>
      <c r="C31" s="35">
        <f>[24]С1.1!E20</f>
        <v>5.7000000000000002E-2</v>
      </c>
    </row>
    <row r="32" spans="1:3" ht="30">
      <c r="A32" s="22" t="s">
        <v>16</v>
      </c>
      <c r="B32" s="36" t="s">
        <v>25</v>
      </c>
      <c r="C32" s="37">
        <f>[24]С1!F13</f>
        <v>176.4</v>
      </c>
    </row>
    <row r="33" spans="1:3">
      <c r="A33" s="22" t="s">
        <v>18</v>
      </c>
      <c r="B33" s="36" t="s">
        <v>26</v>
      </c>
      <c r="C33" s="38">
        <f>[24]С1!F16</f>
        <v>7000</v>
      </c>
    </row>
    <row r="34" spans="1:3" ht="14.25">
      <c r="A34" s="22" t="s">
        <v>27</v>
      </c>
      <c r="B34" s="39" t="s">
        <v>28</v>
      </c>
      <c r="C34" s="40">
        <f>[24]С1!F17</f>
        <v>0.72857142857142854</v>
      </c>
    </row>
    <row r="35" spans="1:3" ht="15.75">
      <c r="A35" s="41" t="s">
        <v>29</v>
      </c>
      <c r="B35" s="42" t="s">
        <v>30</v>
      </c>
      <c r="C35" s="40">
        <f>[24]С1!F20</f>
        <v>21.588411179999994</v>
      </c>
    </row>
    <row r="36" spans="1:3" ht="15.75">
      <c r="A36" s="41" t="s">
        <v>31</v>
      </c>
      <c r="B36" s="43" t="s">
        <v>32</v>
      </c>
      <c r="C36" s="40">
        <f>[24]С1!F21</f>
        <v>20.818139999999996</v>
      </c>
    </row>
    <row r="37" spans="1:3" ht="14.25">
      <c r="A37" s="41" t="s">
        <v>33</v>
      </c>
      <c r="B37" s="44" t="s">
        <v>34</v>
      </c>
      <c r="C37" s="40">
        <f>[24]С1!F22</f>
        <v>1.0369999999999999</v>
      </c>
    </row>
    <row r="38" spans="1:3" ht="53.25" thickBot="1">
      <c r="A38" s="27" t="s">
        <v>35</v>
      </c>
      <c r="B38" s="45" t="s">
        <v>36</v>
      </c>
      <c r="C38" s="46">
        <f>[24]С1!F23</f>
        <v>1.0469999999999999</v>
      </c>
    </row>
    <row r="39" spans="1:3" ht="13.5" thickBot="1">
      <c r="A39" s="47"/>
      <c r="B39" s="48"/>
      <c r="C39" s="49"/>
    </row>
    <row r="40" spans="1:3" ht="30" customHeight="1">
      <c r="A40" s="50" t="s">
        <v>37</v>
      </c>
      <c r="B40" s="145" t="s">
        <v>38</v>
      </c>
      <c r="C40" s="145"/>
    </row>
    <row r="41" spans="1:3" ht="25.5">
      <c r="A41" s="22" t="s">
        <v>39</v>
      </c>
      <c r="B41" s="36" t="s">
        <v>40</v>
      </c>
      <c r="C41" s="51" t="str">
        <f>[24]С2.1!E12</f>
        <v>V</v>
      </c>
    </row>
    <row r="42" spans="1:3" ht="25.5">
      <c r="A42" s="22" t="s">
        <v>41</v>
      </c>
      <c r="B42" s="33" t="s">
        <v>42</v>
      </c>
      <c r="C42" s="51" t="str">
        <f>[24]С2.1!E13</f>
        <v>6 и менее баллов</v>
      </c>
    </row>
    <row r="43" spans="1:3" ht="25.5">
      <c r="A43" s="22" t="s">
        <v>43</v>
      </c>
      <c r="B43" s="33" t="s">
        <v>44</v>
      </c>
      <c r="C43" s="51" t="str">
        <f>[24]С2.1!E14</f>
        <v>от 200 до 500</v>
      </c>
    </row>
    <row r="44" spans="1:3" ht="25.5">
      <c r="A44" s="22" t="s">
        <v>45</v>
      </c>
      <c r="B44" s="33" t="s">
        <v>46</v>
      </c>
      <c r="C44" s="52" t="str">
        <f>[24]С2.1!E15</f>
        <v>нет</v>
      </c>
    </row>
    <row r="45" spans="1:3" ht="30">
      <c r="A45" s="22" t="s">
        <v>47</v>
      </c>
      <c r="B45" s="33" t="s">
        <v>48</v>
      </c>
      <c r="C45" s="34">
        <f>[24]С2!F18</f>
        <v>35106.652004551666</v>
      </c>
    </row>
    <row r="46" spans="1:3" ht="30">
      <c r="A46" s="22" t="s">
        <v>49</v>
      </c>
      <c r="B46" s="53" t="s">
        <v>50</v>
      </c>
      <c r="C46" s="34">
        <f>IF([24]С2!F19&gt;0,[24]С2!F19,[24]С2!F20)</f>
        <v>23441.524932855718</v>
      </c>
    </row>
    <row r="47" spans="1:3" ht="25.5">
      <c r="A47" s="22" t="s">
        <v>51</v>
      </c>
      <c r="B47" s="54" t="s">
        <v>52</v>
      </c>
      <c r="C47" s="34">
        <f>[24]С2.1!E19</f>
        <v>-37</v>
      </c>
    </row>
    <row r="48" spans="1:3" ht="25.5">
      <c r="A48" s="22" t="s">
        <v>53</v>
      </c>
      <c r="B48" s="54" t="s">
        <v>54</v>
      </c>
      <c r="C48" s="34" t="str">
        <f>[24]С2.1!E22</f>
        <v>нет</v>
      </c>
    </row>
    <row r="49" spans="1:3" ht="38.25">
      <c r="A49" s="22" t="s">
        <v>55</v>
      </c>
      <c r="B49" s="55" t="s">
        <v>56</v>
      </c>
      <c r="C49" s="34">
        <f>[24]С2.2!E10</f>
        <v>1287</v>
      </c>
    </row>
    <row r="50" spans="1:3" ht="25.5">
      <c r="A50" s="22" t="s">
        <v>57</v>
      </c>
      <c r="B50" s="56" t="s">
        <v>58</v>
      </c>
      <c r="C50" s="34">
        <f>[24]С2.2!E12</f>
        <v>5.97</v>
      </c>
    </row>
    <row r="51" spans="1:3" ht="52.5">
      <c r="A51" s="22" t="s">
        <v>59</v>
      </c>
      <c r="B51" s="57" t="s">
        <v>60</v>
      </c>
      <c r="C51" s="34">
        <f>[24]С2.2!E13</f>
        <v>1</v>
      </c>
    </row>
    <row r="52" spans="1:3" ht="27.75">
      <c r="A52" s="22" t="s">
        <v>61</v>
      </c>
      <c r="B52" s="56" t="s">
        <v>62</v>
      </c>
      <c r="C52" s="34">
        <f>[24]С2.2!E14</f>
        <v>12104</v>
      </c>
    </row>
    <row r="53" spans="1:3" ht="25.5">
      <c r="A53" s="22" t="s">
        <v>63</v>
      </c>
      <c r="B53" s="57" t="s">
        <v>64</v>
      </c>
      <c r="C53" s="35">
        <f>[24]С2.2!E15</f>
        <v>4.8000000000000001E-2</v>
      </c>
    </row>
    <row r="54" spans="1:3">
      <c r="A54" s="22" t="s">
        <v>65</v>
      </c>
      <c r="B54" s="57" t="s">
        <v>66</v>
      </c>
      <c r="C54" s="34">
        <f>[24]С2.2!E16</f>
        <v>1</v>
      </c>
    </row>
    <row r="55" spans="1:3" ht="15.75">
      <c r="A55" s="22" t="s">
        <v>67</v>
      </c>
      <c r="B55" s="58" t="s">
        <v>68</v>
      </c>
      <c r="C55" s="34">
        <f>[24]С2!F21</f>
        <v>1</v>
      </c>
    </row>
    <row r="56" spans="1:3" ht="30">
      <c r="A56" s="59" t="s">
        <v>69</v>
      </c>
      <c r="B56" s="33" t="s">
        <v>70</v>
      </c>
      <c r="C56" s="34">
        <f>[24]С2!F13</f>
        <v>183796.83936385796</v>
      </c>
    </row>
    <row r="57" spans="1:3" ht="30">
      <c r="A57" s="59" t="s">
        <v>71</v>
      </c>
      <c r="B57" s="58" t="s">
        <v>72</v>
      </c>
      <c r="C57" s="34">
        <f>[24]С2!F14</f>
        <v>113455</v>
      </c>
    </row>
    <row r="58" spans="1:3" ht="15.75">
      <c r="A58" s="59" t="s">
        <v>73</v>
      </c>
      <c r="B58" s="60" t="s">
        <v>74</v>
      </c>
      <c r="C58" s="40">
        <f>[24]С2!F15</f>
        <v>1.071</v>
      </c>
    </row>
    <row r="59" spans="1:3" ht="15.75">
      <c r="A59" s="59" t="s">
        <v>75</v>
      </c>
      <c r="B59" s="60" t="s">
        <v>76</v>
      </c>
      <c r="C59" s="40">
        <f>[24]С2!F16</f>
        <v>1</v>
      </c>
    </row>
    <row r="60" spans="1:3" ht="17.25">
      <c r="A60" s="59" t="s">
        <v>77</v>
      </c>
      <c r="B60" s="58" t="s">
        <v>78</v>
      </c>
      <c r="C60" s="34">
        <f>[24]С2!F17</f>
        <v>1.01</v>
      </c>
    </row>
    <row r="61" spans="1:3" s="63" customFormat="1" ht="14.25">
      <c r="A61" s="59" t="s">
        <v>79</v>
      </c>
      <c r="B61" s="61" t="s">
        <v>80</v>
      </c>
      <c r="C61" s="62">
        <f>[24]С2!F33</f>
        <v>10</v>
      </c>
    </row>
    <row r="62" spans="1:3" ht="30">
      <c r="A62" s="59" t="s">
        <v>81</v>
      </c>
      <c r="B62" s="64" t="s">
        <v>82</v>
      </c>
      <c r="C62" s="34">
        <f>[24]С2!F26</f>
        <v>1189.8488364193513</v>
      </c>
    </row>
    <row r="63" spans="1:3" ht="17.25">
      <c r="A63" s="59" t="s">
        <v>83</v>
      </c>
      <c r="B63" s="53" t="s">
        <v>84</v>
      </c>
      <c r="C63" s="34">
        <f>[24]С2!F27</f>
        <v>0.18916419899999998</v>
      </c>
    </row>
    <row r="64" spans="1:3" ht="17.25">
      <c r="A64" s="59" t="s">
        <v>85</v>
      </c>
      <c r="B64" s="58" t="s">
        <v>86</v>
      </c>
      <c r="C64" s="62">
        <f>[24]С2!F28</f>
        <v>4200</v>
      </c>
    </row>
    <row r="65" spans="1:3" ht="42.75">
      <c r="A65" s="59" t="s">
        <v>87</v>
      </c>
      <c r="B65" s="33" t="s">
        <v>88</v>
      </c>
      <c r="C65" s="34">
        <f>[24]С2!F22</f>
        <v>38698.422798410109</v>
      </c>
    </row>
    <row r="66" spans="1:3" ht="30">
      <c r="A66" s="59" t="s">
        <v>89</v>
      </c>
      <c r="B66" s="60" t="s">
        <v>90</v>
      </c>
      <c r="C66" s="34">
        <f>[24]С2!F23</f>
        <v>1990</v>
      </c>
    </row>
    <row r="67" spans="1:3" ht="30">
      <c r="A67" s="59" t="s">
        <v>91</v>
      </c>
      <c r="B67" s="53" t="s">
        <v>92</v>
      </c>
      <c r="C67" s="34">
        <f>[24]С2.1!E27</f>
        <v>14307.876789999998</v>
      </c>
    </row>
    <row r="68" spans="1:3" ht="38.25">
      <c r="A68" s="59" t="s">
        <v>93</v>
      </c>
      <c r="B68" s="65" t="s">
        <v>94</v>
      </c>
      <c r="C68" s="52">
        <f>[24]С2.3!E21</f>
        <v>0</v>
      </c>
    </row>
    <row r="69" spans="1:3" ht="25.5">
      <c r="A69" s="59" t="s">
        <v>95</v>
      </c>
      <c r="B69" s="66" t="s">
        <v>96</v>
      </c>
      <c r="C69" s="67">
        <f>[24]С2.3!E11</f>
        <v>9.89</v>
      </c>
    </row>
    <row r="70" spans="1:3" ht="25.5">
      <c r="A70" s="59" t="s">
        <v>97</v>
      </c>
      <c r="B70" s="66" t="s">
        <v>98</v>
      </c>
      <c r="C70" s="62">
        <f>[24]С2.3!E13</f>
        <v>300</v>
      </c>
    </row>
    <row r="71" spans="1:3" ht="25.5">
      <c r="A71" s="59" t="s">
        <v>99</v>
      </c>
      <c r="B71" s="65" t="s">
        <v>100</v>
      </c>
      <c r="C71" s="68">
        <f>IF([24]С2.3!E22&gt;0,[24]С2.3!E22,[24]С2.3!E14)</f>
        <v>61211</v>
      </c>
    </row>
    <row r="72" spans="1:3" ht="38.25">
      <c r="A72" s="59" t="s">
        <v>101</v>
      </c>
      <c r="B72" s="65" t="s">
        <v>102</v>
      </c>
      <c r="C72" s="68">
        <f>IF([24]С2.3!E23&gt;0,[24]С2.3!E23,[24]С2.3!E15)</f>
        <v>45675</v>
      </c>
    </row>
    <row r="73" spans="1:3" ht="30">
      <c r="A73" s="59" t="s">
        <v>103</v>
      </c>
      <c r="B73" s="53" t="s">
        <v>104</v>
      </c>
      <c r="C73" s="34">
        <f>[24]С2.1!E28</f>
        <v>9541.9567200000001</v>
      </c>
    </row>
    <row r="74" spans="1:3" ht="38.25">
      <c r="A74" s="59" t="s">
        <v>105</v>
      </c>
      <c r="B74" s="65" t="s">
        <v>106</v>
      </c>
      <c r="C74" s="52">
        <f>[24]С2.3!E25</f>
        <v>0</v>
      </c>
    </row>
    <row r="75" spans="1:3" ht="25.5">
      <c r="A75" s="59" t="s">
        <v>107</v>
      </c>
      <c r="B75" s="66" t="s">
        <v>108</v>
      </c>
      <c r="C75" s="67">
        <f>[24]С2.3!E12</f>
        <v>0.56000000000000005</v>
      </c>
    </row>
    <row r="76" spans="1:3" ht="25.5">
      <c r="A76" s="59" t="s">
        <v>109</v>
      </c>
      <c r="B76" s="66" t="s">
        <v>98</v>
      </c>
      <c r="C76" s="62">
        <f>[24]С2.3!E13</f>
        <v>300</v>
      </c>
    </row>
    <row r="77" spans="1:3" ht="25.5">
      <c r="A77" s="59" t="s">
        <v>110</v>
      </c>
      <c r="B77" s="69" t="s">
        <v>111</v>
      </c>
      <c r="C77" s="68">
        <f>IF([24]С2.3!E26&gt;0,[24]С2.3!E26,[24]С2.3!E16)</f>
        <v>65637</v>
      </c>
    </row>
    <row r="78" spans="1:3" ht="38.25">
      <c r="A78" s="59" t="s">
        <v>112</v>
      </c>
      <c r="B78" s="69" t="s">
        <v>113</v>
      </c>
      <c r="C78" s="68">
        <f>IF([24]С2.3!E27&gt;0,[24]С2.3!E27,[24]С2.3!E17)</f>
        <v>31684</v>
      </c>
    </row>
    <row r="79" spans="1:3" ht="17.25">
      <c r="A79" s="59" t="s">
        <v>114</v>
      </c>
      <c r="B79" s="33" t="s">
        <v>115</v>
      </c>
      <c r="C79" s="35">
        <f>[24]С2!F29</f>
        <v>9.5962865259740182E-2</v>
      </c>
    </row>
    <row r="80" spans="1:3" ht="30">
      <c r="A80" s="59" t="s">
        <v>116</v>
      </c>
      <c r="B80" s="53" t="s">
        <v>117</v>
      </c>
      <c r="C80" s="70">
        <f>[24]С2!F30</f>
        <v>8.4029304029304031E-2</v>
      </c>
    </row>
    <row r="81" spans="1:3" ht="17.25">
      <c r="A81" s="59" t="s">
        <v>118</v>
      </c>
      <c r="B81" s="71" t="s">
        <v>119</v>
      </c>
      <c r="C81" s="35">
        <f>[24]С2!F31</f>
        <v>0.13880000000000001</v>
      </c>
    </row>
    <row r="82" spans="1:3" s="63" customFormat="1" ht="18" thickBot="1">
      <c r="A82" s="72" t="s">
        <v>120</v>
      </c>
      <c r="B82" s="73" t="s">
        <v>121</v>
      </c>
      <c r="C82" s="74">
        <f>[24]С2!F32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[24]С3!F14</f>
        <v>6054.0090724656739</v>
      </c>
    </row>
    <row r="86" spans="1:3" s="63" customFormat="1" ht="42.75">
      <c r="A86" s="77" t="s">
        <v>126</v>
      </c>
      <c r="B86" s="53" t="s">
        <v>127</v>
      </c>
      <c r="C86" s="78">
        <f>[24]С3!F15</f>
        <v>0.2</v>
      </c>
    </row>
    <row r="87" spans="1:3" s="63" customFormat="1" ht="14.25">
      <c r="A87" s="77" t="s">
        <v>128</v>
      </c>
      <c r="B87" s="79" t="s">
        <v>129</v>
      </c>
      <c r="C87" s="62">
        <f>[24]С3!F18</f>
        <v>15</v>
      </c>
    </row>
    <row r="88" spans="1:3" s="63" customFormat="1" ht="17.25">
      <c r="A88" s="77" t="s">
        <v>130</v>
      </c>
      <c r="B88" s="33" t="s">
        <v>131</v>
      </c>
      <c r="C88" s="34">
        <f>[24]С3!F19</f>
        <v>3778.1614077800232</v>
      </c>
    </row>
    <row r="89" spans="1:3" s="63" customFormat="1" ht="55.5">
      <c r="A89" s="77" t="s">
        <v>132</v>
      </c>
      <c r="B89" s="53" t="s">
        <v>133</v>
      </c>
      <c r="C89" s="80">
        <f>[24]С3!F20</f>
        <v>2.1999999999999999E-2</v>
      </c>
    </row>
    <row r="90" spans="1:3" s="63" customFormat="1" ht="14.25">
      <c r="A90" s="77" t="s">
        <v>134</v>
      </c>
      <c r="B90" s="58" t="s">
        <v>80</v>
      </c>
      <c r="C90" s="62">
        <f>[24]С3!F21</f>
        <v>10</v>
      </c>
    </row>
    <row r="91" spans="1:3" s="63" customFormat="1" ht="17.25">
      <c r="A91" s="77" t="s">
        <v>135</v>
      </c>
      <c r="B91" s="33" t="s">
        <v>136</v>
      </c>
      <c r="C91" s="34">
        <f>[24]С3!F22</f>
        <v>3.5695465092580538</v>
      </c>
    </row>
    <row r="92" spans="1:3" s="63" customFormat="1" ht="55.5">
      <c r="A92" s="77" t="s">
        <v>137</v>
      </c>
      <c r="B92" s="53" t="s">
        <v>138</v>
      </c>
      <c r="C92" s="80">
        <f>[24]С3!F23</f>
        <v>3.0000000000000001E-3</v>
      </c>
    </row>
    <row r="93" spans="1:3" s="63" customFormat="1" ht="27.75" thickBot="1">
      <c r="A93" s="81" t="s">
        <v>139</v>
      </c>
      <c r="B93" s="82" t="s">
        <v>140</v>
      </c>
      <c r="C93" s="83">
        <f>[24]С3!F24</f>
        <v>1189.8488364193513</v>
      </c>
    </row>
    <row r="94" spans="1:3" ht="13.5" thickBot="1">
      <c r="A94" s="47"/>
      <c r="B94" s="75"/>
      <c r="C94" s="15"/>
    </row>
    <row r="95" spans="1:3" ht="30" customHeight="1">
      <c r="A95" s="84" t="s">
        <v>141</v>
      </c>
      <c r="B95" s="145" t="s">
        <v>142</v>
      </c>
      <c r="C95" s="145"/>
    </row>
    <row r="96" spans="1:3" ht="30">
      <c r="A96" s="59" t="s">
        <v>143</v>
      </c>
      <c r="B96" s="33" t="s">
        <v>144</v>
      </c>
      <c r="C96" s="34">
        <f>[24]С4!F16</f>
        <v>1652.5</v>
      </c>
    </row>
    <row r="97" spans="1:3" ht="30">
      <c r="A97" s="59" t="s">
        <v>145</v>
      </c>
      <c r="B97" s="58" t="s">
        <v>146</v>
      </c>
      <c r="C97" s="34">
        <f>[24]С4!F17</f>
        <v>73547</v>
      </c>
    </row>
    <row r="98" spans="1:3" ht="17.25">
      <c r="A98" s="59" t="s">
        <v>147</v>
      </c>
      <c r="B98" s="58" t="s">
        <v>148</v>
      </c>
      <c r="C98" s="40">
        <f>[24]С4!F18</f>
        <v>0.02</v>
      </c>
    </row>
    <row r="99" spans="1:3" ht="30">
      <c r="A99" s="59" t="s">
        <v>149</v>
      </c>
      <c r="B99" s="58" t="s">
        <v>150</v>
      </c>
      <c r="C99" s="34">
        <f>[24]С4!F19</f>
        <v>12104</v>
      </c>
    </row>
    <row r="100" spans="1:3" ht="31.5">
      <c r="A100" s="59" t="s">
        <v>151</v>
      </c>
      <c r="B100" s="58" t="s">
        <v>152</v>
      </c>
      <c r="C100" s="40">
        <f>[24]С4!F20</f>
        <v>1.4999999999999999E-2</v>
      </c>
    </row>
    <row r="101" spans="1:3" ht="30">
      <c r="A101" s="59" t="s">
        <v>153</v>
      </c>
      <c r="B101" s="33" t="s">
        <v>154</v>
      </c>
      <c r="C101" s="34">
        <f>[24]С4!F21</f>
        <v>1933.1949342509995</v>
      </c>
    </row>
    <row r="102" spans="1:3" ht="24" customHeight="1">
      <c r="A102" s="59" t="s">
        <v>155</v>
      </c>
      <c r="B102" s="53" t="s">
        <v>156</v>
      </c>
      <c r="C102" s="85">
        <f>IF([24]С4.2!F8="да",[24]С4.2!D21,[24]С4.2!D15)</f>
        <v>0</v>
      </c>
    </row>
    <row r="103" spans="1:3" ht="68.25">
      <c r="A103" s="59" t="s">
        <v>157</v>
      </c>
      <c r="B103" s="53" t="s">
        <v>158</v>
      </c>
      <c r="C103" s="34">
        <f>[24]С4!F22</f>
        <v>3.6112641666666665</v>
      </c>
    </row>
    <row r="104" spans="1:3" ht="30">
      <c r="A104" s="59" t="s">
        <v>159</v>
      </c>
      <c r="B104" s="58" t="s">
        <v>160</v>
      </c>
      <c r="C104" s="34">
        <f>[24]С4!F23</f>
        <v>180</v>
      </c>
    </row>
    <row r="105" spans="1:3" ht="14.25">
      <c r="A105" s="59" t="s">
        <v>161</v>
      </c>
      <c r="B105" s="53" t="s">
        <v>162</v>
      </c>
      <c r="C105" s="34">
        <f>[24]С4!F24</f>
        <v>8497.1999999999989</v>
      </c>
    </row>
    <row r="106" spans="1:3" ht="14.25">
      <c r="A106" s="59" t="s">
        <v>163</v>
      </c>
      <c r="B106" s="58" t="s">
        <v>164</v>
      </c>
      <c r="C106" s="40">
        <f>[24]С4!F25</f>
        <v>0.35</v>
      </c>
    </row>
    <row r="107" spans="1:3" ht="17.25">
      <c r="A107" s="59" t="s">
        <v>165</v>
      </c>
      <c r="B107" s="33" t="s">
        <v>166</v>
      </c>
      <c r="C107" s="34">
        <f>[24]С4!F26</f>
        <v>87.160230000000013</v>
      </c>
    </row>
    <row r="108" spans="1:3" ht="25.5">
      <c r="A108" s="59" t="s">
        <v>167</v>
      </c>
      <c r="B108" s="53" t="s">
        <v>94</v>
      </c>
      <c r="C108" s="85">
        <f>[24]С4.3!E16</f>
        <v>0</v>
      </c>
    </row>
    <row r="109" spans="1:3" ht="25.5">
      <c r="A109" s="59" t="s">
        <v>168</v>
      </c>
      <c r="B109" s="53" t="s">
        <v>169</v>
      </c>
      <c r="C109" s="34">
        <f>[24]С4.3!E17</f>
        <v>23.57</v>
      </c>
    </row>
    <row r="110" spans="1:3" ht="38.25">
      <c r="A110" s="59" t="s">
        <v>170</v>
      </c>
      <c r="B110" s="53" t="s">
        <v>106</v>
      </c>
      <c r="C110" s="85">
        <f>[24]С4.3!E18</f>
        <v>0</v>
      </c>
    </row>
    <row r="111" spans="1:3">
      <c r="A111" s="59" t="s">
        <v>171</v>
      </c>
      <c r="B111" s="53" t="s">
        <v>172</v>
      </c>
      <c r="C111" s="34">
        <f>[24]С4.3!E19</f>
        <v>22.06</v>
      </c>
    </row>
    <row r="112" spans="1:3">
      <c r="A112" s="59" t="s">
        <v>173</v>
      </c>
      <c r="B112" s="58" t="s">
        <v>174</v>
      </c>
      <c r="C112" s="34">
        <f>[24]С4.3!E11</f>
        <v>1871</v>
      </c>
    </row>
    <row r="113" spans="1:3">
      <c r="A113" s="59" t="s">
        <v>175</v>
      </c>
      <c r="B113" s="58" t="s">
        <v>176</v>
      </c>
      <c r="C113" s="52">
        <f>[24]С4.3!E12</f>
        <v>1636</v>
      </c>
    </row>
    <row r="114" spans="1:3">
      <c r="A114" s="59" t="s">
        <v>177</v>
      </c>
      <c r="B114" s="58" t="s">
        <v>178</v>
      </c>
      <c r="C114" s="52">
        <f>[24]С4.3!E13</f>
        <v>204</v>
      </c>
    </row>
    <row r="115" spans="1:3" ht="30">
      <c r="A115" s="59" t="s">
        <v>179</v>
      </c>
      <c r="B115" s="33" t="s">
        <v>180</v>
      </c>
      <c r="C115" s="34">
        <f>[24]С4!F27</f>
        <v>1851.0127650478018</v>
      </c>
    </row>
    <row r="116" spans="1:3" ht="25.5">
      <c r="A116" s="59" t="s">
        <v>181</v>
      </c>
      <c r="B116" s="53" t="s">
        <v>182</v>
      </c>
      <c r="C116" s="34">
        <f>[24]С4!F28</f>
        <v>1421.6687903592947</v>
      </c>
    </row>
    <row r="117" spans="1:3" ht="42.75">
      <c r="A117" s="59" t="s">
        <v>183</v>
      </c>
      <c r="B117" s="53" t="s">
        <v>184</v>
      </c>
      <c r="C117" s="34">
        <f>[24]С4!F29</f>
        <v>429.3439746885071</v>
      </c>
    </row>
    <row r="118" spans="1:3" ht="30">
      <c r="A118" s="59" t="s">
        <v>185</v>
      </c>
      <c r="B118" s="39" t="s">
        <v>186</v>
      </c>
      <c r="C118" s="34">
        <f>[24]С4!F30</f>
        <v>1773.5089225974243</v>
      </c>
    </row>
    <row r="119" spans="1:3" ht="42.75">
      <c r="A119" s="59" t="s">
        <v>187</v>
      </c>
      <c r="B119" s="86" t="s">
        <v>188</v>
      </c>
      <c r="C119" s="34">
        <f>[24]С4!F33</f>
        <v>1012.8475462769227</v>
      </c>
    </row>
    <row r="120" spans="1:3" ht="30">
      <c r="A120" s="59" t="s">
        <v>189</v>
      </c>
      <c r="B120" s="87" t="s">
        <v>190</v>
      </c>
      <c r="C120" s="34">
        <f>[24]С4!F35</f>
        <v>17.040680999999999</v>
      </c>
    </row>
    <row r="121" spans="1:3" ht="14.25">
      <c r="A121" s="59" t="s">
        <v>191</v>
      </c>
      <c r="B121" s="56" t="s">
        <v>192</v>
      </c>
      <c r="C121" s="34">
        <f>[24]С4!F36</f>
        <v>14319.9</v>
      </c>
    </row>
    <row r="122" spans="1:3" ht="28.5" thickBot="1">
      <c r="A122" s="72" t="s">
        <v>193</v>
      </c>
      <c r="B122" s="88" t="s">
        <v>194</v>
      </c>
      <c r="C122" s="83">
        <f>[24]С4!F37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[24]С5!F17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[24]С2!F37</f>
        <v>20.818139999999996</v>
      </c>
    </row>
    <row r="136" spans="1:3" ht="14.25">
      <c r="A136" s="59" t="s">
        <v>216</v>
      </c>
      <c r="B136" s="101" t="s">
        <v>217</v>
      </c>
      <c r="C136" s="34">
        <f>[24]С2!F38</f>
        <v>7</v>
      </c>
    </row>
    <row r="137" spans="1:3" ht="17.25">
      <c r="A137" s="59" t="s">
        <v>218</v>
      </c>
      <c r="B137" s="101" t="s">
        <v>219</v>
      </c>
      <c r="C137" s="34">
        <f>[24]С2!F40</f>
        <v>0.97</v>
      </c>
    </row>
    <row r="138" spans="1:3" ht="15" thickBot="1">
      <c r="A138" s="72" t="s">
        <v>220</v>
      </c>
      <c r="B138" s="102" t="s">
        <v>221</v>
      </c>
      <c r="C138" s="46">
        <f>[24]С2!F42</f>
        <v>0.35</v>
      </c>
    </row>
    <row r="139" spans="1:3" s="89" customFormat="1" ht="13.5" thickBot="1">
      <c r="A139" s="47"/>
      <c r="B139" s="75"/>
      <c r="C139" s="15"/>
    </row>
    <row r="140" spans="1:3" ht="30">
      <c r="A140" s="84" t="s">
        <v>222</v>
      </c>
      <c r="B140" s="103" t="s">
        <v>223</v>
      </c>
      <c r="C140" s="104">
        <f>[24]С2!F35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[24]С2.5!$E$11</f>
        <v>-2.9000000000000026E-2</v>
      </c>
    </row>
    <row r="144" spans="1:3">
      <c r="A144" s="105"/>
      <c r="B144" s="110">
        <f>B143+1</f>
        <v>2021</v>
      </c>
      <c r="C144" s="111">
        <f>[24]С2.5!$F$11</f>
        <v>0.245</v>
      </c>
    </row>
    <row r="145" spans="1:3">
      <c r="A145" s="105"/>
      <c r="B145" s="110">
        <f t="shared" ref="B145:B208" si="0">B144+1</f>
        <v>2022</v>
      </c>
      <c r="C145" s="111">
        <f>[24]С2.5!$G$11</f>
        <v>0.114</v>
      </c>
    </row>
    <row r="146" spans="1:3" ht="13.5" thickBot="1">
      <c r="A146" s="105"/>
      <c r="B146" s="112">
        <f t="shared" si="0"/>
        <v>2023</v>
      </c>
      <c r="C146" s="113">
        <f>[24]С2.5!$H$11</f>
        <v>2.4E-2</v>
      </c>
    </row>
    <row r="147" spans="1:3">
      <c r="A147" s="105"/>
      <c r="B147" s="114">
        <f t="shared" si="0"/>
        <v>2024</v>
      </c>
      <c r="C147" s="115">
        <f>[24]С2.5!$I$11</f>
        <v>8.5999999999999993E-2</v>
      </c>
    </row>
    <row r="148" spans="1:3" hidden="1">
      <c r="A148" s="105"/>
      <c r="B148" s="110">
        <f t="shared" si="0"/>
        <v>2025</v>
      </c>
      <c r="C148" s="111">
        <f>[24]С2.5!$J$11</f>
        <v>0.21215960863291</v>
      </c>
    </row>
    <row r="149" spans="1:3" hidden="1">
      <c r="A149" s="105"/>
      <c r="B149" s="110">
        <f t="shared" si="0"/>
        <v>2026</v>
      </c>
      <c r="C149" s="111">
        <f>[24]С2.5!$K$11</f>
        <v>3.5813361771260002E-2</v>
      </c>
    </row>
    <row r="150" spans="1:3" hidden="1">
      <c r="A150" s="105"/>
      <c r="B150" s="110">
        <f t="shared" si="0"/>
        <v>2027</v>
      </c>
      <c r="C150" s="111">
        <f>[24]С2.5!$L$11</f>
        <v>3.2682303599220003E-2</v>
      </c>
    </row>
    <row r="151" spans="1:3" hidden="1">
      <c r="A151" s="105"/>
      <c r="B151" s="110">
        <f t="shared" si="0"/>
        <v>2028</v>
      </c>
      <c r="C151" s="111">
        <f>[24]С2.5!$M$11</f>
        <v>0</v>
      </c>
    </row>
    <row r="152" spans="1:3" hidden="1">
      <c r="A152" s="105"/>
      <c r="B152" s="110">
        <f t="shared" si="0"/>
        <v>2029</v>
      </c>
      <c r="C152" s="111">
        <f>[24]С2.5!$N$11</f>
        <v>0</v>
      </c>
    </row>
    <row r="153" spans="1:3" hidden="1">
      <c r="A153" s="105"/>
      <c r="B153" s="110">
        <f t="shared" si="0"/>
        <v>2030</v>
      </c>
      <c r="C153" s="111">
        <f>[24]С2.5!$O$11</f>
        <v>0</v>
      </c>
    </row>
    <row r="154" spans="1:3" hidden="1">
      <c r="A154" s="105"/>
      <c r="B154" s="110">
        <f t="shared" si="0"/>
        <v>2031</v>
      </c>
      <c r="C154" s="111">
        <f>[24]С2.5!$P$11</f>
        <v>0</v>
      </c>
    </row>
    <row r="155" spans="1:3" hidden="1">
      <c r="A155" s="89"/>
      <c r="B155" s="110">
        <f t="shared" si="0"/>
        <v>2032</v>
      </c>
      <c r="C155" s="111">
        <f>[24]С2.5!$Q$11</f>
        <v>0</v>
      </c>
    </row>
    <row r="156" spans="1:3" hidden="1">
      <c r="A156" s="89"/>
      <c r="B156" s="110">
        <f t="shared" si="0"/>
        <v>2033</v>
      </c>
      <c r="C156" s="111">
        <f>[24]С2.5!$R$11</f>
        <v>0</v>
      </c>
    </row>
    <row r="157" spans="1:3" hidden="1">
      <c r="B157" s="110">
        <f t="shared" si="0"/>
        <v>2034</v>
      </c>
      <c r="C157" s="111">
        <f>[24]С2.5!$S$11</f>
        <v>0</v>
      </c>
    </row>
    <row r="158" spans="1:3" hidden="1">
      <c r="B158" s="110">
        <f t="shared" si="0"/>
        <v>2035</v>
      </c>
      <c r="C158" s="111">
        <f>[24]С2.5!$T$11</f>
        <v>0</v>
      </c>
    </row>
    <row r="159" spans="1:3" hidden="1">
      <c r="B159" s="110">
        <f t="shared" si="0"/>
        <v>2036</v>
      </c>
      <c r="C159" s="111">
        <f>[24]С2.5!$U$11</f>
        <v>0</v>
      </c>
    </row>
    <row r="160" spans="1:3" hidden="1">
      <c r="B160" s="110">
        <f t="shared" si="0"/>
        <v>2037</v>
      </c>
      <c r="C160" s="111">
        <f>[24]С2.5!$V$11</f>
        <v>0</v>
      </c>
    </row>
    <row r="161" spans="2:3" hidden="1">
      <c r="B161" s="110">
        <f t="shared" si="0"/>
        <v>2038</v>
      </c>
      <c r="C161" s="111">
        <f>[24]С2.5!$W$11</f>
        <v>0</v>
      </c>
    </row>
    <row r="162" spans="2:3" hidden="1">
      <c r="B162" s="110">
        <f t="shared" si="0"/>
        <v>2039</v>
      </c>
      <c r="C162" s="111">
        <f>[24]С2.5!$X$11</f>
        <v>0</v>
      </c>
    </row>
    <row r="163" spans="2:3" hidden="1">
      <c r="B163" s="110">
        <f t="shared" si="0"/>
        <v>2040</v>
      </c>
      <c r="C163" s="111">
        <f>[24]С2.5!$Y$11</f>
        <v>0</v>
      </c>
    </row>
    <row r="164" spans="2:3" hidden="1">
      <c r="B164" s="110">
        <f t="shared" si="0"/>
        <v>2041</v>
      </c>
      <c r="C164" s="111">
        <f>[24]С2.5!$Z$11</f>
        <v>0</v>
      </c>
    </row>
    <row r="165" spans="2:3" hidden="1">
      <c r="B165" s="110">
        <f t="shared" si="0"/>
        <v>2042</v>
      </c>
      <c r="C165" s="111">
        <f>[24]С2.5!$AA$11</f>
        <v>0</v>
      </c>
    </row>
    <row r="166" spans="2:3" hidden="1">
      <c r="B166" s="110">
        <f t="shared" si="0"/>
        <v>2043</v>
      </c>
      <c r="C166" s="111">
        <f>[24]С2.5!$AB$11</f>
        <v>0</v>
      </c>
    </row>
    <row r="167" spans="2:3" hidden="1">
      <c r="B167" s="110">
        <f t="shared" si="0"/>
        <v>2044</v>
      </c>
      <c r="C167" s="111">
        <f>[24]С2.5!$AC$11</f>
        <v>0</v>
      </c>
    </row>
    <row r="168" spans="2:3" hidden="1">
      <c r="B168" s="110">
        <f t="shared" si="0"/>
        <v>2045</v>
      </c>
      <c r="C168" s="111">
        <f>[24]С2.5!$AD$11</f>
        <v>0</v>
      </c>
    </row>
    <row r="169" spans="2:3" hidden="1">
      <c r="B169" s="110">
        <f t="shared" si="0"/>
        <v>2046</v>
      </c>
      <c r="C169" s="111">
        <f>[24]С2.5!$AE$11</f>
        <v>0</v>
      </c>
    </row>
    <row r="170" spans="2:3" hidden="1">
      <c r="B170" s="110">
        <f t="shared" si="0"/>
        <v>2047</v>
      </c>
      <c r="C170" s="111">
        <f>[24]С2.5!$AF$11</f>
        <v>0</v>
      </c>
    </row>
    <row r="171" spans="2:3" hidden="1">
      <c r="B171" s="110">
        <f t="shared" si="0"/>
        <v>2048</v>
      </c>
      <c r="C171" s="111">
        <f>[24]С2.5!$AG$11</f>
        <v>0</v>
      </c>
    </row>
    <row r="172" spans="2:3" hidden="1">
      <c r="B172" s="110">
        <f t="shared" si="0"/>
        <v>2049</v>
      </c>
      <c r="C172" s="111">
        <f>[24]С2.5!$AH$11</f>
        <v>0</v>
      </c>
    </row>
    <row r="173" spans="2:3" hidden="1">
      <c r="B173" s="110">
        <f t="shared" si="0"/>
        <v>2050</v>
      </c>
      <c r="C173" s="111">
        <f>[24]С2.5!$AI$11</f>
        <v>0</v>
      </c>
    </row>
    <row r="174" spans="2:3" hidden="1">
      <c r="B174" s="110">
        <f t="shared" si="0"/>
        <v>2051</v>
      </c>
      <c r="C174" s="111">
        <f>[24]С2.5!$AJ$11</f>
        <v>0</v>
      </c>
    </row>
    <row r="175" spans="2:3" hidden="1">
      <c r="B175" s="110">
        <f t="shared" si="0"/>
        <v>2052</v>
      </c>
      <c r="C175" s="111">
        <f>[24]С2.5!$AK$11</f>
        <v>0</v>
      </c>
    </row>
    <row r="176" spans="2:3" hidden="1">
      <c r="B176" s="110">
        <f t="shared" si="0"/>
        <v>2053</v>
      </c>
      <c r="C176" s="111">
        <f>[24]С2.5!$AL$11</f>
        <v>0</v>
      </c>
    </row>
    <row r="177" spans="2:3" hidden="1">
      <c r="B177" s="110">
        <f t="shared" si="0"/>
        <v>2054</v>
      </c>
      <c r="C177" s="111">
        <f>[24]С2.5!$AM$11</f>
        <v>0</v>
      </c>
    </row>
    <row r="178" spans="2:3" hidden="1">
      <c r="B178" s="110">
        <f t="shared" si="0"/>
        <v>2055</v>
      </c>
      <c r="C178" s="111">
        <f>[24]С2.5!$AN$11</f>
        <v>0</v>
      </c>
    </row>
    <row r="179" spans="2:3" hidden="1">
      <c r="B179" s="110">
        <f t="shared" si="0"/>
        <v>2056</v>
      </c>
      <c r="C179" s="111">
        <f>[24]С2.5!$AO$11</f>
        <v>0</v>
      </c>
    </row>
    <row r="180" spans="2:3" hidden="1">
      <c r="B180" s="110">
        <f t="shared" si="0"/>
        <v>2057</v>
      </c>
      <c r="C180" s="111">
        <f>[24]С2.5!$AP$11</f>
        <v>0</v>
      </c>
    </row>
    <row r="181" spans="2:3" hidden="1">
      <c r="B181" s="110">
        <f t="shared" si="0"/>
        <v>2058</v>
      </c>
      <c r="C181" s="111">
        <f>[24]С2.5!$AQ$11</f>
        <v>0</v>
      </c>
    </row>
    <row r="182" spans="2:3" hidden="1">
      <c r="B182" s="110">
        <f t="shared" si="0"/>
        <v>2059</v>
      </c>
      <c r="C182" s="111">
        <f>[24]С2.5!$AR$11</f>
        <v>0</v>
      </c>
    </row>
    <row r="183" spans="2:3" hidden="1">
      <c r="B183" s="110">
        <f t="shared" si="0"/>
        <v>2060</v>
      </c>
      <c r="C183" s="111">
        <f>[24]С2.5!$AS$11</f>
        <v>0</v>
      </c>
    </row>
    <row r="184" spans="2:3" hidden="1">
      <c r="B184" s="110">
        <f t="shared" si="0"/>
        <v>2061</v>
      </c>
      <c r="C184" s="111">
        <f>[24]С2.5!$AT$11</f>
        <v>0</v>
      </c>
    </row>
    <row r="185" spans="2:3" hidden="1">
      <c r="B185" s="110">
        <f t="shared" si="0"/>
        <v>2062</v>
      </c>
      <c r="C185" s="111">
        <f>[24]С2.5!$AU$11</f>
        <v>0</v>
      </c>
    </row>
    <row r="186" spans="2:3" hidden="1">
      <c r="B186" s="110">
        <f t="shared" si="0"/>
        <v>2063</v>
      </c>
      <c r="C186" s="111">
        <f>[24]С2.5!$AV$11</f>
        <v>0</v>
      </c>
    </row>
    <row r="187" spans="2:3" hidden="1">
      <c r="B187" s="110">
        <f t="shared" si="0"/>
        <v>2064</v>
      </c>
      <c r="C187" s="111">
        <f>[24]С2.5!$AW$11</f>
        <v>0</v>
      </c>
    </row>
    <row r="188" spans="2:3" hidden="1">
      <c r="B188" s="110">
        <f t="shared" si="0"/>
        <v>2065</v>
      </c>
      <c r="C188" s="111">
        <f>[24]С2.5!$AX$11</f>
        <v>0</v>
      </c>
    </row>
    <row r="189" spans="2:3" hidden="1">
      <c r="B189" s="110">
        <f t="shared" si="0"/>
        <v>2066</v>
      </c>
      <c r="C189" s="111">
        <f>[24]С2.5!$AY$11</f>
        <v>0</v>
      </c>
    </row>
    <row r="190" spans="2:3" hidden="1">
      <c r="B190" s="110">
        <f t="shared" si="0"/>
        <v>2067</v>
      </c>
      <c r="C190" s="111">
        <f>[24]С2.5!$AZ$11</f>
        <v>0</v>
      </c>
    </row>
    <row r="191" spans="2:3" hidden="1">
      <c r="B191" s="110">
        <f t="shared" si="0"/>
        <v>2068</v>
      </c>
      <c r="C191" s="111">
        <f>[24]С2.5!$BA$11</f>
        <v>0</v>
      </c>
    </row>
    <row r="192" spans="2:3" hidden="1">
      <c r="B192" s="110">
        <f t="shared" si="0"/>
        <v>2069</v>
      </c>
      <c r="C192" s="111">
        <f>[24]С2.5!$BB$11</f>
        <v>0</v>
      </c>
    </row>
    <row r="193" spans="2:3" hidden="1">
      <c r="B193" s="110">
        <f t="shared" si="0"/>
        <v>2070</v>
      </c>
      <c r="C193" s="111">
        <f>[24]С2.5!$BC$11</f>
        <v>0</v>
      </c>
    </row>
    <row r="194" spans="2:3" hidden="1">
      <c r="B194" s="110">
        <f t="shared" si="0"/>
        <v>2071</v>
      </c>
      <c r="C194" s="111">
        <f>[24]С2.5!$BD$11</f>
        <v>0</v>
      </c>
    </row>
    <row r="195" spans="2:3" hidden="1">
      <c r="B195" s="110">
        <f t="shared" si="0"/>
        <v>2072</v>
      </c>
      <c r="C195" s="111">
        <f>[24]С2.5!$BE$11</f>
        <v>0</v>
      </c>
    </row>
    <row r="196" spans="2:3" hidden="1">
      <c r="B196" s="110">
        <f t="shared" si="0"/>
        <v>2073</v>
      </c>
      <c r="C196" s="111">
        <f>[24]С2.5!$BF$11</f>
        <v>0</v>
      </c>
    </row>
    <row r="197" spans="2:3" hidden="1">
      <c r="B197" s="110">
        <f t="shared" si="0"/>
        <v>2074</v>
      </c>
      <c r="C197" s="111">
        <f>[24]С2.5!$BG$11</f>
        <v>0</v>
      </c>
    </row>
    <row r="198" spans="2:3" hidden="1">
      <c r="B198" s="110">
        <f t="shared" si="0"/>
        <v>2075</v>
      </c>
      <c r="C198" s="111">
        <f>[24]С2.5!$BH$11</f>
        <v>0</v>
      </c>
    </row>
    <row r="199" spans="2:3" hidden="1">
      <c r="B199" s="110">
        <f t="shared" si="0"/>
        <v>2076</v>
      </c>
      <c r="C199" s="111">
        <f>[24]С2.5!$BI$11</f>
        <v>0</v>
      </c>
    </row>
    <row r="200" spans="2:3" hidden="1">
      <c r="B200" s="110">
        <f t="shared" si="0"/>
        <v>2077</v>
      </c>
      <c r="C200" s="111">
        <f>[24]С2.5!$BJ$11</f>
        <v>0</v>
      </c>
    </row>
    <row r="201" spans="2:3" hidden="1">
      <c r="B201" s="110">
        <f t="shared" si="0"/>
        <v>2078</v>
      </c>
      <c r="C201" s="111">
        <f>[24]С2.5!$BK$11</f>
        <v>0</v>
      </c>
    </row>
    <row r="202" spans="2:3" hidden="1">
      <c r="B202" s="110">
        <f t="shared" si="0"/>
        <v>2079</v>
      </c>
      <c r="C202" s="111">
        <f>[24]С2.5!$BL$11</f>
        <v>0</v>
      </c>
    </row>
    <row r="203" spans="2:3" hidden="1">
      <c r="B203" s="110">
        <f t="shared" si="0"/>
        <v>2080</v>
      </c>
      <c r="C203" s="111">
        <f>[24]С2.5!$BM$11</f>
        <v>0</v>
      </c>
    </row>
    <row r="204" spans="2:3" hidden="1">
      <c r="B204" s="110">
        <f t="shared" si="0"/>
        <v>2081</v>
      </c>
      <c r="C204" s="111">
        <f>[24]С2.5!$BN$11</f>
        <v>0</v>
      </c>
    </row>
    <row r="205" spans="2:3" hidden="1">
      <c r="B205" s="110">
        <f t="shared" si="0"/>
        <v>2082</v>
      </c>
      <c r="C205" s="111">
        <f>[24]С2.5!$BO$11</f>
        <v>0</v>
      </c>
    </row>
    <row r="206" spans="2:3" hidden="1">
      <c r="B206" s="110">
        <f t="shared" si="0"/>
        <v>2083</v>
      </c>
      <c r="C206" s="111">
        <f>[24]С2.5!$BP$11</f>
        <v>0</v>
      </c>
    </row>
    <row r="207" spans="2:3" hidden="1">
      <c r="B207" s="110">
        <f t="shared" si="0"/>
        <v>2084</v>
      </c>
      <c r="C207" s="111">
        <f>[24]С2.5!$BQ$11</f>
        <v>0</v>
      </c>
    </row>
    <row r="208" spans="2:3" hidden="1">
      <c r="B208" s="110">
        <f t="shared" si="0"/>
        <v>2085</v>
      </c>
      <c r="C208" s="111">
        <f>[24]С2.5!$BR$11</f>
        <v>0</v>
      </c>
    </row>
    <row r="209" spans="2:3" hidden="1">
      <c r="B209" s="110">
        <f t="shared" ref="B209:B223" si="1">B208+1</f>
        <v>2086</v>
      </c>
      <c r="C209" s="111">
        <f>[24]С2.5!$BS$11</f>
        <v>0</v>
      </c>
    </row>
    <row r="210" spans="2:3" hidden="1">
      <c r="B210" s="110">
        <f t="shared" si="1"/>
        <v>2087</v>
      </c>
      <c r="C210" s="111">
        <f>[24]С2.5!$BT$11</f>
        <v>0</v>
      </c>
    </row>
    <row r="211" spans="2:3" hidden="1">
      <c r="B211" s="110">
        <f t="shared" si="1"/>
        <v>2088</v>
      </c>
      <c r="C211" s="111">
        <f>[24]С2.5!$BU$11</f>
        <v>0</v>
      </c>
    </row>
    <row r="212" spans="2:3" hidden="1">
      <c r="B212" s="110">
        <f t="shared" si="1"/>
        <v>2089</v>
      </c>
      <c r="C212" s="111">
        <f>[24]С2.5!$BV$11</f>
        <v>0</v>
      </c>
    </row>
    <row r="213" spans="2:3" hidden="1">
      <c r="B213" s="110">
        <f t="shared" si="1"/>
        <v>2090</v>
      </c>
      <c r="C213" s="111">
        <f>[24]С2.5!$BW$11</f>
        <v>0</v>
      </c>
    </row>
    <row r="214" spans="2:3" hidden="1">
      <c r="B214" s="110">
        <f t="shared" si="1"/>
        <v>2091</v>
      </c>
      <c r="C214" s="111">
        <f>[24]С2.5!$BX$11</f>
        <v>0</v>
      </c>
    </row>
    <row r="215" spans="2:3" hidden="1">
      <c r="B215" s="110">
        <f t="shared" si="1"/>
        <v>2092</v>
      </c>
      <c r="C215" s="111">
        <f>[24]С2.5!$BY$11</f>
        <v>0</v>
      </c>
    </row>
    <row r="216" spans="2:3" hidden="1">
      <c r="B216" s="110">
        <f t="shared" si="1"/>
        <v>2093</v>
      </c>
      <c r="C216" s="111">
        <f>[24]С2.5!$BZ$11</f>
        <v>0</v>
      </c>
    </row>
    <row r="217" spans="2:3" hidden="1">
      <c r="B217" s="110">
        <f t="shared" si="1"/>
        <v>2094</v>
      </c>
      <c r="C217" s="111">
        <f>[24]С2.5!$CA$11</f>
        <v>0</v>
      </c>
    </row>
    <row r="218" spans="2:3" hidden="1">
      <c r="B218" s="110">
        <f t="shared" si="1"/>
        <v>2095</v>
      </c>
      <c r="C218" s="111">
        <f>[24]С2.5!$CB$11</f>
        <v>0</v>
      </c>
    </row>
    <row r="219" spans="2:3" hidden="1">
      <c r="B219" s="110">
        <f t="shared" si="1"/>
        <v>2096</v>
      </c>
      <c r="C219" s="111">
        <f>[24]С2.5!$CC$11</f>
        <v>0</v>
      </c>
    </row>
    <row r="220" spans="2:3" hidden="1">
      <c r="B220" s="110">
        <f t="shared" si="1"/>
        <v>2097</v>
      </c>
      <c r="C220" s="111">
        <f>[24]С2.5!$CD$11</f>
        <v>0</v>
      </c>
    </row>
    <row r="221" spans="2:3" hidden="1">
      <c r="B221" s="110">
        <f t="shared" si="1"/>
        <v>2098</v>
      </c>
      <c r="C221" s="111">
        <f>[24]С2.5!$CE$11</f>
        <v>0</v>
      </c>
    </row>
    <row r="222" spans="2:3" hidden="1">
      <c r="B222" s="110">
        <f t="shared" si="1"/>
        <v>2099</v>
      </c>
      <c r="C222" s="111">
        <f>[24]С2.5!$CF$11</f>
        <v>0</v>
      </c>
    </row>
    <row r="223" spans="2:3" ht="13.5" hidden="1" thickBot="1">
      <c r="B223" s="112">
        <f t="shared" si="1"/>
        <v>2100</v>
      </c>
      <c r="C223" s="113">
        <f>[24]С2.5!$CG$11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2" width="9.140625" style="2"/>
    <col min="153" max="234" width="0" style="2" hidden="1" customWidth="1"/>
    <col min="235" max="243" width="9.140625" style="2"/>
    <col min="244" max="244" width="3.710937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710937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710937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710937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710937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710937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710937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710937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710937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710937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710937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710937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710937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710937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710937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710937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710937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710937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710937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710937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710937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710937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710937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710937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710937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710937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710937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710937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710937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710937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710937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710937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710937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710937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710937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710937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710937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710937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710937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710937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710937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710937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710937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710937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710937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710937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710937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710937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710937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710937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710937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710937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710937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710937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710937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710937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710937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710937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710937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710937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710937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710937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710937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3"/>
      <c r="B1" s="147" t="s">
        <v>227</v>
      </c>
      <c r="C1" s="147"/>
    </row>
    <row r="2" spans="1:3">
      <c r="A2" s="3"/>
      <c r="B2" s="4" t="s">
        <v>1</v>
      </c>
      <c r="C2" s="5">
        <v>45317</v>
      </c>
    </row>
    <row r="3" spans="1:3">
      <c r="A3" s="3"/>
      <c r="B3" s="117" t="s">
        <v>2</v>
      </c>
      <c r="C3" s="7"/>
    </row>
    <row r="4" spans="1:3" ht="25.5">
      <c r="A4" s="8"/>
      <c r="B4" s="9" t="str">
        <f>[25]И1!D13</f>
        <v>Субъект Российской Федерации</v>
      </c>
      <c r="C4" s="10" t="str">
        <f>[25]И1!E13</f>
        <v>Новосибирская область</v>
      </c>
    </row>
    <row r="5" spans="1:3" ht="15.95" customHeight="1">
      <c r="A5" s="8"/>
      <c r="B5" s="9" t="str">
        <f>[25]И1!D14</f>
        <v>Тип муниципального образования (выберите из списка)</v>
      </c>
      <c r="C5" s="10" t="str">
        <f>[25]И1!E14</f>
        <v xml:space="preserve">село Толмачево, Новосибирский муниципальный район </v>
      </c>
    </row>
    <row r="6" spans="1:3">
      <c r="A6" s="8"/>
      <c r="B6" s="9" t="str">
        <f>IF([25]И1!E15="","",[25]И1!D15)</f>
        <v/>
      </c>
      <c r="C6" s="7" t="str">
        <f>IF([25]И1!E15="","",[25]И1!E15)</f>
        <v/>
      </c>
    </row>
    <row r="7" spans="1:3">
      <c r="A7" s="8"/>
      <c r="B7" s="9" t="str">
        <f>[25]И1!D16</f>
        <v>Код ОКТМО</v>
      </c>
      <c r="C7" s="11" t="str">
        <f>[25]И1!E16</f>
        <v>50640443101</v>
      </c>
    </row>
    <row r="8" spans="1:3">
      <c r="A8" s="8"/>
      <c r="B8" s="12" t="str">
        <f>[25]И1!D17</f>
        <v>Система теплоснабжения</v>
      </c>
      <c r="C8" s="13">
        <f>[25]И1!E17</f>
        <v>0</v>
      </c>
    </row>
    <row r="9" spans="1:3">
      <c r="A9" s="8"/>
      <c r="B9" s="9" t="str">
        <f>[25]И1!D8</f>
        <v>Период регулирования (i)-й</v>
      </c>
      <c r="C9" s="14">
        <f>[25]И1!E8</f>
        <v>2024</v>
      </c>
    </row>
    <row r="10" spans="1:3">
      <c r="A10" s="8"/>
      <c r="B10" s="9" t="str">
        <f>[25]И1!D9</f>
        <v>Период регулирования (i-1)-й</v>
      </c>
      <c r="C10" s="14">
        <f>[25]И1!E9</f>
        <v>2023</v>
      </c>
    </row>
    <row r="11" spans="1:3">
      <c r="A11" s="8"/>
      <c r="B11" s="9" t="str">
        <f>[25]И1!D10</f>
        <v>Период регулирования (i-2)-й</v>
      </c>
      <c r="C11" s="14">
        <f>[25]И1!E10</f>
        <v>2022</v>
      </c>
    </row>
    <row r="12" spans="1:3">
      <c r="A12" s="8"/>
      <c r="B12" s="9" t="str">
        <f>[25]И1!D11</f>
        <v>Базовый год (б)</v>
      </c>
      <c r="C12" s="14">
        <f>[25]И1!E11</f>
        <v>2019</v>
      </c>
    </row>
    <row r="13" spans="1:3">
      <c r="A13" s="8"/>
      <c r="B13" s="9" t="str">
        <f>[25]И1!D18</f>
        <v>Вид топлива, использование которого преобладает в системе теплоснабжения</v>
      </c>
      <c r="C13" s="15" t="str">
        <f>[25]И1!E18</f>
        <v>Газ</v>
      </c>
    </row>
    <row r="14" spans="1:3" ht="26.25" customHeight="1" thickBot="1">
      <c r="A14" s="148" t="s">
        <v>3</v>
      </c>
      <c r="B14" s="148"/>
      <c r="C14" s="148"/>
    </row>
    <row r="15" spans="1:3">
      <c r="A15" s="16" t="s">
        <v>4</v>
      </c>
      <c r="B15" s="30" t="s">
        <v>5</v>
      </c>
      <c r="C15" s="118" t="s">
        <v>6</v>
      </c>
    </row>
    <row r="16" spans="1:3">
      <c r="A16" s="19">
        <v>1</v>
      </c>
      <c r="B16" s="119">
        <v>2</v>
      </c>
      <c r="C16" s="120">
        <v>3</v>
      </c>
    </row>
    <row r="17" spans="1:3">
      <c r="A17" s="22">
        <v>1</v>
      </c>
      <c r="B17" s="23" t="s">
        <v>7</v>
      </c>
      <c r="C17" s="24">
        <f>SUM(C18:C23)</f>
        <v>2968.2392896645802</v>
      </c>
    </row>
    <row r="18" spans="1:3" ht="42.75">
      <c r="A18" s="22" t="s">
        <v>8</v>
      </c>
      <c r="B18" s="25" t="s">
        <v>9</v>
      </c>
      <c r="C18" s="26">
        <f>[25]С1!F12</f>
        <v>994.35037159416254</v>
      </c>
    </row>
    <row r="19" spans="1:3" ht="42.75">
      <c r="A19" s="22" t="s">
        <v>10</v>
      </c>
      <c r="B19" s="25" t="s">
        <v>11</v>
      </c>
      <c r="C19" s="26">
        <f>[25]С2!F12</f>
        <v>1337.1646821037446</v>
      </c>
    </row>
    <row r="20" spans="1:3" ht="30">
      <c r="A20" s="22" t="s">
        <v>12</v>
      </c>
      <c r="B20" s="25" t="s">
        <v>13</v>
      </c>
      <c r="C20" s="26">
        <f>[25]С3!F12</f>
        <v>317.6025648848447</v>
      </c>
    </row>
    <row r="21" spans="1:3" ht="42.75">
      <c r="A21" s="22" t="s">
        <v>14</v>
      </c>
      <c r="B21" s="25" t="s">
        <v>228</v>
      </c>
      <c r="C21" s="26">
        <f>[25]С4!F12</f>
        <v>260.92090069624834</v>
      </c>
    </row>
    <row r="22" spans="1:3" ht="33" customHeight="1">
      <c r="A22" s="22" t="s">
        <v>16</v>
      </c>
      <c r="B22" s="25" t="s">
        <v>229</v>
      </c>
      <c r="C22" s="26">
        <f>[25]С5!F12</f>
        <v>58.20077038558</v>
      </c>
    </row>
    <row r="23" spans="1:3" ht="45.75" customHeight="1" thickBot="1">
      <c r="A23" s="27" t="s">
        <v>18</v>
      </c>
      <c r="B23" s="141" t="s">
        <v>230</v>
      </c>
      <c r="C23" s="28">
        <f>[25]С6!F12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231</v>
      </c>
      <c r="C28" s="34">
        <f>[25]С1.1!E16</f>
        <v>7900</v>
      </c>
    </row>
    <row r="29" spans="1:3" ht="42.75">
      <c r="A29" s="22" t="s">
        <v>10</v>
      </c>
      <c r="B29" s="33" t="s">
        <v>232</v>
      </c>
      <c r="C29" s="34">
        <f>[25]С1.1!E32</f>
        <v>5751.37</v>
      </c>
    </row>
    <row r="30" spans="1:3" ht="38.25">
      <c r="A30" s="22" t="s">
        <v>233</v>
      </c>
      <c r="B30" s="33" t="s">
        <v>234</v>
      </c>
      <c r="C30" s="85" t="str">
        <f>[25]С1.1!E25</f>
        <v>ООО "Газпром газораспределение Томск"</v>
      </c>
    </row>
    <row r="31" spans="1:3" ht="38.25">
      <c r="A31" s="22" t="s">
        <v>235</v>
      </c>
      <c r="B31" s="33" t="str">
        <f>[25]С1.1!D26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[25]С1.1!E26</f>
        <v>4699.5</v>
      </c>
    </row>
    <row r="32" spans="1:3" ht="25.5">
      <c r="A32" s="22" t="s">
        <v>236</v>
      </c>
      <c r="B32" s="33" t="str">
        <f>[25]С1.1!D27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[25]С1.1!E27</f>
        <v>795.43</v>
      </c>
    </row>
    <row r="33" spans="1:3" ht="25.5">
      <c r="A33" s="22" t="s">
        <v>237</v>
      </c>
      <c r="B33" s="33" t="str">
        <f>[25]С1.1!D28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[25]С1.1!E28</f>
        <v>136.54</v>
      </c>
    </row>
    <row r="34" spans="1:3" ht="38.25">
      <c r="A34" s="22" t="s">
        <v>238</v>
      </c>
      <c r="B34" s="33" t="str">
        <f>[25]С1.1!D29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[25]С1.1!E29</f>
        <v>119.9</v>
      </c>
    </row>
    <row r="35" spans="1:3" ht="17.25">
      <c r="A35" s="22" t="s">
        <v>12</v>
      </c>
      <c r="B35" s="33" t="s">
        <v>23</v>
      </c>
      <c r="C35" s="35">
        <f>[25]С1.1!E20</f>
        <v>8.5000000000000006E-2</v>
      </c>
    </row>
    <row r="36" spans="1:3" ht="17.25">
      <c r="A36" s="22" t="s">
        <v>14</v>
      </c>
      <c r="B36" s="33" t="s">
        <v>24</v>
      </c>
      <c r="C36" s="35">
        <f>[25]С1.1!E21</f>
        <v>0.112</v>
      </c>
    </row>
    <row r="37" spans="1:3" ht="30">
      <c r="A37" s="22" t="s">
        <v>16</v>
      </c>
      <c r="B37" s="36" t="s">
        <v>239</v>
      </c>
      <c r="C37" s="121">
        <f>[25]С1!F13</f>
        <v>156.1</v>
      </c>
    </row>
    <row r="38" spans="1:3">
      <c r="A38" s="22" t="s">
        <v>18</v>
      </c>
      <c r="B38" s="36" t="s">
        <v>26</v>
      </c>
      <c r="C38" s="38">
        <f>[25]С1!F16</f>
        <v>7000</v>
      </c>
    </row>
    <row r="39" spans="1:3" ht="14.25">
      <c r="A39" s="122" t="s">
        <v>27</v>
      </c>
      <c r="B39" s="39" t="s">
        <v>240</v>
      </c>
      <c r="C39" s="40">
        <f>[25]С1!F17</f>
        <v>1.1285714285714286</v>
      </c>
    </row>
    <row r="40" spans="1:3" ht="15.75">
      <c r="A40" s="123" t="s">
        <v>29</v>
      </c>
      <c r="B40" s="42" t="s">
        <v>30</v>
      </c>
      <c r="C40" s="40">
        <f>[25]С1!F20</f>
        <v>22.307053372799995</v>
      </c>
    </row>
    <row r="41" spans="1:3" ht="15.75">
      <c r="A41" s="123" t="s">
        <v>31</v>
      </c>
      <c r="B41" s="43" t="s">
        <v>32</v>
      </c>
      <c r="C41" s="40">
        <f>[25]С1!F21</f>
        <v>21.531904799999996</v>
      </c>
    </row>
    <row r="42" spans="1:3" ht="14.25">
      <c r="A42" s="123" t="s">
        <v>33</v>
      </c>
      <c r="B42" s="44" t="s">
        <v>34</v>
      </c>
      <c r="C42" s="40">
        <f>[25]С1!F22</f>
        <v>1.036</v>
      </c>
    </row>
    <row r="43" spans="1:3" ht="53.25" thickBot="1">
      <c r="A43" s="27" t="s">
        <v>35</v>
      </c>
      <c r="B43" s="45" t="s">
        <v>36</v>
      </c>
      <c r="C43" s="46" t="str">
        <f>[25]С1!F23</f>
        <v>-</v>
      </c>
    </row>
    <row r="44" spans="1:3" ht="13.5" thickBot="1">
      <c r="A44" s="47"/>
      <c r="B44" s="75"/>
      <c r="C44" s="15"/>
    </row>
    <row r="45" spans="1:3" ht="30" customHeight="1">
      <c r="A45" s="50" t="s">
        <v>37</v>
      </c>
      <c r="B45" s="145" t="s">
        <v>38</v>
      </c>
      <c r="C45" s="145"/>
    </row>
    <row r="46" spans="1:3" ht="25.5">
      <c r="A46" s="22" t="s">
        <v>39</v>
      </c>
      <c r="B46" s="36" t="s">
        <v>40</v>
      </c>
      <c r="C46" s="51" t="str">
        <f>[25]С2.1!E12</f>
        <v>V</v>
      </c>
    </row>
    <row r="47" spans="1:3" ht="25.5">
      <c r="A47" s="22" t="s">
        <v>41</v>
      </c>
      <c r="B47" s="33" t="s">
        <v>42</v>
      </c>
      <c r="C47" s="51" t="str">
        <f>[25]С2.1!E13</f>
        <v>6 и менее баллов</v>
      </c>
    </row>
    <row r="48" spans="1:3" ht="25.5">
      <c r="A48" s="22" t="s">
        <v>43</v>
      </c>
      <c r="B48" s="33" t="s">
        <v>241</v>
      </c>
      <c r="C48" s="51" t="str">
        <f>[25]С2.1!E14</f>
        <v>от 200 до 500</v>
      </c>
    </row>
    <row r="49" spans="1:3" ht="25.5">
      <c r="A49" s="22" t="s">
        <v>45</v>
      </c>
      <c r="B49" s="33" t="s">
        <v>242</v>
      </c>
      <c r="C49" s="52" t="str">
        <f>[25]С2.1!E15</f>
        <v>нет</v>
      </c>
    </row>
    <row r="50" spans="1:3" ht="30">
      <c r="A50" s="22" t="s">
        <v>47</v>
      </c>
      <c r="B50" s="33" t="s">
        <v>48</v>
      </c>
      <c r="C50" s="34">
        <f>[25]С2!F18</f>
        <v>35106.652004551666</v>
      </c>
    </row>
    <row r="51" spans="1:3" ht="30">
      <c r="A51" s="22" t="s">
        <v>49</v>
      </c>
      <c r="B51" s="53" t="s">
        <v>50</v>
      </c>
      <c r="C51" s="34">
        <f>IF([25]С2!F19&gt;0,[25]С2!F19,[25]С2!F20)</f>
        <v>23441.524932855718</v>
      </c>
    </row>
    <row r="52" spans="1:3" ht="25.5">
      <c r="A52" s="22" t="s">
        <v>51</v>
      </c>
      <c r="B52" s="54" t="s">
        <v>52</v>
      </c>
      <c r="C52" s="34">
        <f>[25]С2.1!E20</f>
        <v>-37</v>
      </c>
    </row>
    <row r="53" spans="1:3" ht="25.5">
      <c r="A53" s="22" t="s">
        <v>53</v>
      </c>
      <c r="B53" s="54" t="s">
        <v>54</v>
      </c>
      <c r="C53" s="34" t="str">
        <f>[25]С2.1!E23</f>
        <v>нет</v>
      </c>
    </row>
    <row r="54" spans="1:3" ht="38.25">
      <c r="A54" s="22" t="s">
        <v>55</v>
      </c>
      <c r="B54" s="55" t="s">
        <v>56</v>
      </c>
      <c r="C54" s="34">
        <f>[25]С2.2!E10</f>
        <v>1287</v>
      </c>
    </row>
    <row r="55" spans="1:3" ht="25.5">
      <c r="A55" s="22" t="s">
        <v>57</v>
      </c>
      <c r="B55" s="56" t="s">
        <v>58</v>
      </c>
      <c r="C55" s="34">
        <f>[25]С2.2!E12</f>
        <v>5.97</v>
      </c>
    </row>
    <row r="56" spans="1:3" ht="52.5">
      <c r="A56" s="22" t="s">
        <v>59</v>
      </c>
      <c r="B56" s="57" t="s">
        <v>60</v>
      </c>
      <c r="C56" s="34">
        <f>[25]С2.2!E13</f>
        <v>1</v>
      </c>
    </row>
    <row r="57" spans="1:3" ht="27.75">
      <c r="A57" s="22" t="s">
        <v>61</v>
      </c>
      <c r="B57" s="56" t="s">
        <v>62</v>
      </c>
      <c r="C57" s="34">
        <f>[25]С2.2!E14</f>
        <v>12104</v>
      </c>
    </row>
    <row r="58" spans="1:3" ht="25.5">
      <c r="A58" s="22" t="s">
        <v>63</v>
      </c>
      <c r="B58" s="57" t="s">
        <v>64</v>
      </c>
      <c r="C58" s="35">
        <f>[25]С2.2!E15</f>
        <v>4.8000000000000001E-2</v>
      </c>
    </row>
    <row r="59" spans="1:3">
      <c r="A59" s="22" t="s">
        <v>65</v>
      </c>
      <c r="B59" s="57" t="s">
        <v>66</v>
      </c>
      <c r="C59" s="124">
        <f>[25]С2.2!E16</f>
        <v>1</v>
      </c>
    </row>
    <row r="60" spans="1:3" ht="15.75">
      <c r="A60" s="22" t="s">
        <v>67</v>
      </c>
      <c r="B60" s="58" t="s">
        <v>68</v>
      </c>
      <c r="C60" s="34">
        <f>[25]С2!F21</f>
        <v>1</v>
      </c>
    </row>
    <row r="61" spans="1:3" ht="30">
      <c r="A61" s="59" t="s">
        <v>69</v>
      </c>
      <c r="B61" s="33" t="s">
        <v>243</v>
      </c>
      <c r="C61" s="34">
        <f>[25]С2!F13</f>
        <v>105136.23090983224</v>
      </c>
    </row>
    <row r="62" spans="1:3" ht="30">
      <c r="A62" s="59" t="s">
        <v>71</v>
      </c>
      <c r="B62" s="60" t="s">
        <v>244</v>
      </c>
      <c r="C62" s="34">
        <f>[25]С2!F14</f>
        <v>64899</v>
      </c>
    </row>
    <row r="63" spans="1:3" ht="15.75">
      <c r="A63" s="59" t="s">
        <v>73</v>
      </c>
      <c r="B63" s="60" t="s">
        <v>74</v>
      </c>
      <c r="C63" s="40">
        <f>[25]С2!F15</f>
        <v>1.071</v>
      </c>
    </row>
    <row r="64" spans="1:3" ht="15.75">
      <c r="A64" s="59" t="s">
        <v>75</v>
      </c>
      <c r="B64" s="60" t="s">
        <v>76</v>
      </c>
      <c r="C64" s="125">
        <f>[25]С2!F16</f>
        <v>1</v>
      </c>
    </row>
    <row r="65" spans="1:3" ht="17.25">
      <c r="A65" s="59" t="s">
        <v>77</v>
      </c>
      <c r="B65" s="60" t="s">
        <v>78</v>
      </c>
      <c r="C65" s="126">
        <f>[25]С2!F17</f>
        <v>1.01</v>
      </c>
    </row>
    <row r="66" spans="1:3" s="63" customFormat="1" ht="14.25">
      <c r="A66" s="59" t="s">
        <v>79</v>
      </c>
      <c r="B66" s="61" t="s">
        <v>80</v>
      </c>
      <c r="C66" s="62">
        <f>[25]С2!F35</f>
        <v>10</v>
      </c>
    </row>
    <row r="67" spans="1:3" ht="30">
      <c r="A67" s="59" t="s">
        <v>81</v>
      </c>
      <c r="B67" s="64" t="s">
        <v>82</v>
      </c>
      <c r="C67" s="34">
        <f>[25]С2!F28</f>
        <v>141.64867100230373</v>
      </c>
    </row>
    <row r="68" spans="1:3" ht="17.25">
      <c r="A68" s="59" t="s">
        <v>83</v>
      </c>
      <c r="B68" s="53" t="s">
        <v>245</v>
      </c>
      <c r="C68" s="40">
        <f>[25]С2!F29</f>
        <v>0.18916419899999998</v>
      </c>
    </row>
    <row r="69" spans="1:3" ht="17.25">
      <c r="A69" s="59" t="s">
        <v>85</v>
      </c>
      <c r="B69" s="58" t="s">
        <v>246</v>
      </c>
      <c r="C69" s="62">
        <f>[25]С2!F30</f>
        <v>500</v>
      </c>
    </row>
    <row r="70" spans="1:3" ht="42.75">
      <c r="A70" s="59" t="s">
        <v>87</v>
      </c>
      <c r="B70" s="33" t="s">
        <v>247</v>
      </c>
      <c r="C70" s="34">
        <f>[25]С2!F22</f>
        <v>39638.324046481182</v>
      </c>
    </row>
    <row r="71" spans="1:3" ht="30">
      <c r="A71" s="59" t="s">
        <v>89</v>
      </c>
      <c r="B71" s="60" t="s">
        <v>248</v>
      </c>
      <c r="C71" s="34">
        <f>[25]С2!F23</f>
        <v>21</v>
      </c>
    </row>
    <row r="72" spans="1:3" ht="30">
      <c r="A72" s="59" t="s">
        <v>91</v>
      </c>
      <c r="B72" s="53" t="s">
        <v>92</v>
      </c>
      <c r="C72" s="34">
        <f>[25]С2.1!E28</f>
        <v>14036.09995</v>
      </c>
    </row>
    <row r="73" spans="1:3" ht="38.25">
      <c r="A73" s="59" t="s">
        <v>93</v>
      </c>
      <c r="B73" s="65" t="s">
        <v>94</v>
      </c>
      <c r="C73" s="52">
        <f>[25]С2.3!E21</f>
        <v>0</v>
      </c>
    </row>
    <row r="74" spans="1:3" ht="25.5">
      <c r="A74" s="59" t="s">
        <v>95</v>
      </c>
      <c r="B74" s="66" t="s">
        <v>96</v>
      </c>
      <c r="C74" s="67">
        <f>[25]С2.3!E11</f>
        <v>5.45</v>
      </c>
    </row>
    <row r="75" spans="1:3" ht="25.5">
      <c r="A75" s="59" t="s">
        <v>97</v>
      </c>
      <c r="B75" s="66" t="s">
        <v>98</v>
      </c>
      <c r="C75" s="62">
        <f>[25]С2.3!E13</f>
        <v>300</v>
      </c>
    </row>
    <row r="76" spans="1:3" ht="25.5">
      <c r="A76" s="59" t="s">
        <v>99</v>
      </c>
      <c r="B76" s="65" t="s">
        <v>100</v>
      </c>
      <c r="C76" s="68">
        <f>IF([25]С2.3!E22&gt;0,[25]С2.3!E22,[25]С2.3!E14)</f>
        <v>61211</v>
      </c>
    </row>
    <row r="77" spans="1:3" ht="38.25">
      <c r="A77" s="59" t="s">
        <v>101</v>
      </c>
      <c r="B77" s="65" t="s">
        <v>102</v>
      </c>
      <c r="C77" s="68">
        <f>IF([25]С2.3!E23&gt;0,[25]С2.3!E23,[25]С2.3!E15)</f>
        <v>45675</v>
      </c>
    </row>
    <row r="78" spans="1:3" ht="30">
      <c r="A78" s="59" t="s">
        <v>103</v>
      </c>
      <c r="B78" s="53" t="s">
        <v>104</v>
      </c>
      <c r="C78" s="34">
        <f>[25]С2.1!E29</f>
        <v>9518.3274000000001</v>
      </c>
    </row>
    <row r="79" spans="1:3" ht="38.25">
      <c r="A79" s="59" t="s">
        <v>105</v>
      </c>
      <c r="B79" s="65" t="s">
        <v>106</v>
      </c>
      <c r="C79" s="52">
        <f>[25]С2.3!E25</f>
        <v>0</v>
      </c>
    </row>
    <row r="80" spans="1:3" ht="25.5">
      <c r="A80" s="59" t="s">
        <v>107</v>
      </c>
      <c r="B80" s="66" t="s">
        <v>108</v>
      </c>
      <c r="C80" s="67">
        <f>[25]С2.3!E12</f>
        <v>0.2</v>
      </c>
    </row>
    <row r="81" spans="1:3" ht="25.5">
      <c r="A81" s="59" t="s">
        <v>109</v>
      </c>
      <c r="B81" s="66" t="s">
        <v>98</v>
      </c>
      <c r="C81" s="62">
        <f>[25]С2.3!E13</f>
        <v>300</v>
      </c>
    </row>
    <row r="82" spans="1:3" ht="25.5">
      <c r="A82" s="59" t="s">
        <v>110</v>
      </c>
      <c r="B82" s="69" t="s">
        <v>111</v>
      </c>
      <c r="C82" s="68">
        <f>IF([25]С2.3!E26&gt;0,[25]С2.3!E26,[25]С2.3!E16)</f>
        <v>65637</v>
      </c>
    </row>
    <row r="83" spans="1:3" ht="38.25">
      <c r="A83" s="59" t="s">
        <v>112</v>
      </c>
      <c r="B83" s="69" t="s">
        <v>113</v>
      </c>
      <c r="C83" s="68">
        <f>IF([25]С2.3!E27&gt;0,[25]С2.3!E27,[25]С2.3!E17)</f>
        <v>31684</v>
      </c>
    </row>
    <row r="84" spans="1:3" ht="30">
      <c r="A84" s="59" t="s">
        <v>249</v>
      </c>
      <c r="B84" s="60" t="s">
        <v>250</v>
      </c>
      <c r="C84" s="68">
        <f>IF([25]С2.1!E19&gt;0,[25]С2.1!E19,[25]С2!F26)</f>
        <v>2892</v>
      </c>
    </row>
    <row r="85" spans="1:3" ht="17.25">
      <c r="A85" s="59" t="s">
        <v>114</v>
      </c>
      <c r="B85" s="33" t="s">
        <v>115</v>
      </c>
      <c r="C85" s="35">
        <f>[25]С2!F31</f>
        <v>9.5962865259740182E-2</v>
      </c>
    </row>
    <row r="86" spans="1:3" ht="30">
      <c r="A86" s="59" t="s">
        <v>116</v>
      </c>
      <c r="B86" s="53" t="s">
        <v>117</v>
      </c>
      <c r="C86" s="70">
        <f>[25]С2!F32</f>
        <v>8.4029304029304031E-2</v>
      </c>
    </row>
    <row r="87" spans="1:3" ht="17.25">
      <c r="A87" s="59" t="s">
        <v>118</v>
      </c>
      <c r="B87" s="71" t="s">
        <v>119</v>
      </c>
      <c r="C87" s="35">
        <f>[25]С2!F33</f>
        <v>0.13880000000000001</v>
      </c>
    </row>
    <row r="88" spans="1:3" s="63" customFormat="1" ht="18" thickBot="1">
      <c r="A88" s="72" t="s">
        <v>120</v>
      </c>
      <c r="B88" s="73" t="s">
        <v>121</v>
      </c>
      <c r="C88" s="74">
        <f>[25]С2!F34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[25]С3!F14</f>
        <v>4199.9055432306041</v>
      </c>
    </row>
    <row r="92" spans="1:3" s="63" customFormat="1" ht="42.75">
      <c r="A92" s="77" t="s">
        <v>126</v>
      </c>
      <c r="B92" s="53" t="s">
        <v>127</v>
      </c>
      <c r="C92" s="78">
        <f>[25]С3!F15</f>
        <v>0.2</v>
      </c>
    </row>
    <row r="93" spans="1:3" s="63" customFormat="1" ht="14.25">
      <c r="A93" s="77" t="s">
        <v>128</v>
      </c>
      <c r="B93" s="79" t="s">
        <v>129</v>
      </c>
      <c r="C93" s="62">
        <f>[25]С3!F18</f>
        <v>15</v>
      </c>
    </row>
    <row r="94" spans="1:3" s="63" customFormat="1" ht="17.25">
      <c r="A94" s="77" t="s">
        <v>130</v>
      </c>
      <c r="B94" s="33" t="s">
        <v>131</v>
      </c>
      <c r="C94" s="34">
        <f>[25]С3!F19</f>
        <v>2638.2577020926874</v>
      </c>
    </row>
    <row r="95" spans="1:3" s="63" customFormat="1" ht="55.5">
      <c r="A95" s="77" t="s">
        <v>132</v>
      </c>
      <c r="B95" s="53" t="s">
        <v>133</v>
      </c>
      <c r="C95" s="80">
        <f>[25]С3!F20</f>
        <v>2.1999999999999999E-2</v>
      </c>
    </row>
    <row r="96" spans="1:3" s="63" customFormat="1" ht="14.25">
      <c r="A96" s="77" t="s">
        <v>134</v>
      </c>
      <c r="B96" s="58" t="s">
        <v>80</v>
      </c>
      <c r="C96" s="62">
        <f>[25]С3!F21</f>
        <v>10</v>
      </c>
    </row>
    <row r="97" spans="1:3" s="63" customFormat="1" ht="17.25">
      <c r="A97" s="77" t="s">
        <v>135</v>
      </c>
      <c r="B97" s="33" t="s">
        <v>136</v>
      </c>
      <c r="C97" s="34">
        <f>[25]С3!F22</f>
        <v>0.42494601300691121</v>
      </c>
    </row>
    <row r="98" spans="1:3" s="63" customFormat="1" ht="55.5">
      <c r="A98" s="77" t="s">
        <v>137</v>
      </c>
      <c r="B98" s="53" t="s">
        <v>138</v>
      </c>
      <c r="C98" s="80">
        <f>[25]С3!F23</f>
        <v>3.0000000000000001E-3</v>
      </c>
    </row>
    <row r="99" spans="1:3" s="63" customFormat="1" ht="30.75" thickBot="1">
      <c r="A99" s="81" t="s">
        <v>139</v>
      </c>
      <c r="B99" s="82" t="s">
        <v>82</v>
      </c>
      <c r="C99" s="83">
        <f>[25]С3!F24</f>
        <v>141.64867100230373</v>
      </c>
    </row>
    <row r="100" spans="1:3" ht="13.5" thickBot="1">
      <c r="A100" s="47"/>
      <c r="B100" s="75"/>
      <c r="C100" s="15"/>
    </row>
    <row r="101" spans="1:3" ht="30" customHeight="1">
      <c r="A101" s="84" t="s">
        <v>141</v>
      </c>
      <c r="B101" s="145" t="s">
        <v>142</v>
      </c>
      <c r="C101" s="145"/>
    </row>
    <row r="102" spans="1:3" ht="30">
      <c r="A102" s="59" t="s">
        <v>143</v>
      </c>
      <c r="B102" s="33" t="s">
        <v>251</v>
      </c>
      <c r="C102" s="34">
        <f>[25]С4!F16</f>
        <v>832.33500000000004</v>
      </c>
    </row>
    <row r="103" spans="1:3" ht="30">
      <c r="A103" s="59" t="s">
        <v>145</v>
      </c>
      <c r="B103" s="58" t="s">
        <v>252</v>
      </c>
      <c r="C103" s="34">
        <f>[25]С4!F17</f>
        <v>43385</v>
      </c>
    </row>
    <row r="104" spans="1:3" ht="17.25">
      <c r="A104" s="59" t="s">
        <v>147</v>
      </c>
      <c r="B104" s="58" t="s">
        <v>148</v>
      </c>
      <c r="C104" s="40">
        <f>[25]С4!F18</f>
        <v>1.4999999999999999E-2</v>
      </c>
    </row>
    <row r="105" spans="1:3" ht="30">
      <c r="A105" s="59" t="s">
        <v>149</v>
      </c>
      <c r="B105" s="58" t="s">
        <v>150</v>
      </c>
      <c r="C105" s="34">
        <f>[25]С4!F19</f>
        <v>12104</v>
      </c>
    </row>
    <row r="106" spans="1:3" ht="31.5">
      <c r="A106" s="59" t="s">
        <v>151</v>
      </c>
      <c r="B106" s="58" t="s">
        <v>152</v>
      </c>
      <c r="C106" s="40">
        <f>[25]С4!F20</f>
        <v>1.4999999999999999E-2</v>
      </c>
    </row>
    <row r="107" spans="1:3" ht="30">
      <c r="A107" s="59" t="s">
        <v>153</v>
      </c>
      <c r="B107" s="33" t="s">
        <v>253</v>
      </c>
      <c r="C107" s="34">
        <f>[25]С4!F21</f>
        <v>1221.9019409821399</v>
      </c>
    </row>
    <row r="108" spans="1:3" ht="45.6" customHeight="1">
      <c r="A108" s="59" t="s">
        <v>155</v>
      </c>
      <c r="B108" s="53" t="s">
        <v>156</v>
      </c>
      <c r="C108" s="85" t="str">
        <f>IF([25]С4.2!F8="да",[25]С4.2!D21,[25]С4.2!D15)</f>
        <v>АО "Новосибирскэнергосбыт"</v>
      </c>
    </row>
    <row r="109" spans="1:3" ht="68.25" customHeight="1">
      <c r="A109" s="59" t="s">
        <v>157</v>
      </c>
      <c r="B109" s="53" t="s">
        <v>158</v>
      </c>
      <c r="C109" s="34">
        <f>[25]С4!F22</f>
        <v>3.6112641666666665</v>
      </c>
    </row>
    <row r="110" spans="1:3" ht="30">
      <c r="A110" s="59" t="s">
        <v>159</v>
      </c>
      <c r="B110" s="58" t="s">
        <v>254</v>
      </c>
      <c r="C110" s="62">
        <f>[25]С4!F23</f>
        <v>110</v>
      </c>
    </row>
    <row r="111" spans="1:3" ht="14.25">
      <c r="A111" s="59" t="s">
        <v>161</v>
      </c>
      <c r="B111" s="53" t="s">
        <v>162</v>
      </c>
      <c r="C111" s="34">
        <f>[25]С4!F24</f>
        <v>8497.1999999999989</v>
      </c>
    </row>
    <row r="112" spans="1:3" ht="14.25">
      <c r="A112" s="59" t="s">
        <v>163</v>
      </c>
      <c r="B112" s="58" t="s">
        <v>164</v>
      </c>
      <c r="C112" s="40">
        <f>[25]С4!F25</f>
        <v>0.36199999999999999</v>
      </c>
    </row>
    <row r="113" spans="1:3" ht="17.25">
      <c r="A113" s="59" t="s">
        <v>165</v>
      </c>
      <c r="B113" s="33" t="s">
        <v>166</v>
      </c>
      <c r="C113" s="34">
        <f>[25]С4!F26</f>
        <v>62.475839999999998</v>
      </c>
    </row>
    <row r="114" spans="1:3" ht="25.5">
      <c r="A114" s="59" t="s">
        <v>167</v>
      </c>
      <c r="B114" s="53" t="s">
        <v>94</v>
      </c>
      <c r="C114" s="85">
        <f>[25]С4.3!E16</f>
        <v>0</v>
      </c>
    </row>
    <row r="115" spans="1:3" ht="25.5">
      <c r="A115" s="59" t="s">
        <v>168</v>
      </c>
      <c r="B115" s="53" t="s">
        <v>169</v>
      </c>
      <c r="C115" s="34">
        <f>[25]С4.3!E17</f>
        <v>31.29</v>
      </c>
    </row>
    <row r="116" spans="1:3" ht="38.25">
      <c r="A116" s="59" t="s">
        <v>170</v>
      </c>
      <c r="B116" s="53" t="s">
        <v>106</v>
      </c>
      <c r="C116" s="85">
        <f>[25]С4.3!E18</f>
        <v>0</v>
      </c>
    </row>
    <row r="117" spans="1:3">
      <c r="A117" s="59" t="s">
        <v>171</v>
      </c>
      <c r="B117" s="53" t="s">
        <v>172</v>
      </c>
      <c r="C117" s="34">
        <f>[25]С4.3!E19</f>
        <v>27.72</v>
      </c>
    </row>
    <row r="118" spans="1:3">
      <c r="A118" s="59" t="s">
        <v>173</v>
      </c>
      <c r="B118" s="58" t="s">
        <v>174</v>
      </c>
      <c r="C118" s="62">
        <f>[25]С4.3!E11</f>
        <v>1871</v>
      </c>
    </row>
    <row r="119" spans="1:3">
      <c r="A119" s="59" t="s">
        <v>175</v>
      </c>
      <c r="B119" s="58" t="s">
        <v>176</v>
      </c>
      <c r="C119" s="52">
        <f>[25]С4.3!E12</f>
        <v>61</v>
      </c>
    </row>
    <row r="120" spans="1:3">
      <c r="A120" s="59" t="s">
        <v>177</v>
      </c>
      <c r="B120" s="58" t="s">
        <v>178</v>
      </c>
      <c r="C120" s="52">
        <f>[25]С4.3!E13</f>
        <v>73</v>
      </c>
    </row>
    <row r="121" spans="1:3" ht="30">
      <c r="A121" s="59" t="s">
        <v>179</v>
      </c>
      <c r="B121" s="33" t="s">
        <v>255</v>
      </c>
      <c r="C121" s="34">
        <f>[25]С4!F27</f>
        <v>1296.7467102743137</v>
      </c>
    </row>
    <row r="122" spans="1:3" ht="25.5">
      <c r="A122" s="59" t="s">
        <v>181</v>
      </c>
      <c r="B122" s="53" t="s">
        <v>256</v>
      </c>
      <c r="C122" s="34">
        <f>[25]С4!F28</f>
        <v>995.96521526444985</v>
      </c>
    </row>
    <row r="123" spans="1:3" ht="42.75">
      <c r="A123" s="59" t="s">
        <v>183</v>
      </c>
      <c r="B123" s="53" t="s">
        <v>184</v>
      </c>
      <c r="C123" s="34">
        <f>[25]С4!F29</f>
        <v>300.78149500986387</v>
      </c>
    </row>
    <row r="124" spans="1:3" ht="30.75" thickBot="1">
      <c r="A124" s="72" t="s">
        <v>185</v>
      </c>
      <c r="B124" s="90" t="s">
        <v>186</v>
      </c>
      <c r="C124" s="83">
        <f>[25]С4!F30</f>
        <v>506.03615707109338</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[25]С5!F17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IF([25]С6.1!E11="нет",[25]С6!F13,"")</f>
        <v/>
      </c>
    </row>
    <row r="131" spans="1:3" ht="42.75">
      <c r="A131" s="59" t="s">
        <v>204</v>
      </c>
      <c r="B131" s="86" t="s">
        <v>205</v>
      </c>
      <c r="C131" s="92" t="str">
        <f>IF([25]С6.1!E12="нет",[25]С6.1!E17,"")</f>
        <v/>
      </c>
    </row>
    <row r="132" spans="1:3" ht="68.25">
      <c r="A132" s="59" t="s">
        <v>206</v>
      </c>
      <c r="B132" s="91" t="s">
        <v>207</v>
      </c>
      <c r="C132" s="127" t="str">
        <f>IF([25]С6.1!E18="нет",[25]С6!F19,"")</f>
        <v/>
      </c>
    </row>
    <row r="133" spans="1:3" ht="55.5">
      <c r="A133" s="59" t="s">
        <v>208</v>
      </c>
      <c r="B133" s="86" t="s">
        <v>209</v>
      </c>
      <c r="C133" s="35" t="str">
        <f>IF([25]С6.1!E18="нет",[25]С6.1!E19,"")</f>
        <v/>
      </c>
    </row>
    <row r="134" spans="1:3" ht="61.5" customHeight="1">
      <c r="A134" s="59" t="s">
        <v>210</v>
      </c>
      <c r="B134" s="86" t="s">
        <v>257</v>
      </c>
      <c r="C134" s="35" t="str">
        <f>IF([25]С6.1!E18="нет",[25]С6.1!E22,"")</f>
        <v/>
      </c>
    </row>
    <row r="135" spans="1:3" ht="69" thickBot="1">
      <c r="A135" s="72" t="s">
        <v>212</v>
      </c>
      <c r="B135" s="98" t="s">
        <v>213</v>
      </c>
      <c r="C135" s="74" t="str">
        <f>IF([25]С6.1!E18="нет",[25]С6.1!E23,"")</f>
        <v/>
      </c>
    </row>
    <row r="136" spans="1:3" s="89" customFormat="1" ht="13.5" thickBot="1">
      <c r="A136" s="47"/>
      <c r="B136" s="75"/>
      <c r="C136" s="15"/>
    </row>
    <row r="137" spans="1:3" ht="15.75">
      <c r="A137" s="84" t="s">
        <v>214</v>
      </c>
      <c r="B137" s="99" t="s">
        <v>215</v>
      </c>
      <c r="C137" s="100">
        <f>[25]С2!F39</f>
        <v>21.531904799999996</v>
      </c>
    </row>
    <row r="138" spans="1:3" ht="14.25">
      <c r="A138" s="59" t="s">
        <v>216</v>
      </c>
      <c r="B138" s="58" t="s">
        <v>217</v>
      </c>
      <c r="C138" s="34">
        <f>[25]С2!F40</f>
        <v>7</v>
      </c>
    </row>
    <row r="139" spans="1:3" ht="17.25">
      <c r="A139" s="59" t="s">
        <v>218</v>
      </c>
      <c r="B139" s="58" t="s">
        <v>219</v>
      </c>
      <c r="C139" s="34">
        <f>[25]С2!F42</f>
        <v>0.97</v>
      </c>
    </row>
    <row r="140" spans="1:3" ht="15" thickBot="1">
      <c r="A140" s="72" t="s">
        <v>220</v>
      </c>
      <c r="B140" s="73" t="s">
        <v>221</v>
      </c>
      <c r="C140" s="46">
        <f>[25]С2!F44</f>
        <v>0.36199999999999999</v>
      </c>
    </row>
    <row r="141" spans="1:3" s="89" customFormat="1" ht="13.5" thickBot="1">
      <c r="A141" s="47"/>
      <c r="B141" s="75"/>
      <c r="C141" s="15"/>
    </row>
    <row r="142" spans="1:3" ht="17.25">
      <c r="A142" s="84" t="s">
        <v>222</v>
      </c>
      <c r="B142" s="103" t="s">
        <v>258</v>
      </c>
      <c r="C142" s="128">
        <f>[25]С2!F37</f>
        <v>1.4976266307379205</v>
      </c>
    </row>
    <row r="143" spans="1:3" ht="17.25" customHeight="1" thickBot="1">
      <c r="A143" s="72" t="s">
        <v>224</v>
      </c>
      <c r="B143" s="146" t="s">
        <v>225</v>
      </c>
      <c r="C143" s="146"/>
    </row>
    <row r="144" spans="1:3">
      <c r="A144" s="105"/>
      <c r="B144" s="129" t="s">
        <v>226</v>
      </c>
      <c r="C144" s="130"/>
    </row>
    <row r="145" spans="1:3">
      <c r="A145" s="105"/>
      <c r="B145" s="131">
        <v>2020</v>
      </c>
      <c r="C145" s="132">
        <f>[25]С2.5!$E$11</f>
        <v>-2.9000000000000026E-2</v>
      </c>
    </row>
    <row r="146" spans="1:3">
      <c r="B146" s="131">
        <f>B145+1</f>
        <v>2021</v>
      </c>
      <c r="C146" s="133">
        <f>[25]С2.5!$F$11</f>
        <v>0.245</v>
      </c>
    </row>
    <row r="147" spans="1:3">
      <c r="B147" s="131">
        <f t="shared" ref="B147:B210" si="0">B146+1</f>
        <v>2022</v>
      </c>
      <c r="C147" s="134">
        <f>[25]С2.5!$G$11</f>
        <v>0.114</v>
      </c>
    </row>
    <row r="148" spans="1:3">
      <c r="B148" s="110">
        <f t="shared" si="0"/>
        <v>2023</v>
      </c>
      <c r="C148" s="135">
        <f>[25]С2.5!$H$11</f>
        <v>2.4E-2</v>
      </c>
    </row>
    <row r="149" spans="1:3" ht="13.5" thickBot="1">
      <c r="B149" s="110">
        <f t="shared" si="0"/>
        <v>2024</v>
      </c>
      <c r="C149" s="135">
        <f>[25]С2.5!$I$11</f>
        <v>8.5999999999999993E-2</v>
      </c>
    </row>
    <row r="150" spans="1:3" ht="13.5" hidden="1" thickBot="1">
      <c r="B150" s="110">
        <f t="shared" si="0"/>
        <v>2025</v>
      </c>
      <c r="C150" s="135">
        <f>[25]С2.5!$J$11</f>
        <v>0</v>
      </c>
    </row>
    <row r="151" spans="1:3" ht="13.5" hidden="1" thickBot="1">
      <c r="B151" s="110">
        <f t="shared" si="0"/>
        <v>2026</v>
      </c>
      <c r="C151" s="135">
        <f>[25]С2.5!$K$11</f>
        <v>0</v>
      </c>
    </row>
    <row r="152" spans="1:3" ht="13.5" hidden="1" thickBot="1">
      <c r="B152" s="110">
        <f t="shared" si="0"/>
        <v>2027</v>
      </c>
      <c r="C152" s="135">
        <f>[25]С2.5!$L$11</f>
        <v>0</v>
      </c>
    </row>
    <row r="153" spans="1:3" ht="13.5" hidden="1" thickBot="1">
      <c r="B153" s="110">
        <f t="shared" si="0"/>
        <v>2028</v>
      </c>
      <c r="C153" s="135">
        <f>[25]С2.5!$M$11</f>
        <v>0</v>
      </c>
    </row>
    <row r="154" spans="1:3" ht="13.5" hidden="1" thickBot="1">
      <c r="B154" s="110">
        <f t="shared" si="0"/>
        <v>2029</v>
      </c>
      <c r="C154" s="135">
        <f>[25]С2.5!$N$11</f>
        <v>0</v>
      </c>
    </row>
    <row r="155" spans="1:3" ht="13.5" hidden="1" thickBot="1">
      <c r="B155" s="110">
        <f t="shared" si="0"/>
        <v>2030</v>
      </c>
      <c r="C155" s="135">
        <f>[25]С2.5!$O$11</f>
        <v>0</v>
      </c>
    </row>
    <row r="156" spans="1:3" ht="13.5" hidden="1" thickBot="1">
      <c r="B156" s="110">
        <f t="shared" si="0"/>
        <v>2031</v>
      </c>
      <c r="C156" s="135">
        <f>[25]С2.5!$P$11</f>
        <v>0</v>
      </c>
    </row>
    <row r="157" spans="1:3" ht="13.5" hidden="1" thickBot="1">
      <c r="B157" s="110">
        <f t="shared" si="0"/>
        <v>2032</v>
      </c>
      <c r="C157" s="135">
        <f>[25]С2.5!$Q$11</f>
        <v>0</v>
      </c>
    </row>
    <row r="158" spans="1:3" ht="13.5" hidden="1" thickBot="1">
      <c r="B158" s="110">
        <f t="shared" si="0"/>
        <v>2033</v>
      </c>
      <c r="C158" s="135">
        <f>[25]С2.5!$R$11</f>
        <v>0</v>
      </c>
    </row>
    <row r="159" spans="1:3" ht="13.5" hidden="1" thickBot="1">
      <c r="B159" s="110">
        <f t="shared" si="0"/>
        <v>2034</v>
      </c>
      <c r="C159" s="135">
        <f>[25]С2.5!$S$11</f>
        <v>0</v>
      </c>
    </row>
    <row r="160" spans="1:3" ht="13.5" hidden="1" thickBot="1">
      <c r="B160" s="110">
        <f t="shared" si="0"/>
        <v>2035</v>
      </c>
      <c r="C160" s="135">
        <f>[25]С2.5!$T$11</f>
        <v>0</v>
      </c>
    </row>
    <row r="161" spans="2:3" ht="13.5" hidden="1" thickBot="1">
      <c r="B161" s="110">
        <f t="shared" si="0"/>
        <v>2036</v>
      </c>
      <c r="C161" s="135">
        <f>[25]С2.5!$U$11</f>
        <v>0</v>
      </c>
    </row>
    <row r="162" spans="2:3" ht="13.5" hidden="1" thickBot="1">
      <c r="B162" s="110">
        <f t="shared" si="0"/>
        <v>2037</v>
      </c>
      <c r="C162" s="135">
        <f>[25]С2.5!$V$11</f>
        <v>0</v>
      </c>
    </row>
    <row r="163" spans="2:3" ht="13.5" hidden="1" thickBot="1">
      <c r="B163" s="110">
        <f t="shared" si="0"/>
        <v>2038</v>
      </c>
      <c r="C163" s="135">
        <f>[25]С2.5!$W$11</f>
        <v>0</v>
      </c>
    </row>
    <row r="164" spans="2:3" ht="13.5" hidden="1" thickBot="1">
      <c r="B164" s="110">
        <f t="shared" si="0"/>
        <v>2039</v>
      </c>
      <c r="C164" s="135">
        <f>[25]С2.5!$X$11</f>
        <v>0</v>
      </c>
    </row>
    <row r="165" spans="2:3" ht="13.5" hidden="1" thickBot="1">
      <c r="B165" s="110">
        <f t="shared" si="0"/>
        <v>2040</v>
      </c>
      <c r="C165" s="135">
        <f>[25]С2.5!$Y$11</f>
        <v>0</v>
      </c>
    </row>
    <row r="166" spans="2:3" ht="13.5" hidden="1" thickBot="1">
      <c r="B166" s="110">
        <f t="shared" si="0"/>
        <v>2041</v>
      </c>
      <c r="C166" s="135">
        <f>[25]С2.5!$Z$11</f>
        <v>0</v>
      </c>
    </row>
    <row r="167" spans="2:3" ht="13.5" hidden="1" thickBot="1">
      <c r="B167" s="110">
        <f t="shared" si="0"/>
        <v>2042</v>
      </c>
      <c r="C167" s="135">
        <f>[25]С2.5!$AA$11</f>
        <v>0</v>
      </c>
    </row>
    <row r="168" spans="2:3" ht="13.5" hidden="1" thickBot="1">
      <c r="B168" s="110">
        <f t="shared" si="0"/>
        <v>2043</v>
      </c>
      <c r="C168" s="135">
        <f>[25]С2.5!$AB$11</f>
        <v>0</v>
      </c>
    </row>
    <row r="169" spans="2:3" ht="13.5" hidden="1" thickBot="1">
      <c r="B169" s="110">
        <f t="shared" si="0"/>
        <v>2044</v>
      </c>
      <c r="C169" s="135">
        <f>[25]С2.5!$AC$11</f>
        <v>0</v>
      </c>
    </row>
    <row r="170" spans="2:3" ht="13.5" hidden="1" thickBot="1">
      <c r="B170" s="110">
        <f t="shared" si="0"/>
        <v>2045</v>
      </c>
      <c r="C170" s="135">
        <f>[25]С2.5!$AD$11</f>
        <v>0</v>
      </c>
    </row>
    <row r="171" spans="2:3" ht="13.5" hidden="1" thickBot="1">
      <c r="B171" s="110">
        <f t="shared" si="0"/>
        <v>2046</v>
      </c>
      <c r="C171" s="135">
        <f>[25]С2.5!$AE$11</f>
        <v>0</v>
      </c>
    </row>
    <row r="172" spans="2:3" ht="13.5" hidden="1" thickBot="1">
      <c r="B172" s="110">
        <f t="shared" si="0"/>
        <v>2047</v>
      </c>
      <c r="C172" s="135">
        <f>[25]С2.5!$AF$11</f>
        <v>0</v>
      </c>
    </row>
    <row r="173" spans="2:3" ht="13.5" hidden="1" thickBot="1">
      <c r="B173" s="110">
        <f t="shared" si="0"/>
        <v>2048</v>
      </c>
      <c r="C173" s="135">
        <f>[25]С2.5!$AG$11</f>
        <v>0</v>
      </c>
    </row>
    <row r="174" spans="2:3" ht="13.5" hidden="1" thickBot="1">
      <c r="B174" s="110">
        <f t="shared" si="0"/>
        <v>2049</v>
      </c>
      <c r="C174" s="135">
        <f>[25]С2.5!$AH$11</f>
        <v>0</v>
      </c>
    </row>
    <row r="175" spans="2:3" ht="13.5" hidden="1" thickBot="1">
      <c r="B175" s="110">
        <f t="shared" si="0"/>
        <v>2050</v>
      </c>
      <c r="C175" s="135">
        <f>[25]С2.5!$AI$11</f>
        <v>0</v>
      </c>
    </row>
    <row r="176" spans="2:3" ht="13.5" hidden="1" thickBot="1">
      <c r="B176" s="110">
        <f t="shared" si="0"/>
        <v>2051</v>
      </c>
      <c r="C176" s="135">
        <f>[25]С2.5!$AJ$11</f>
        <v>0</v>
      </c>
    </row>
    <row r="177" spans="2:3" ht="13.5" hidden="1" thickBot="1">
      <c r="B177" s="110">
        <f t="shared" si="0"/>
        <v>2052</v>
      </c>
      <c r="C177" s="135">
        <f>[25]С2.5!$AK$11</f>
        <v>0</v>
      </c>
    </row>
    <row r="178" spans="2:3" ht="13.5" hidden="1" thickBot="1">
      <c r="B178" s="110">
        <f t="shared" si="0"/>
        <v>2053</v>
      </c>
      <c r="C178" s="135">
        <f>[25]С2.5!$AL$11</f>
        <v>0</v>
      </c>
    </row>
    <row r="179" spans="2:3" ht="13.5" hidden="1" thickBot="1">
      <c r="B179" s="110">
        <f t="shared" si="0"/>
        <v>2054</v>
      </c>
      <c r="C179" s="135">
        <f>[25]С2.5!$AM$11</f>
        <v>0</v>
      </c>
    </row>
    <row r="180" spans="2:3" ht="13.5" hidden="1" thickBot="1">
      <c r="B180" s="110">
        <f t="shared" si="0"/>
        <v>2055</v>
      </c>
      <c r="C180" s="135">
        <f>[25]С2.5!$AN$11</f>
        <v>0</v>
      </c>
    </row>
    <row r="181" spans="2:3" ht="13.5" hidden="1" thickBot="1">
      <c r="B181" s="110">
        <f t="shared" si="0"/>
        <v>2056</v>
      </c>
      <c r="C181" s="135">
        <f>[25]С2.5!$AO$11</f>
        <v>0</v>
      </c>
    </row>
    <row r="182" spans="2:3" ht="13.5" hidden="1" thickBot="1">
      <c r="B182" s="110">
        <f t="shared" si="0"/>
        <v>2057</v>
      </c>
      <c r="C182" s="135">
        <f>[25]С2.5!$AP$11</f>
        <v>0</v>
      </c>
    </row>
    <row r="183" spans="2:3" ht="13.5" hidden="1" thickBot="1">
      <c r="B183" s="110">
        <f t="shared" si="0"/>
        <v>2058</v>
      </c>
      <c r="C183" s="135">
        <f>[25]С2.5!$AQ$11</f>
        <v>0</v>
      </c>
    </row>
    <row r="184" spans="2:3" ht="13.5" hidden="1" thickBot="1">
      <c r="B184" s="110">
        <f t="shared" si="0"/>
        <v>2059</v>
      </c>
      <c r="C184" s="135">
        <f>[25]С2.5!$AR$11</f>
        <v>0</v>
      </c>
    </row>
    <row r="185" spans="2:3" ht="13.5" hidden="1" thickBot="1">
      <c r="B185" s="110">
        <f t="shared" si="0"/>
        <v>2060</v>
      </c>
      <c r="C185" s="135">
        <f>[25]С2.5!$AS$11</f>
        <v>0</v>
      </c>
    </row>
    <row r="186" spans="2:3" ht="13.5" hidden="1" thickBot="1">
      <c r="B186" s="110">
        <f t="shared" si="0"/>
        <v>2061</v>
      </c>
      <c r="C186" s="135">
        <f>[25]С2.5!$AT$11</f>
        <v>0</v>
      </c>
    </row>
    <row r="187" spans="2:3" ht="13.5" hidden="1" thickBot="1">
      <c r="B187" s="110">
        <f t="shared" si="0"/>
        <v>2062</v>
      </c>
      <c r="C187" s="135">
        <f>[25]С2.5!$AU$11</f>
        <v>0</v>
      </c>
    </row>
    <row r="188" spans="2:3" ht="13.5" hidden="1" thickBot="1">
      <c r="B188" s="110">
        <f t="shared" si="0"/>
        <v>2063</v>
      </c>
      <c r="C188" s="135">
        <f>[25]С2.5!$AV$11</f>
        <v>0</v>
      </c>
    </row>
    <row r="189" spans="2:3" ht="13.5" hidden="1" thickBot="1">
      <c r="B189" s="110">
        <f t="shared" si="0"/>
        <v>2064</v>
      </c>
      <c r="C189" s="135">
        <f>[25]С2.5!$AW$11</f>
        <v>0</v>
      </c>
    </row>
    <row r="190" spans="2:3" ht="13.5" hidden="1" thickBot="1">
      <c r="B190" s="110">
        <f t="shared" si="0"/>
        <v>2065</v>
      </c>
      <c r="C190" s="135">
        <f>[25]С2.5!$AX$11</f>
        <v>0</v>
      </c>
    </row>
    <row r="191" spans="2:3" ht="13.5" hidden="1" thickBot="1">
      <c r="B191" s="110">
        <f t="shared" si="0"/>
        <v>2066</v>
      </c>
      <c r="C191" s="135">
        <f>[25]С2.5!$AY$11</f>
        <v>0</v>
      </c>
    </row>
    <row r="192" spans="2:3" ht="13.5" hidden="1" thickBot="1">
      <c r="B192" s="110">
        <f t="shared" si="0"/>
        <v>2067</v>
      </c>
      <c r="C192" s="135">
        <f>[25]С2.5!$AZ$11</f>
        <v>0</v>
      </c>
    </row>
    <row r="193" spans="2:3" ht="13.5" hidden="1" thickBot="1">
      <c r="B193" s="110">
        <f t="shared" si="0"/>
        <v>2068</v>
      </c>
      <c r="C193" s="135">
        <f>[25]С2.5!$BA$11</f>
        <v>0</v>
      </c>
    </row>
    <row r="194" spans="2:3" ht="13.5" hidden="1" thickBot="1">
      <c r="B194" s="110">
        <f t="shared" si="0"/>
        <v>2069</v>
      </c>
      <c r="C194" s="135">
        <f>[25]С2.5!$BB$11</f>
        <v>0</v>
      </c>
    </row>
    <row r="195" spans="2:3" ht="13.5" hidden="1" thickBot="1">
      <c r="B195" s="110">
        <f t="shared" si="0"/>
        <v>2070</v>
      </c>
      <c r="C195" s="135">
        <f>[25]С2.5!$BC$11</f>
        <v>0</v>
      </c>
    </row>
    <row r="196" spans="2:3" ht="13.5" hidden="1" thickBot="1">
      <c r="B196" s="110">
        <f t="shared" si="0"/>
        <v>2071</v>
      </c>
      <c r="C196" s="135">
        <f>[25]С2.5!$BD$11</f>
        <v>0</v>
      </c>
    </row>
    <row r="197" spans="2:3" ht="13.5" hidden="1" thickBot="1">
      <c r="B197" s="110">
        <f t="shared" si="0"/>
        <v>2072</v>
      </c>
      <c r="C197" s="135">
        <f>[25]С2.5!$BE$11</f>
        <v>0</v>
      </c>
    </row>
    <row r="198" spans="2:3" ht="13.5" hidden="1" thickBot="1">
      <c r="B198" s="110">
        <f t="shared" si="0"/>
        <v>2073</v>
      </c>
      <c r="C198" s="135">
        <f>[25]С2.5!$BF$11</f>
        <v>0</v>
      </c>
    </row>
    <row r="199" spans="2:3" ht="13.5" hidden="1" thickBot="1">
      <c r="B199" s="110">
        <f t="shared" si="0"/>
        <v>2074</v>
      </c>
      <c r="C199" s="135">
        <f>[25]С2.5!$BG$11</f>
        <v>0</v>
      </c>
    </row>
    <row r="200" spans="2:3" ht="13.5" hidden="1" thickBot="1">
      <c r="B200" s="110">
        <f t="shared" si="0"/>
        <v>2075</v>
      </c>
      <c r="C200" s="135">
        <f>[25]С2.5!$BH$11</f>
        <v>0</v>
      </c>
    </row>
    <row r="201" spans="2:3" ht="13.5" hidden="1" thickBot="1">
      <c r="B201" s="110">
        <f t="shared" si="0"/>
        <v>2076</v>
      </c>
      <c r="C201" s="135">
        <f>[25]С2.5!$BI$11</f>
        <v>0</v>
      </c>
    </row>
    <row r="202" spans="2:3" ht="13.5" hidden="1" thickBot="1">
      <c r="B202" s="110">
        <f t="shared" si="0"/>
        <v>2077</v>
      </c>
      <c r="C202" s="135">
        <f>[25]С2.5!$BJ$11</f>
        <v>0</v>
      </c>
    </row>
    <row r="203" spans="2:3" ht="13.5" hidden="1" thickBot="1">
      <c r="B203" s="110">
        <f t="shared" si="0"/>
        <v>2078</v>
      </c>
      <c r="C203" s="135">
        <f>[25]С2.5!$BK$11</f>
        <v>0</v>
      </c>
    </row>
    <row r="204" spans="2:3" ht="13.5" hidden="1" thickBot="1">
      <c r="B204" s="110">
        <f t="shared" si="0"/>
        <v>2079</v>
      </c>
      <c r="C204" s="135">
        <f>[25]С2.5!$BL$11</f>
        <v>0</v>
      </c>
    </row>
    <row r="205" spans="2:3" ht="13.5" hidden="1" thickBot="1">
      <c r="B205" s="110">
        <f t="shared" si="0"/>
        <v>2080</v>
      </c>
      <c r="C205" s="135">
        <f>[25]С2.5!$BM$11</f>
        <v>0</v>
      </c>
    </row>
    <row r="206" spans="2:3" ht="13.5" hidden="1" thickBot="1">
      <c r="B206" s="110">
        <f t="shared" si="0"/>
        <v>2081</v>
      </c>
      <c r="C206" s="135">
        <f>[25]С2.5!$BN$11</f>
        <v>0</v>
      </c>
    </row>
    <row r="207" spans="2:3" ht="13.5" hidden="1" thickBot="1">
      <c r="B207" s="110">
        <f t="shared" si="0"/>
        <v>2082</v>
      </c>
      <c r="C207" s="135">
        <f>[25]С2.5!$BO$11</f>
        <v>0</v>
      </c>
    </row>
    <row r="208" spans="2:3" ht="13.5" hidden="1" thickBot="1">
      <c r="B208" s="110">
        <f t="shared" si="0"/>
        <v>2083</v>
      </c>
      <c r="C208" s="135">
        <f>[25]С2.5!$BP$11</f>
        <v>0</v>
      </c>
    </row>
    <row r="209" spans="2:3" ht="13.5" hidden="1" thickBot="1">
      <c r="B209" s="110">
        <f t="shared" si="0"/>
        <v>2084</v>
      </c>
      <c r="C209" s="135">
        <f>[25]С2.5!$BQ$11</f>
        <v>0</v>
      </c>
    </row>
    <row r="210" spans="2:3" ht="13.5" hidden="1" thickBot="1">
      <c r="B210" s="110">
        <f t="shared" si="0"/>
        <v>2085</v>
      </c>
      <c r="C210" s="135">
        <f>[25]С2.5!$BR$11</f>
        <v>0</v>
      </c>
    </row>
    <row r="211" spans="2:3" ht="13.5" hidden="1" thickBot="1">
      <c r="B211" s="110">
        <f t="shared" ref="B211:B224" si="1">B210+1</f>
        <v>2086</v>
      </c>
      <c r="C211" s="135">
        <f>[25]С2.5!$BS$11</f>
        <v>0</v>
      </c>
    </row>
    <row r="212" spans="2:3" ht="13.5" hidden="1" thickBot="1">
      <c r="B212" s="110">
        <f t="shared" si="1"/>
        <v>2087</v>
      </c>
      <c r="C212" s="135">
        <f>[25]С2.5!$BT$11</f>
        <v>0</v>
      </c>
    </row>
    <row r="213" spans="2:3" ht="13.5" hidden="1" thickBot="1">
      <c r="B213" s="110">
        <f t="shared" si="1"/>
        <v>2088</v>
      </c>
      <c r="C213" s="135">
        <f>[25]С2.5!$BU$11</f>
        <v>0</v>
      </c>
    </row>
    <row r="214" spans="2:3" ht="13.5" hidden="1" thickBot="1">
      <c r="B214" s="110">
        <f t="shared" si="1"/>
        <v>2089</v>
      </c>
      <c r="C214" s="135">
        <f>[25]С2.5!$BV$11</f>
        <v>0</v>
      </c>
    </row>
    <row r="215" spans="2:3" ht="13.5" hidden="1" thickBot="1">
      <c r="B215" s="110">
        <f t="shared" si="1"/>
        <v>2090</v>
      </c>
      <c r="C215" s="135">
        <f>[25]С2.5!$BW$11</f>
        <v>0</v>
      </c>
    </row>
    <row r="216" spans="2:3" ht="13.5" hidden="1" thickBot="1">
      <c r="B216" s="110">
        <f t="shared" si="1"/>
        <v>2091</v>
      </c>
      <c r="C216" s="135">
        <f>[25]С2.5!$BX$11</f>
        <v>0</v>
      </c>
    </row>
    <row r="217" spans="2:3" ht="13.5" hidden="1" thickBot="1">
      <c r="B217" s="110">
        <f t="shared" si="1"/>
        <v>2092</v>
      </c>
      <c r="C217" s="135">
        <f>[25]С2.5!$BY$11</f>
        <v>0</v>
      </c>
    </row>
    <row r="218" spans="2:3" ht="13.5" hidden="1" thickBot="1">
      <c r="B218" s="110">
        <f t="shared" si="1"/>
        <v>2093</v>
      </c>
      <c r="C218" s="135">
        <f>[25]С2.5!$BZ$11</f>
        <v>0</v>
      </c>
    </row>
    <row r="219" spans="2:3" ht="13.5" hidden="1" thickBot="1">
      <c r="B219" s="110">
        <f t="shared" si="1"/>
        <v>2094</v>
      </c>
      <c r="C219" s="135">
        <f>[25]С2.5!$CA$11</f>
        <v>0</v>
      </c>
    </row>
    <row r="220" spans="2:3" ht="13.5" hidden="1" thickBot="1">
      <c r="B220" s="110">
        <f t="shared" si="1"/>
        <v>2095</v>
      </c>
      <c r="C220" s="135">
        <f>[25]С2.5!$CB$11</f>
        <v>0</v>
      </c>
    </row>
    <row r="221" spans="2:3" ht="13.5" hidden="1" thickBot="1">
      <c r="B221" s="110">
        <f t="shared" si="1"/>
        <v>2096</v>
      </c>
      <c r="C221" s="135">
        <f>[25]С2.5!$CC$11</f>
        <v>0</v>
      </c>
    </row>
    <row r="222" spans="2:3" ht="13.5" hidden="1" thickBot="1">
      <c r="B222" s="110">
        <f t="shared" si="1"/>
        <v>2097</v>
      </c>
      <c r="C222" s="135">
        <f>[25]С2.5!$CD$11</f>
        <v>0</v>
      </c>
    </row>
    <row r="223" spans="2:3" ht="13.5" hidden="1" thickBot="1">
      <c r="B223" s="110">
        <f t="shared" si="1"/>
        <v>2098</v>
      </c>
      <c r="C223" s="135">
        <f>[25]С2.5!$CE$11</f>
        <v>0</v>
      </c>
    </row>
    <row r="224" spans="2:3" ht="13.5" hidden="1" thickBot="1">
      <c r="B224" s="110">
        <f t="shared" si="1"/>
        <v>2099</v>
      </c>
      <c r="C224" s="135">
        <f>[25]С2.5!$CF$11</f>
        <v>0</v>
      </c>
    </row>
    <row r="225" spans="2:3" ht="13.5" hidden="1" thickBot="1">
      <c r="B225" s="112">
        <f>B162+1</f>
        <v>2038</v>
      </c>
      <c r="C225" s="136" t="e">
        <f>[25]С2.5!#REF!</f>
        <v>#REF!</v>
      </c>
    </row>
    <row r="226" spans="2:3">
      <c r="B226" s="137"/>
      <c r="C226" s="138"/>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2" sqref="C2"/>
    </sheetView>
  </sheetViews>
  <sheetFormatPr defaultRowHeight="12.75"/>
  <cols>
    <col min="1" max="1" width="9.140625" style="2" customWidth="1"/>
    <col min="2" max="2" width="100.5703125" style="2" customWidth="1"/>
    <col min="3" max="3" width="20.85546875" style="7" customWidth="1"/>
    <col min="4" max="241" width="9.140625" style="2"/>
    <col min="242" max="242" width="3.5703125" style="2" customWidth="1"/>
    <col min="243" max="243" width="96.85546875" style="2" customWidth="1"/>
    <col min="244" max="244" width="30.85546875" style="2" customWidth="1"/>
    <col min="245" max="245" width="12.5703125" style="2" customWidth="1"/>
    <col min="246" max="246" width="5.140625" style="2" customWidth="1"/>
    <col min="247" max="247" width="9.140625" style="2"/>
    <col min="248" max="248" width="4.85546875" style="2" customWidth="1"/>
    <col min="249" max="249" width="30.5703125" style="2" customWidth="1"/>
    <col min="250" max="250" width="33.85546875" style="2" customWidth="1"/>
    <col min="251" max="251" width="5.140625" style="2" customWidth="1"/>
    <col min="252" max="253" width="17.5703125" style="2" customWidth="1"/>
    <col min="254" max="497" width="9.140625" style="2"/>
    <col min="498" max="498" width="3.5703125" style="2" customWidth="1"/>
    <col min="499" max="499" width="96.85546875" style="2" customWidth="1"/>
    <col min="500" max="500" width="30.85546875" style="2" customWidth="1"/>
    <col min="501" max="501" width="12.5703125" style="2" customWidth="1"/>
    <col min="502" max="502" width="5.140625" style="2" customWidth="1"/>
    <col min="503" max="503" width="9.140625" style="2"/>
    <col min="504" max="504" width="4.85546875" style="2" customWidth="1"/>
    <col min="505" max="505" width="30.5703125" style="2" customWidth="1"/>
    <col min="506" max="506" width="33.85546875" style="2" customWidth="1"/>
    <col min="507" max="507" width="5.140625" style="2" customWidth="1"/>
    <col min="508" max="509" width="17.5703125" style="2" customWidth="1"/>
    <col min="510" max="753" width="9.140625" style="2"/>
    <col min="754" max="754" width="3.5703125" style="2" customWidth="1"/>
    <col min="755" max="755" width="96.85546875" style="2" customWidth="1"/>
    <col min="756" max="756" width="30.85546875" style="2" customWidth="1"/>
    <col min="757" max="757" width="12.5703125" style="2" customWidth="1"/>
    <col min="758" max="758" width="5.140625" style="2" customWidth="1"/>
    <col min="759" max="759" width="9.140625" style="2"/>
    <col min="760" max="760" width="4.85546875" style="2" customWidth="1"/>
    <col min="761" max="761" width="30.5703125" style="2" customWidth="1"/>
    <col min="762" max="762" width="33.85546875" style="2" customWidth="1"/>
    <col min="763" max="763" width="5.140625" style="2" customWidth="1"/>
    <col min="764" max="765" width="17.5703125" style="2" customWidth="1"/>
    <col min="766" max="1009" width="9.140625" style="2"/>
    <col min="1010" max="1010" width="3.5703125" style="2" customWidth="1"/>
    <col min="1011" max="1011" width="96.85546875" style="2" customWidth="1"/>
    <col min="1012" max="1012" width="30.85546875" style="2" customWidth="1"/>
    <col min="1013" max="1013" width="12.5703125" style="2" customWidth="1"/>
    <col min="1014" max="1014" width="5.140625" style="2" customWidth="1"/>
    <col min="1015" max="1015" width="9.140625" style="2"/>
    <col min="1016" max="1016" width="4.85546875" style="2" customWidth="1"/>
    <col min="1017" max="1017" width="30.5703125" style="2" customWidth="1"/>
    <col min="1018" max="1018" width="33.85546875" style="2" customWidth="1"/>
    <col min="1019" max="1019" width="5.140625" style="2" customWidth="1"/>
    <col min="1020" max="1021" width="17.5703125" style="2" customWidth="1"/>
    <col min="1022" max="1265" width="9.140625" style="2"/>
    <col min="1266" max="1266" width="3.5703125" style="2" customWidth="1"/>
    <col min="1267" max="1267" width="96.85546875" style="2" customWidth="1"/>
    <col min="1268" max="1268" width="30.85546875" style="2" customWidth="1"/>
    <col min="1269" max="1269" width="12.5703125" style="2" customWidth="1"/>
    <col min="1270" max="1270" width="5.140625" style="2" customWidth="1"/>
    <col min="1271" max="1271" width="9.140625" style="2"/>
    <col min="1272" max="1272" width="4.85546875" style="2" customWidth="1"/>
    <col min="1273" max="1273" width="30.5703125" style="2" customWidth="1"/>
    <col min="1274" max="1274" width="33.85546875" style="2" customWidth="1"/>
    <col min="1275" max="1275" width="5.140625" style="2" customWidth="1"/>
    <col min="1276" max="1277" width="17.5703125" style="2" customWidth="1"/>
    <col min="1278" max="1521" width="9.140625" style="2"/>
    <col min="1522" max="1522" width="3.5703125" style="2" customWidth="1"/>
    <col min="1523" max="1523" width="96.85546875" style="2" customWidth="1"/>
    <col min="1524" max="1524" width="30.85546875" style="2" customWidth="1"/>
    <col min="1525" max="1525" width="12.5703125" style="2" customWidth="1"/>
    <col min="1526" max="1526" width="5.140625" style="2" customWidth="1"/>
    <col min="1527" max="1527" width="9.140625" style="2"/>
    <col min="1528" max="1528" width="4.85546875" style="2" customWidth="1"/>
    <col min="1529" max="1529" width="30.5703125" style="2" customWidth="1"/>
    <col min="1530" max="1530" width="33.85546875" style="2" customWidth="1"/>
    <col min="1531" max="1531" width="5.140625" style="2" customWidth="1"/>
    <col min="1532" max="1533" width="17.5703125" style="2" customWidth="1"/>
    <col min="1534" max="1777" width="9.140625" style="2"/>
    <col min="1778" max="1778" width="3.5703125" style="2" customWidth="1"/>
    <col min="1779" max="1779" width="96.85546875" style="2" customWidth="1"/>
    <col min="1780" max="1780" width="30.85546875" style="2" customWidth="1"/>
    <col min="1781" max="1781" width="12.5703125" style="2" customWidth="1"/>
    <col min="1782" max="1782" width="5.140625" style="2" customWidth="1"/>
    <col min="1783" max="1783" width="9.140625" style="2"/>
    <col min="1784" max="1784" width="4.85546875" style="2" customWidth="1"/>
    <col min="1785" max="1785" width="30.5703125" style="2" customWidth="1"/>
    <col min="1786" max="1786" width="33.85546875" style="2" customWidth="1"/>
    <col min="1787" max="1787" width="5.140625" style="2" customWidth="1"/>
    <col min="1788" max="1789" width="17.5703125" style="2" customWidth="1"/>
    <col min="1790" max="2033" width="9.140625" style="2"/>
    <col min="2034" max="2034" width="3.5703125" style="2" customWidth="1"/>
    <col min="2035" max="2035" width="96.85546875" style="2" customWidth="1"/>
    <col min="2036" max="2036" width="30.85546875" style="2" customWidth="1"/>
    <col min="2037" max="2037" width="12.5703125" style="2" customWidth="1"/>
    <col min="2038" max="2038" width="5.140625" style="2" customWidth="1"/>
    <col min="2039" max="2039" width="9.140625" style="2"/>
    <col min="2040" max="2040" width="4.85546875" style="2" customWidth="1"/>
    <col min="2041" max="2041" width="30.5703125" style="2" customWidth="1"/>
    <col min="2042" max="2042" width="33.85546875" style="2" customWidth="1"/>
    <col min="2043" max="2043" width="5.140625" style="2" customWidth="1"/>
    <col min="2044" max="2045" width="17.5703125" style="2" customWidth="1"/>
    <col min="2046" max="2289" width="9.140625" style="2"/>
    <col min="2290" max="2290" width="3.5703125" style="2" customWidth="1"/>
    <col min="2291" max="2291" width="96.85546875" style="2" customWidth="1"/>
    <col min="2292" max="2292" width="30.85546875" style="2" customWidth="1"/>
    <col min="2293" max="2293" width="12.5703125" style="2" customWidth="1"/>
    <col min="2294" max="2294" width="5.140625" style="2" customWidth="1"/>
    <col min="2295" max="2295" width="9.140625" style="2"/>
    <col min="2296" max="2296" width="4.85546875" style="2" customWidth="1"/>
    <col min="2297" max="2297" width="30.5703125" style="2" customWidth="1"/>
    <col min="2298" max="2298" width="33.85546875" style="2" customWidth="1"/>
    <col min="2299" max="2299" width="5.140625" style="2" customWidth="1"/>
    <col min="2300" max="2301" width="17.5703125" style="2" customWidth="1"/>
    <col min="2302" max="2545" width="9.140625" style="2"/>
    <col min="2546" max="2546" width="3.5703125" style="2" customWidth="1"/>
    <col min="2547" max="2547" width="96.85546875" style="2" customWidth="1"/>
    <col min="2548" max="2548" width="30.85546875" style="2" customWidth="1"/>
    <col min="2549" max="2549" width="12.5703125" style="2" customWidth="1"/>
    <col min="2550" max="2550" width="5.140625" style="2" customWidth="1"/>
    <col min="2551" max="2551" width="9.140625" style="2"/>
    <col min="2552" max="2552" width="4.85546875" style="2" customWidth="1"/>
    <col min="2553" max="2553" width="30.5703125" style="2" customWidth="1"/>
    <col min="2554" max="2554" width="33.85546875" style="2" customWidth="1"/>
    <col min="2555" max="2555" width="5.140625" style="2" customWidth="1"/>
    <col min="2556" max="2557" width="17.5703125" style="2" customWidth="1"/>
    <col min="2558" max="2801" width="9.140625" style="2"/>
    <col min="2802" max="2802" width="3.5703125" style="2" customWidth="1"/>
    <col min="2803" max="2803" width="96.85546875" style="2" customWidth="1"/>
    <col min="2804" max="2804" width="30.85546875" style="2" customWidth="1"/>
    <col min="2805" max="2805" width="12.5703125" style="2" customWidth="1"/>
    <col min="2806" max="2806" width="5.140625" style="2" customWidth="1"/>
    <col min="2807" max="2807" width="9.140625" style="2"/>
    <col min="2808" max="2808" width="4.85546875" style="2" customWidth="1"/>
    <col min="2809" max="2809" width="30.5703125" style="2" customWidth="1"/>
    <col min="2810" max="2810" width="33.85546875" style="2" customWidth="1"/>
    <col min="2811" max="2811" width="5.140625" style="2" customWidth="1"/>
    <col min="2812" max="2813" width="17.5703125" style="2" customWidth="1"/>
    <col min="2814" max="3057" width="9.140625" style="2"/>
    <col min="3058" max="3058" width="3.5703125" style="2" customWidth="1"/>
    <col min="3059" max="3059" width="96.85546875" style="2" customWidth="1"/>
    <col min="3060" max="3060" width="30.85546875" style="2" customWidth="1"/>
    <col min="3061" max="3061" width="12.5703125" style="2" customWidth="1"/>
    <col min="3062" max="3062" width="5.140625" style="2" customWidth="1"/>
    <col min="3063" max="3063" width="9.140625" style="2"/>
    <col min="3064" max="3064" width="4.85546875" style="2" customWidth="1"/>
    <col min="3065" max="3065" width="30.5703125" style="2" customWidth="1"/>
    <col min="3066" max="3066" width="33.85546875" style="2" customWidth="1"/>
    <col min="3067" max="3067" width="5.140625" style="2" customWidth="1"/>
    <col min="3068" max="3069" width="17.5703125" style="2" customWidth="1"/>
    <col min="3070" max="3313" width="9.140625" style="2"/>
    <col min="3314" max="3314" width="3.5703125" style="2" customWidth="1"/>
    <col min="3315" max="3315" width="96.85546875" style="2" customWidth="1"/>
    <col min="3316" max="3316" width="30.85546875" style="2" customWidth="1"/>
    <col min="3317" max="3317" width="12.5703125" style="2" customWidth="1"/>
    <col min="3318" max="3318" width="5.140625" style="2" customWidth="1"/>
    <col min="3319" max="3319" width="9.140625" style="2"/>
    <col min="3320" max="3320" width="4.85546875" style="2" customWidth="1"/>
    <col min="3321" max="3321" width="30.5703125" style="2" customWidth="1"/>
    <col min="3322" max="3322" width="33.85546875" style="2" customWidth="1"/>
    <col min="3323" max="3323" width="5.140625" style="2" customWidth="1"/>
    <col min="3324" max="3325" width="17.5703125" style="2" customWidth="1"/>
    <col min="3326" max="3569" width="9.140625" style="2"/>
    <col min="3570" max="3570" width="3.5703125" style="2" customWidth="1"/>
    <col min="3571" max="3571" width="96.85546875" style="2" customWidth="1"/>
    <col min="3572" max="3572" width="30.85546875" style="2" customWidth="1"/>
    <col min="3573" max="3573" width="12.5703125" style="2" customWidth="1"/>
    <col min="3574" max="3574" width="5.140625" style="2" customWidth="1"/>
    <col min="3575" max="3575" width="9.140625" style="2"/>
    <col min="3576" max="3576" width="4.85546875" style="2" customWidth="1"/>
    <col min="3577" max="3577" width="30.5703125" style="2" customWidth="1"/>
    <col min="3578" max="3578" width="33.85546875" style="2" customWidth="1"/>
    <col min="3579" max="3579" width="5.140625" style="2" customWidth="1"/>
    <col min="3580" max="3581" width="17.5703125" style="2" customWidth="1"/>
    <col min="3582" max="3825" width="9.140625" style="2"/>
    <col min="3826" max="3826" width="3.5703125" style="2" customWidth="1"/>
    <col min="3827" max="3827" width="96.85546875" style="2" customWidth="1"/>
    <col min="3828" max="3828" width="30.85546875" style="2" customWidth="1"/>
    <col min="3829" max="3829" width="12.5703125" style="2" customWidth="1"/>
    <col min="3830" max="3830" width="5.140625" style="2" customWidth="1"/>
    <col min="3831" max="3831" width="9.140625" style="2"/>
    <col min="3832" max="3832" width="4.85546875" style="2" customWidth="1"/>
    <col min="3833" max="3833" width="30.5703125" style="2" customWidth="1"/>
    <col min="3834" max="3834" width="33.85546875" style="2" customWidth="1"/>
    <col min="3835" max="3835" width="5.140625" style="2" customWidth="1"/>
    <col min="3836" max="3837" width="17.5703125" style="2" customWidth="1"/>
    <col min="3838" max="4081" width="9.140625" style="2"/>
    <col min="4082" max="4082" width="3.5703125" style="2" customWidth="1"/>
    <col min="4083" max="4083" width="96.85546875" style="2" customWidth="1"/>
    <col min="4084" max="4084" width="30.85546875" style="2" customWidth="1"/>
    <col min="4085" max="4085" width="12.5703125" style="2" customWidth="1"/>
    <col min="4086" max="4086" width="5.140625" style="2" customWidth="1"/>
    <col min="4087" max="4087" width="9.140625" style="2"/>
    <col min="4088" max="4088" width="4.85546875" style="2" customWidth="1"/>
    <col min="4089" max="4089" width="30.5703125" style="2" customWidth="1"/>
    <col min="4090" max="4090" width="33.85546875" style="2" customWidth="1"/>
    <col min="4091" max="4091" width="5.140625" style="2" customWidth="1"/>
    <col min="4092" max="4093" width="17.5703125" style="2" customWidth="1"/>
    <col min="4094" max="4337" width="9.140625" style="2"/>
    <col min="4338" max="4338" width="3.5703125" style="2" customWidth="1"/>
    <col min="4339" max="4339" width="96.85546875" style="2" customWidth="1"/>
    <col min="4340" max="4340" width="30.85546875" style="2" customWidth="1"/>
    <col min="4341" max="4341" width="12.5703125" style="2" customWidth="1"/>
    <col min="4342" max="4342" width="5.140625" style="2" customWidth="1"/>
    <col min="4343" max="4343" width="9.140625" style="2"/>
    <col min="4344" max="4344" width="4.85546875" style="2" customWidth="1"/>
    <col min="4345" max="4345" width="30.5703125" style="2" customWidth="1"/>
    <col min="4346" max="4346" width="33.85546875" style="2" customWidth="1"/>
    <col min="4347" max="4347" width="5.140625" style="2" customWidth="1"/>
    <col min="4348" max="4349" width="17.5703125" style="2" customWidth="1"/>
    <col min="4350" max="4593" width="9.140625" style="2"/>
    <col min="4594" max="4594" width="3.5703125" style="2" customWidth="1"/>
    <col min="4595" max="4595" width="96.85546875" style="2" customWidth="1"/>
    <col min="4596" max="4596" width="30.85546875" style="2" customWidth="1"/>
    <col min="4597" max="4597" width="12.5703125" style="2" customWidth="1"/>
    <col min="4598" max="4598" width="5.140625" style="2" customWidth="1"/>
    <col min="4599" max="4599" width="9.140625" style="2"/>
    <col min="4600" max="4600" width="4.85546875" style="2" customWidth="1"/>
    <col min="4601" max="4601" width="30.5703125" style="2" customWidth="1"/>
    <col min="4602" max="4602" width="33.85546875" style="2" customWidth="1"/>
    <col min="4603" max="4603" width="5.140625" style="2" customWidth="1"/>
    <col min="4604" max="4605" width="17.5703125" style="2" customWidth="1"/>
    <col min="4606" max="4849" width="9.140625" style="2"/>
    <col min="4850" max="4850" width="3.5703125" style="2" customWidth="1"/>
    <col min="4851" max="4851" width="96.85546875" style="2" customWidth="1"/>
    <col min="4852" max="4852" width="30.85546875" style="2" customWidth="1"/>
    <col min="4853" max="4853" width="12.5703125" style="2" customWidth="1"/>
    <col min="4854" max="4854" width="5.140625" style="2" customWidth="1"/>
    <col min="4855" max="4855" width="9.140625" style="2"/>
    <col min="4856" max="4856" width="4.85546875" style="2" customWidth="1"/>
    <col min="4857" max="4857" width="30.5703125" style="2" customWidth="1"/>
    <col min="4858" max="4858" width="33.85546875" style="2" customWidth="1"/>
    <col min="4859" max="4859" width="5.140625" style="2" customWidth="1"/>
    <col min="4860" max="4861" width="17.5703125" style="2" customWidth="1"/>
    <col min="4862" max="5105" width="9.140625" style="2"/>
    <col min="5106" max="5106" width="3.5703125" style="2" customWidth="1"/>
    <col min="5107" max="5107" width="96.85546875" style="2" customWidth="1"/>
    <col min="5108" max="5108" width="30.85546875" style="2" customWidth="1"/>
    <col min="5109" max="5109" width="12.5703125" style="2" customWidth="1"/>
    <col min="5110" max="5110" width="5.140625" style="2" customWidth="1"/>
    <col min="5111" max="5111" width="9.140625" style="2"/>
    <col min="5112" max="5112" width="4.85546875" style="2" customWidth="1"/>
    <col min="5113" max="5113" width="30.5703125" style="2" customWidth="1"/>
    <col min="5114" max="5114" width="33.85546875" style="2" customWidth="1"/>
    <col min="5115" max="5115" width="5.140625" style="2" customWidth="1"/>
    <col min="5116" max="5117" width="17.5703125" style="2" customWidth="1"/>
    <col min="5118" max="5361" width="9.140625" style="2"/>
    <col min="5362" max="5362" width="3.5703125" style="2" customWidth="1"/>
    <col min="5363" max="5363" width="96.85546875" style="2" customWidth="1"/>
    <col min="5364" max="5364" width="30.85546875" style="2" customWidth="1"/>
    <col min="5365" max="5365" width="12.5703125" style="2" customWidth="1"/>
    <col min="5366" max="5366" width="5.140625" style="2" customWidth="1"/>
    <col min="5367" max="5367" width="9.140625" style="2"/>
    <col min="5368" max="5368" width="4.85546875" style="2" customWidth="1"/>
    <col min="5369" max="5369" width="30.5703125" style="2" customWidth="1"/>
    <col min="5370" max="5370" width="33.85546875" style="2" customWidth="1"/>
    <col min="5371" max="5371" width="5.140625" style="2" customWidth="1"/>
    <col min="5372" max="5373" width="17.5703125" style="2" customWidth="1"/>
    <col min="5374" max="5617" width="9.140625" style="2"/>
    <col min="5618" max="5618" width="3.5703125" style="2" customWidth="1"/>
    <col min="5619" max="5619" width="96.85546875" style="2" customWidth="1"/>
    <col min="5620" max="5620" width="30.85546875" style="2" customWidth="1"/>
    <col min="5621" max="5621" width="12.5703125" style="2" customWidth="1"/>
    <col min="5622" max="5622" width="5.140625" style="2" customWidth="1"/>
    <col min="5623" max="5623" width="9.140625" style="2"/>
    <col min="5624" max="5624" width="4.85546875" style="2" customWidth="1"/>
    <col min="5625" max="5625" width="30.5703125" style="2" customWidth="1"/>
    <col min="5626" max="5626" width="33.85546875" style="2" customWidth="1"/>
    <col min="5627" max="5627" width="5.140625" style="2" customWidth="1"/>
    <col min="5628" max="5629" width="17.5703125" style="2" customWidth="1"/>
    <col min="5630" max="5873" width="9.140625" style="2"/>
    <col min="5874" max="5874" width="3.5703125" style="2" customWidth="1"/>
    <col min="5875" max="5875" width="96.85546875" style="2" customWidth="1"/>
    <col min="5876" max="5876" width="30.85546875" style="2" customWidth="1"/>
    <col min="5877" max="5877" width="12.5703125" style="2" customWidth="1"/>
    <col min="5878" max="5878" width="5.140625" style="2" customWidth="1"/>
    <col min="5879" max="5879" width="9.140625" style="2"/>
    <col min="5880" max="5880" width="4.85546875" style="2" customWidth="1"/>
    <col min="5881" max="5881" width="30.5703125" style="2" customWidth="1"/>
    <col min="5882" max="5882" width="33.85546875" style="2" customWidth="1"/>
    <col min="5883" max="5883" width="5.140625" style="2" customWidth="1"/>
    <col min="5884" max="5885" width="17.5703125" style="2" customWidth="1"/>
    <col min="5886" max="6129" width="9.140625" style="2"/>
    <col min="6130" max="6130" width="3.5703125" style="2" customWidth="1"/>
    <col min="6131" max="6131" width="96.85546875" style="2" customWidth="1"/>
    <col min="6132" max="6132" width="30.85546875" style="2" customWidth="1"/>
    <col min="6133" max="6133" width="12.5703125" style="2" customWidth="1"/>
    <col min="6134" max="6134" width="5.140625" style="2" customWidth="1"/>
    <col min="6135" max="6135" width="9.140625" style="2"/>
    <col min="6136" max="6136" width="4.85546875" style="2" customWidth="1"/>
    <col min="6137" max="6137" width="30.5703125" style="2" customWidth="1"/>
    <col min="6138" max="6138" width="33.85546875" style="2" customWidth="1"/>
    <col min="6139" max="6139" width="5.140625" style="2" customWidth="1"/>
    <col min="6140" max="6141" width="17.5703125" style="2" customWidth="1"/>
    <col min="6142" max="6385" width="9.140625" style="2"/>
    <col min="6386" max="6386" width="3.5703125" style="2" customWidth="1"/>
    <col min="6387" max="6387" width="96.85546875" style="2" customWidth="1"/>
    <col min="6388" max="6388" width="30.85546875" style="2" customWidth="1"/>
    <col min="6389" max="6389" width="12.5703125" style="2" customWidth="1"/>
    <col min="6390" max="6390" width="5.140625" style="2" customWidth="1"/>
    <col min="6391" max="6391" width="9.140625" style="2"/>
    <col min="6392" max="6392" width="4.85546875" style="2" customWidth="1"/>
    <col min="6393" max="6393" width="30.5703125" style="2" customWidth="1"/>
    <col min="6394" max="6394" width="33.85546875" style="2" customWidth="1"/>
    <col min="6395" max="6395" width="5.140625" style="2" customWidth="1"/>
    <col min="6396" max="6397" width="17.5703125" style="2" customWidth="1"/>
    <col min="6398" max="6641" width="9.140625" style="2"/>
    <col min="6642" max="6642" width="3.5703125" style="2" customWidth="1"/>
    <col min="6643" max="6643" width="96.85546875" style="2" customWidth="1"/>
    <col min="6644" max="6644" width="30.85546875" style="2" customWidth="1"/>
    <col min="6645" max="6645" width="12.5703125" style="2" customWidth="1"/>
    <col min="6646" max="6646" width="5.140625" style="2" customWidth="1"/>
    <col min="6647" max="6647" width="9.140625" style="2"/>
    <col min="6648" max="6648" width="4.85546875" style="2" customWidth="1"/>
    <col min="6649" max="6649" width="30.5703125" style="2" customWidth="1"/>
    <col min="6650" max="6650" width="33.85546875" style="2" customWidth="1"/>
    <col min="6651" max="6651" width="5.140625" style="2" customWidth="1"/>
    <col min="6652" max="6653" width="17.5703125" style="2" customWidth="1"/>
    <col min="6654" max="6897" width="9.140625" style="2"/>
    <col min="6898" max="6898" width="3.5703125" style="2" customWidth="1"/>
    <col min="6899" max="6899" width="96.85546875" style="2" customWidth="1"/>
    <col min="6900" max="6900" width="30.85546875" style="2" customWidth="1"/>
    <col min="6901" max="6901" width="12.5703125" style="2" customWidth="1"/>
    <col min="6902" max="6902" width="5.140625" style="2" customWidth="1"/>
    <col min="6903" max="6903" width="9.140625" style="2"/>
    <col min="6904" max="6904" width="4.85546875" style="2" customWidth="1"/>
    <col min="6905" max="6905" width="30.5703125" style="2" customWidth="1"/>
    <col min="6906" max="6906" width="33.85546875" style="2" customWidth="1"/>
    <col min="6907" max="6907" width="5.140625" style="2" customWidth="1"/>
    <col min="6908" max="6909" width="17.5703125" style="2" customWidth="1"/>
    <col min="6910" max="7153" width="9.140625" style="2"/>
    <col min="7154" max="7154" width="3.5703125" style="2" customWidth="1"/>
    <col min="7155" max="7155" width="96.85546875" style="2" customWidth="1"/>
    <col min="7156" max="7156" width="30.85546875" style="2" customWidth="1"/>
    <col min="7157" max="7157" width="12.5703125" style="2" customWidth="1"/>
    <col min="7158" max="7158" width="5.140625" style="2" customWidth="1"/>
    <col min="7159" max="7159" width="9.140625" style="2"/>
    <col min="7160" max="7160" width="4.85546875" style="2" customWidth="1"/>
    <col min="7161" max="7161" width="30.5703125" style="2" customWidth="1"/>
    <col min="7162" max="7162" width="33.85546875" style="2" customWidth="1"/>
    <col min="7163" max="7163" width="5.140625" style="2" customWidth="1"/>
    <col min="7164" max="7165" width="17.5703125" style="2" customWidth="1"/>
    <col min="7166" max="7409" width="9.140625" style="2"/>
    <col min="7410" max="7410" width="3.5703125" style="2" customWidth="1"/>
    <col min="7411" max="7411" width="96.85546875" style="2" customWidth="1"/>
    <col min="7412" max="7412" width="30.85546875" style="2" customWidth="1"/>
    <col min="7413" max="7413" width="12.5703125" style="2" customWidth="1"/>
    <col min="7414" max="7414" width="5.140625" style="2" customWidth="1"/>
    <col min="7415" max="7415" width="9.140625" style="2"/>
    <col min="7416" max="7416" width="4.85546875" style="2" customWidth="1"/>
    <col min="7417" max="7417" width="30.5703125" style="2" customWidth="1"/>
    <col min="7418" max="7418" width="33.85546875" style="2" customWidth="1"/>
    <col min="7419" max="7419" width="5.140625" style="2" customWidth="1"/>
    <col min="7420" max="7421" width="17.5703125" style="2" customWidth="1"/>
    <col min="7422" max="7665" width="9.140625" style="2"/>
    <col min="7666" max="7666" width="3.5703125" style="2" customWidth="1"/>
    <col min="7667" max="7667" width="96.85546875" style="2" customWidth="1"/>
    <col min="7668" max="7668" width="30.85546875" style="2" customWidth="1"/>
    <col min="7669" max="7669" width="12.5703125" style="2" customWidth="1"/>
    <col min="7670" max="7670" width="5.140625" style="2" customWidth="1"/>
    <col min="7671" max="7671" width="9.140625" style="2"/>
    <col min="7672" max="7672" width="4.85546875" style="2" customWidth="1"/>
    <col min="7673" max="7673" width="30.5703125" style="2" customWidth="1"/>
    <col min="7674" max="7674" width="33.85546875" style="2" customWidth="1"/>
    <col min="7675" max="7675" width="5.140625" style="2" customWidth="1"/>
    <col min="7676" max="7677" width="17.5703125" style="2" customWidth="1"/>
    <col min="7678" max="7921" width="9.140625" style="2"/>
    <col min="7922" max="7922" width="3.5703125" style="2" customWidth="1"/>
    <col min="7923" max="7923" width="96.85546875" style="2" customWidth="1"/>
    <col min="7924" max="7924" width="30.85546875" style="2" customWidth="1"/>
    <col min="7925" max="7925" width="12.5703125" style="2" customWidth="1"/>
    <col min="7926" max="7926" width="5.140625" style="2" customWidth="1"/>
    <col min="7927" max="7927" width="9.140625" style="2"/>
    <col min="7928" max="7928" width="4.85546875" style="2" customWidth="1"/>
    <col min="7929" max="7929" width="30.5703125" style="2" customWidth="1"/>
    <col min="7930" max="7930" width="33.85546875" style="2" customWidth="1"/>
    <col min="7931" max="7931" width="5.140625" style="2" customWidth="1"/>
    <col min="7932" max="7933" width="17.5703125" style="2" customWidth="1"/>
    <col min="7934" max="8177" width="9.140625" style="2"/>
    <col min="8178" max="8178" width="3.5703125" style="2" customWidth="1"/>
    <col min="8179" max="8179" width="96.85546875" style="2" customWidth="1"/>
    <col min="8180" max="8180" width="30.85546875" style="2" customWidth="1"/>
    <col min="8181" max="8181" width="12.5703125" style="2" customWidth="1"/>
    <col min="8182" max="8182" width="5.140625" style="2" customWidth="1"/>
    <col min="8183" max="8183" width="9.140625" style="2"/>
    <col min="8184" max="8184" width="4.85546875" style="2" customWidth="1"/>
    <col min="8185" max="8185" width="30.5703125" style="2" customWidth="1"/>
    <col min="8186" max="8186" width="33.85546875" style="2" customWidth="1"/>
    <col min="8187" max="8187" width="5.140625" style="2" customWidth="1"/>
    <col min="8188" max="8189" width="17.5703125" style="2" customWidth="1"/>
    <col min="8190" max="8433" width="9.140625" style="2"/>
    <col min="8434" max="8434" width="3.5703125" style="2" customWidth="1"/>
    <col min="8435" max="8435" width="96.85546875" style="2" customWidth="1"/>
    <col min="8436" max="8436" width="30.85546875" style="2" customWidth="1"/>
    <col min="8437" max="8437" width="12.5703125" style="2" customWidth="1"/>
    <col min="8438" max="8438" width="5.140625" style="2" customWidth="1"/>
    <col min="8439" max="8439" width="9.140625" style="2"/>
    <col min="8440" max="8440" width="4.85546875" style="2" customWidth="1"/>
    <col min="8441" max="8441" width="30.5703125" style="2" customWidth="1"/>
    <col min="8442" max="8442" width="33.85546875" style="2" customWidth="1"/>
    <col min="8443" max="8443" width="5.140625" style="2" customWidth="1"/>
    <col min="8444" max="8445" width="17.5703125" style="2" customWidth="1"/>
    <col min="8446" max="8689" width="9.140625" style="2"/>
    <col min="8690" max="8690" width="3.5703125" style="2" customWidth="1"/>
    <col min="8691" max="8691" width="96.85546875" style="2" customWidth="1"/>
    <col min="8692" max="8692" width="30.85546875" style="2" customWidth="1"/>
    <col min="8693" max="8693" width="12.5703125" style="2" customWidth="1"/>
    <col min="8694" max="8694" width="5.140625" style="2" customWidth="1"/>
    <col min="8695" max="8695" width="9.140625" style="2"/>
    <col min="8696" max="8696" width="4.85546875" style="2" customWidth="1"/>
    <col min="8697" max="8697" width="30.5703125" style="2" customWidth="1"/>
    <col min="8698" max="8698" width="33.85546875" style="2" customWidth="1"/>
    <col min="8699" max="8699" width="5.140625" style="2" customWidth="1"/>
    <col min="8700" max="8701" width="17.5703125" style="2" customWidth="1"/>
    <col min="8702" max="8945" width="9.140625" style="2"/>
    <col min="8946" max="8946" width="3.5703125" style="2" customWidth="1"/>
    <col min="8947" max="8947" width="96.85546875" style="2" customWidth="1"/>
    <col min="8948" max="8948" width="30.85546875" style="2" customWidth="1"/>
    <col min="8949" max="8949" width="12.5703125" style="2" customWidth="1"/>
    <col min="8950" max="8950" width="5.140625" style="2" customWidth="1"/>
    <col min="8951" max="8951" width="9.140625" style="2"/>
    <col min="8952" max="8952" width="4.85546875" style="2" customWidth="1"/>
    <col min="8953" max="8953" width="30.5703125" style="2" customWidth="1"/>
    <col min="8954" max="8954" width="33.85546875" style="2" customWidth="1"/>
    <col min="8955" max="8955" width="5.140625" style="2" customWidth="1"/>
    <col min="8956" max="8957" width="17.5703125" style="2" customWidth="1"/>
    <col min="8958" max="9201" width="9.140625" style="2"/>
    <col min="9202" max="9202" width="3.5703125" style="2" customWidth="1"/>
    <col min="9203" max="9203" width="96.85546875" style="2" customWidth="1"/>
    <col min="9204" max="9204" width="30.85546875" style="2" customWidth="1"/>
    <col min="9205" max="9205" width="12.5703125" style="2" customWidth="1"/>
    <col min="9206" max="9206" width="5.140625" style="2" customWidth="1"/>
    <col min="9207" max="9207" width="9.140625" style="2"/>
    <col min="9208" max="9208" width="4.85546875" style="2" customWidth="1"/>
    <col min="9209" max="9209" width="30.5703125" style="2" customWidth="1"/>
    <col min="9210" max="9210" width="33.85546875" style="2" customWidth="1"/>
    <col min="9211" max="9211" width="5.140625" style="2" customWidth="1"/>
    <col min="9212" max="9213" width="17.5703125" style="2" customWidth="1"/>
    <col min="9214" max="9457" width="9.140625" style="2"/>
    <col min="9458" max="9458" width="3.5703125" style="2" customWidth="1"/>
    <col min="9459" max="9459" width="96.85546875" style="2" customWidth="1"/>
    <col min="9460" max="9460" width="30.85546875" style="2" customWidth="1"/>
    <col min="9461" max="9461" width="12.5703125" style="2" customWidth="1"/>
    <col min="9462" max="9462" width="5.140625" style="2" customWidth="1"/>
    <col min="9463" max="9463" width="9.140625" style="2"/>
    <col min="9464" max="9464" width="4.85546875" style="2" customWidth="1"/>
    <col min="9465" max="9465" width="30.5703125" style="2" customWidth="1"/>
    <col min="9466" max="9466" width="33.85546875" style="2" customWidth="1"/>
    <col min="9467" max="9467" width="5.140625" style="2" customWidth="1"/>
    <col min="9468" max="9469" width="17.5703125" style="2" customWidth="1"/>
    <col min="9470" max="9713" width="9.140625" style="2"/>
    <col min="9714" max="9714" width="3.5703125" style="2" customWidth="1"/>
    <col min="9715" max="9715" width="96.85546875" style="2" customWidth="1"/>
    <col min="9716" max="9716" width="30.85546875" style="2" customWidth="1"/>
    <col min="9717" max="9717" width="12.5703125" style="2" customWidth="1"/>
    <col min="9718" max="9718" width="5.140625" style="2" customWidth="1"/>
    <col min="9719" max="9719" width="9.140625" style="2"/>
    <col min="9720" max="9720" width="4.85546875" style="2" customWidth="1"/>
    <col min="9721" max="9721" width="30.5703125" style="2" customWidth="1"/>
    <col min="9722" max="9722" width="33.85546875" style="2" customWidth="1"/>
    <col min="9723" max="9723" width="5.140625" style="2" customWidth="1"/>
    <col min="9724" max="9725" width="17.5703125" style="2" customWidth="1"/>
    <col min="9726" max="9969" width="9.140625" style="2"/>
    <col min="9970" max="9970" width="3.5703125" style="2" customWidth="1"/>
    <col min="9971" max="9971" width="96.85546875" style="2" customWidth="1"/>
    <col min="9972" max="9972" width="30.85546875" style="2" customWidth="1"/>
    <col min="9973" max="9973" width="12.5703125" style="2" customWidth="1"/>
    <col min="9974" max="9974" width="5.140625" style="2" customWidth="1"/>
    <col min="9975" max="9975" width="9.140625" style="2"/>
    <col min="9976" max="9976" width="4.85546875" style="2" customWidth="1"/>
    <col min="9977" max="9977" width="30.5703125" style="2" customWidth="1"/>
    <col min="9978" max="9978" width="33.85546875" style="2" customWidth="1"/>
    <col min="9979" max="9979" width="5.140625" style="2" customWidth="1"/>
    <col min="9980" max="9981" width="17.5703125" style="2" customWidth="1"/>
    <col min="9982" max="10225" width="9.140625" style="2"/>
    <col min="10226" max="10226" width="3.5703125" style="2" customWidth="1"/>
    <col min="10227" max="10227" width="96.85546875" style="2" customWidth="1"/>
    <col min="10228" max="10228" width="30.85546875" style="2" customWidth="1"/>
    <col min="10229" max="10229" width="12.5703125" style="2" customWidth="1"/>
    <col min="10230" max="10230" width="5.140625" style="2" customWidth="1"/>
    <col min="10231" max="10231" width="9.140625" style="2"/>
    <col min="10232" max="10232" width="4.85546875" style="2" customWidth="1"/>
    <col min="10233" max="10233" width="30.5703125" style="2" customWidth="1"/>
    <col min="10234" max="10234" width="33.85546875" style="2" customWidth="1"/>
    <col min="10235" max="10235" width="5.140625" style="2" customWidth="1"/>
    <col min="10236" max="10237" width="17.5703125" style="2" customWidth="1"/>
    <col min="10238" max="10481" width="9.140625" style="2"/>
    <col min="10482" max="10482" width="3.5703125" style="2" customWidth="1"/>
    <col min="10483" max="10483" width="96.85546875" style="2" customWidth="1"/>
    <col min="10484" max="10484" width="30.85546875" style="2" customWidth="1"/>
    <col min="10485" max="10485" width="12.5703125" style="2" customWidth="1"/>
    <col min="10486" max="10486" width="5.140625" style="2" customWidth="1"/>
    <col min="10487" max="10487" width="9.140625" style="2"/>
    <col min="10488" max="10488" width="4.85546875" style="2" customWidth="1"/>
    <col min="10489" max="10489" width="30.5703125" style="2" customWidth="1"/>
    <col min="10490" max="10490" width="33.85546875" style="2" customWidth="1"/>
    <col min="10491" max="10491" width="5.140625" style="2" customWidth="1"/>
    <col min="10492" max="10493" width="17.5703125" style="2" customWidth="1"/>
    <col min="10494" max="10737" width="9.140625" style="2"/>
    <col min="10738" max="10738" width="3.5703125" style="2" customWidth="1"/>
    <col min="10739" max="10739" width="96.85546875" style="2" customWidth="1"/>
    <col min="10740" max="10740" width="30.85546875" style="2" customWidth="1"/>
    <col min="10741" max="10741" width="12.5703125" style="2" customWidth="1"/>
    <col min="10742" max="10742" width="5.140625" style="2" customWidth="1"/>
    <col min="10743" max="10743" width="9.140625" style="2"/>
    <col min="10744" max="10744" width="4.85546875" style="2" customWidth="1"/>
    <col min="10745" max="10745" width="30.5703125" style="2" customWidth="1"/>
    <col min="10746" max="10746" width="33.85546875" style="2" customWidth="1"/>
    <col min="10747" max="10747" width="5.140625" style="2" customWidth="1"/>
    <col min="10748" max="10749" width="17.5703125" style="2" customWidth="1"/>
    <col min="10750" max="10993" width="9.140625" style="2"/>
    <col min="10994" max="10994" width="3.5703125" style="2" customWidth="1"/>
    <col min="10995" max="10995" width="96.85546875" style="2" customWidth="1"/>
    <col min="10996" max="10996" width="30.85546875" style="2" customWidth="1"/>
    <col min="10997" max="10997" width="12.5703125" style="2" customWidth="1"/>
    <col min="10998" max="10998" width="5.140625" style="2" customWidth="1"/>
    <col min="10999" max="10999" width="9.140625" style="2"/>
    <col min="11000" max="11000" width="4.85546875" style="2" customWidth="1"/>
    <col min="11001" max="11001" width="30.5703125" style="2" customWidth="1"/>
    <col min="11002" max="11002" width="33.85546875" style="2" customWidth="1"/>
    <col min="11003" max="11003" width="5.140625" style="2" customWidth="1"/>
    <col min="11004" max="11005" width="17.5703125" style="2" customWidth="1"/>
    <col min="11006" max="11249" width="9.140625" style="2"/>
    <col min="11250" max="11250" width="3.5703125" style="2" customWidth="1"/>
    <col min="11251" max="11251" width="96.85546875" style="2" customWidth="1"/>
    <col min="11252" max="11252" width="30.85546875" style="2" customWidth="1"/>
    <col min="11253" max="11253" width="12.5703125" style="2" customWidth="1"/>
    <col min="11254" max="11254" width="5.140625" style="2" customWidth="1"/>
    <col min="11255" max="11255" width="9.140625" style="2"/>
    <col min="11256" max="11256" width="4.85546875" style="2" customWidth="1"/>
    <col min="11257" max="11257" width="30.5703125" style="2" customWidth="1"/>
    <col min="11258" max="11258" width="33.85546875" style="2" customWidth="1"/>
    <col min="11259" max="11259" width="5.140625" style="2" customWidth="1"/>
    <col min="11260" max="11261" width="17.5703125" style="2" customWidth="1"/>
    <col min="11262" max="11505" width="9.140625" style="2"/>
    <col min="11506" max="11506" width="3.5703125" style="2" customWidth="1"/>
    <col min="11507" max="11507" width="96.85546875" style="2" customWidth="1"/>
    <col min="11508" max="11508" width="30.85546875" style="2" customWidth="1"/>
    <col min="11509" max="11509" width="12.5703125" style="2" customWidth="1"/>
    <col min="11510" max="11510" width="5.140625" style="2" customWidth="1"/>
    <col min="11511" max="11511" width="9.140625" style="2"/>
    <col min="11512" max="11512" width="4.85546875" style="2" customWidth="1"/>
    <col min="11513" max="11513" width="30.5703125" style="2" customWidth="1"/>
    <col min="11514" max="11514" width="33.85546875" style="2" customWidth="1"/>
    <col min="11515" max="11515" width="5.140625" style="2" customWidth="1"/>
    <col min="11516" max="11517" width="17.5703125" style="2" customWidth="1"/>
    <col min="11518" max="11761" width="9.140625" style="2"/>
    <col min="11762" max="11762" width="3.5703125" style="2" customWidth="1"/>
    <col min="11763" max="11763" width="96.85546875" style="2" customWidth="1"/>
    <col min="11764" max="11764" width="30.85546875" style="2" customWidth="1"/>
    <col min="11765" max="11765" width="12.5703125" style="2" customWidth="1"/>
    <col min="11766" max="11766" width="5.140625" style="2" customWidth="1"/>
    <col min="11767" max="11767" width="9.140625" style="2"/>
    <col min="11768" max="11768" width="4.85546875" style="2" customWidth="1"/>
    <col min="11769" max="11769" width="30.5703125" style="2" customWidth="1"/>
    <col min="11770" max="11770" width="33.85546875" style="2" customWidth="1"/>
    <col min="11771" max="11771" width="5.140625" style="2" customWidth="1"/>
    <col min="11772" max="11773" width="17.5703125" style="2" customWidth="1"/>
    <col min="11774" max="12017" width="9.140625" style="2"/>
    <col min="12018" max="12018" width="3.5703125" style="2" customWidth="1"/>
    <col min="12019" max="12019" width="96.85546875" style="2" customWidth="1"/>
    <col min="12020" max="12020" width="30.85546875" style="2" customWidth="1"/>
    <col min="12021" max="12021" width="12.5703125" style="2" customWidth="1"/>
    <col min="12022" max="12022" width="5.140625" style="2" customWidth="1"/>
    <col min="12023" max="12023" width="9.140625" style="2"/>
    <col min="12024" max="12024" width="4.85546875" style="2" customWidth="1"/>
    <col min="12025" max="12025" width="30.5703125" style="2" customWidth="1"/>
    <col min="12026" max="12026" width="33.85546875" style="2" customWidth="1"/>
    <col min="12027" max="12027" width="5.140625" style="2" customWidth="1"/>
    <col min="12028" max="12029" width="17.5703125" style="2" customWidth="1"/>
    <col min="12030" max="12273" width="9.140625" style="2"/>
    <col min="12274" max="12274" width="3.5703125" style="2" customWidth="1"/>
    <col min="12275" max="12275" width="96.85546875" style="2" customWidth="1"/>
    <col min="12276" max="12276" width="30.85546875" style="2" customWidth="1"/>
    <col min="12277" max="12277" width="12.5703125" style="2" customWidth="1"/>
    <col min="12278" max="12278" width="5.140625" style="2" customWidth="1"/>
    <col min="12279" max="12279" width="9.140625" style="2"/>
    <col min="12280" max="12280" width="4.85546875" style="2" customWidth="1"/>
    <col min="12281" max="12281" width="30.5703125" style="2" customWidth="1"/>
    <col min="12282" max="12282" width="33.85546875" style="2" customWidth="1"/>
    <col min="12283" max="12283" width="5.140625" style="2" customWidth="1"/>
    <col min="12284" max="12285" width="17.5703125" style="2" customWidth="1"/>
    <col min="12286" max="12529" width="9.140625" style="2"/>
    <col min="12530" max="12530" width="3.5703125" style="2" customWidth="1"/>
    <col min="12531" max="12531" width="96.85546875" style="2" customWidth="1"/>
    <col min="12532" max="12532" width="30.85546875" style="2" customWidth="1"/>
    <col min="12533" max="12533" width="12.5703125" style="2" customWidth="1"/>
    <col min="12534" max="12534" width="5.140625" style="2" customWidth="1"/>
    <col min="12535" max="12535" width="9.140625" style="2"/>
    <col min="12536" max="12536" width="4.85546875" style="2" customWidth="1"/>
    <col min="12537" max="12537" width="30.5703125" style="2" customWidth="1"/>
    <col min="12538" max="12538" width="33.85546875" style="2" customWidth="1"/>
    <col min="12539" max="12539" width="5.140625" style="2" customWidth="1"/>
    <col min="12540" max="12541" width="17.5703125" style="2" customWidth="1"/>
    <col min="12542" max="12785" width="9.140625" style="2"/>
    <col min="12786" max="12786" width="3.5703125" style="2" customWidth="1"/>
    <col min="12787" max="12787" width="96.85546875" style="2" customWidth="1"/>
    <col min="12788" max="12788" width="30.85546875" style="2" customWidth="1"/>
    <col min="12789" max="12789" width="12.5703125" style="2" customWidth="1"/>
    <col min="12790" max="12790" width="5.140625" style="2" customWidth="1"/>
    <col min="12791" max="12791" width="9.140625" style="2"/>
    <col min="12792" max="12792" width="4.85546875" style="2" customWidth="1"/>
    <col min="12793" max="12793" width="30.5703125" style="2" customWidth="1"/>
    <col min="12794" max="12794" width="33.85546875" style="2" customWidth="1"/>
    <col min="12795" max="12795" width="5.140625" style="2" customWidth="1"/>
    <col min="12796" max="12797" width="17.5703125" style="2" customWidth="1"/>
    <col min="12798" max="13041" width="9.140625" style="2"/>
    <col min="13042" max="13042" width="3.5703125" style="2" customWidth="1"/>
    <col min="13043" max="13043" width="96.85546875" style="2" customWidth="1"/>
    <col min="13044" max="13044" width="30.85546875" style="2" customWidth="1"/>
    <col min="13045" max="13045" width="12.5703125" style="2" customWidth="1"/>
    <col min="13046" max="13046" width="5.140625" style="2" customWidth="1"/>
    <col min="13047" max="13047" width="9.140625" style="2"/>
    <col min="13048" max="13048" width="4.85546875" style="2" customWidth="1"/>
    <col min="13049" max="13049" width="30.5703125" style="2" customWidth="1"/>
    <col min="13050" max="13050" width="33.85546875" style="2" customWidth="1"/>
    <col min="13051" max="13051" width="5.140625" style="2" customWidth="1"/>
    <col min="13052" max="13053" width="17.5703125" style="2" customWidth="1"/>
    <col min="13054" max="13297" width="9.140625" style="2"/>
    <col min="13298" max="13298" width="3.5703125" style="2" customWidth="1"/>
    <col min="13299" max="13299" width="96.85546875" style="2" customWidth="1"/>
    <col min="13300" max="13300" width="30.85546875" style="2" customWidth="1"/>
    <col min="13301" max="13301" width="12.5703125" style="2" customWidth="1"/>
    <col min="13302" max="13302" width="5.140625" style="2" customWidth="1"/>
    <col min="13303" max="13303" width="9.140625" style="2"/>
    <col min="13304" max="13304" width="4.85546875" style="2" customWidth="1"/>
    <col min="13305" max="13305" width="30.5703125" style="2" customWidth="1"/>
    <col min="13306" max="13306" width="33.85546875" style="2" customWidth="1"/>
    <col min="13307" max="13307" width="5.140625" style="2" customWidth="1"/>
    <col min="13308" max="13309" width="17.5703125" style="2" customWidth="1"/>
    <col min="13310" max="13553" width="9.140625" style="2"/>
    <col min="13554" max="13554" width="3.5703125" style="2" customWidth="1"/>
    <col min="13555" max="13555" width="96.85546875" style="2" customWidth="1"/>
    <col min="13556" max="13556" width="30.85546875" style="2" customWidth="1"/>
    <col min="13557" max="13557" width="12.5703125" style="2" customWidth="1"/>
    <col min="13558" max="13558" width="5.140625" style="2" customWidth="1"/>
    <col min="13559" max="13559" width="9.140625" style="2"/>
    <col min="13560" max="13560" width="4.85546875" style="2" customWidth="1"/>
    <col min="13561" max="13561" width="30.5703125" style="2" customWidth="1"/>
    <col min="13562" max="13562" width="33.85546875" style="2" customWidth="1"/>
    <col min="13563" max="13563" width="5.140625" style="2" customWidth="1"/>
    <col min="13564" max="13565" width="17.5703125" style="2" customWidth="1"/>
    <col min="13566" max="13809" width="9.140625" style="2"/>
    <col min="13810" max="13810" width="3.5703125" style="2" customWidth="1"/>
    <col min="13811" max="13811" width="96.85546875" style="2" customWidth="1"/>
    <col min="13812" max="13812" width="30.85546875" style="2" customWidth="1"/>
    <col min="13813" max="13813" width="12.5703125" style="2" customWidth="1"/>
    <col min="13814" max="13814" width="5.140625" style="2" customWidth="1"/>
    <col min="13815" max="13815" width="9.140625" style="2"/>
    <col min="13816" max="13816" width="4.85546875" style="2" customWidth="1"/>
    <col min="13817" max="13817" width="30.5703125" style="2" customWidth="1"/>
    <col min="13818" max="13818" width="33.85546875" style="2" customWidth="1"/>
    <col min="13819" max="13819" width="5.140625" style="2" customWidth="1"/>
    <col min="13820" max="13821" width="17.5703125" style="2" customWidth="1"/>
    <col min="13822" max="14065" width="9.140625" style="2"/>
    <col min="14066" max="14066" width="3.5703125" style="2" customWidth="1"/>
    <col min="14067" max="14067" width="96.85546875" style="2" customWidth="1"/>
    <col min="14068" max="14068" width="30.85546875" style="2" customWidth="1"/>
    <col min="14069" max="14069" width="12.5703125" style="2" customWidth="1"/>
    <col min="14070" max="14070" width="5.140625" style="2" customWidth="1"/>
    <col min="14071" max="14071" width="9.140625" style="2"/>
    <col min="14072" max="14072" width="4.85546875" style="2" customWidth="1"/>
    <col min="14073" max="14073" width="30.5703125" style="2" customWidth="1"/>
    <col min="14074" max="14074" width="33.85546875" style="2" customWidth="1"/>
    <col min="14075" max="14075" width="5.140625" style="2" customWidth="1"/>
    <col min="14076" max="14077" width="17.5703125" style="2" customWidth="1"/>
    <col min="14078" max="14321" width="9.140625" style="2"/>
    <col min="14322" max="14322" width="3.5703125" style="2" customWidth="1"/>
    <col min="14323" max="14323" width="96.85546875" style="2" customWidth="1"/>
    <col min="14324" max="14324" width="30.85546875" style="2" customWidth="1"/>
    <col min="14325" max="14325" width="12.5703125" style="2" customWidth="1"/>
    <col min="14326" max="14326" width="5.140625" style="2" customWidth="1"/>
    <col min="14327" max="14327" width="9.140625" style="2"/>
    <col min="14328" max="14328" width="4.85546875" style="2" customWidth="1"/>
    <col min="14329" max="14329" width="30.5703125" style="2" customWidth="1"/>
    <col min="14330" max="14330" width="33.85546875" style="2" customWidth="1"/>
    <col min="14331" max="14331" width="5.140625" style="2" customWidth="1"/>
    <col min="14332" max="14333" width="17.5703125" style="2" customWidth="1"/>
    <col min="14334" max="14577" width="9.140625" style="2"/>
    <col min="14578" max="14578" width="3.5703125" style="2" customWidth="1"/>
    <col min="14579" max="14579" width="96.85546875" style="2" customWidth="1"/>
    <col min="14580" max="14580" width="30.85546875" style="2" customWidth="1"/>
    <col min="14581" max="14581" width="12.5703125" style="2" customWidth="1"/>
    <col min="14582" max="14582" width="5.140625" style="2" customWidth="1"/>
    <col min="14583" max="14583" width="9.140625" style="2"/>
    <col min="14584" max="14584" width="4.85546875" style="2" customWidth="1"/>
    <col min="14585" max="14585" width="30.5703125" style="2" customWidth="1"/>
    <col min="14586" max="14586" width="33.85546875" style="2" customWidth="1"/>
    <col min="14587" max="14587" width="5.140625" style="2" customWidth="1"/>
    <col min="14588" max="14589" width="17.5703125" style="2" customWidth="1"/>
    <col min="14590" max="14833" width="9.140625" style="2"/>
    <col min="14834" max="14834" width="3.5703125" style="2" customWidth="1"/>
    <col min="14835" max="14835" width="96.85546875" style="2" customWidth="1"/>
    <col min="14836" max="14836" width="30.85546875" style="2" customWidth="1"/>
    <col min="14837" max="14837" width="12.5703125" style="2" customWidth="1"/>
    <col min="14838" max="14838" width="5.140625" style="2" customWidth="1"/>
    <col min="14839" max="14839" width="9.140625" style="2"/>
    <col min="14840" max="14840" width="4.85546875" style="2" customWidth="1"/>
    <col min="14841" max="14841" width="30.5703125" style="2" customWidth="1"/>
    <col min="14842" max="14842" width="33.85546875" style="2" customWidth="1"/>
    <col min="14843" max="14843" width="5.140625" style="2" customWidth="1"/>
    <col min="14844" max="14845" width="17.5703125" style="2" customWidth="1"/>
    <col min="14846" max="15089" width="9.140625" style="2"/>
    <col min="15090" max="15090" width="3.5703125" style="2" customWidth="1"/>
    <col min="15091" max="15091" width="96.85546875" style="2" customWidth="1"/>
    <col min="15092" max="15092" width="30.85546875" style="2" customWidth="1"/>
    <col min="15093" max="15093" width="12.5703125" style="2" customWidth="1"/>
    <col min="15094" max="15094" width="5.140625" style="2" customWidth="1"/>
    <col min="15095" max="15095" width="9.140625" style="2"/>
    <col min="15096" max="15096" width="4.85546875" style="2" customWidth="1"/>
    <col min="15097" max="15097" width="30.5703125" style="2" customWidth="1"/>
    <col min="15098" max="15098" width="33.85546875" style="2" customWidth="1"/>
    <col min="15099" max="15099" width="5.140625" style="2" customWidth="1"/>
    <col min="15100" max="15101" width="17.5703125" style="2" customWidth="1"/>
    <col min="15102" max="15345" width="9.140625" style="2"/>
    <col min="15346" max="15346" width="3.5703125" style="2" customWidth="1"/>
    <col min="15347" max="15347" width="96.85546875" style="2" customWidth="1"/>
    <col min="15348" max="15348" width="30.85546875" style="2" customWidth="1"/>
    <col min="15349" max="15349" width="12.5703125" style="2" customWidth="1"/>
    <col min="15350" max="15350" width="5.140625" style="2" customWidth="1"/>
    <col min="15351" max="15351" width="9.140625" style="2"/>
    <col min="15352" max="15352" width="4.85546875" style="2" customWidth="1"/>
    <col min="15353" max="15353" width="30.5703125" style="2" customWidth="1"/>
    <col min="15354" max="15354" width="33.85546875" style="2" customWidth="1"/>
    <col min="15355" max="15355" width="5.140625" style="2" customWidth="1"/>
    <col min="15356" max="15357" width="17.5703125" style="2" customWidth="1"/>
    <col min="15358" max="15601" width="9.140625" style="2"/>
    <col min="15602" max="15602" width="3.5703125" style="2" customWidth="1"/>
    <col min="15603" max="15603" width="96.85546875" style="2" customWidth="1"/>
    <col min="15604" max="15604" width="30.85546875" style="2" customWidth="1"/>
    <col min="15605" max="15605" width="12.5703125" style="2" customWidth="1"/>
    <col min="15606" max="15606" width="5.140625" style="2" customWidth="1"/>
    <col min="15607" max="15607" width="9.140625" style="2"/>
    <col min="15608" max="15608" width="4.85546875" style="2" customWidth="1"/>
    <col min="15609" max="15609" width="30.5703125" style="2" customWidth="1"/>
    <col min="15610" max="15610" width="33.85546875" style="2" customWidth="1"/>
    <col min="15611" max="15611" width="5.140625" style="2" customWidth="1"/>
    <col min="15612" max="15613" width="17.5703125" style="2" customWidth="1"/>
    <col min="15614" max="15857" width="9.140625" style="2"/>
    <col min="15858" max="15858" width="3.5703125" style="2" customWidth="1"/>
    <col min="15859" max="15859" width="96.85546875" style="2" customWidth="1"/>
    <col min="15860" max="15860" width="30.85546875" style="2" customWidth="1"/>
    <col min="15861" max="15861" width="12.5703125" style="2" customWidth="1"/>
    <col min="15862" max="15862" width="5.140625" style="2" customWidth="1"/>
    <col min="15863" max="15863" width="9.140625" style="2"/>
    <col min="15864" max="15864" width="4.85546875" style="2" customWidth="1"/>
    <col min="15865" max="15865" width="30.5703125" style="2" customWidth="1"/>
    <col min="15866" max="15866" width="33.85546875" style="2" customWidth="1"/>
    <col min="15867" max="15867" width="5.140625" style="2" customWidth="1"/>
    <col min="15868" max="15869" width="17.5703125" style="2" customWidth="1"/>
    <col min="15870" max="16113" width="9.140625" style="2"/>
    <col min="16114" max="16114" width="3.5703125" style="2" customWidth="1"/>
    <col min="16115" max="16115" width="96.85546875" style="2" customWidth="1"/>
    <col min="16116" max="16116" width="30.85546875" style="2" customWidth="1"/>
    <col min="16117" max="16117" width="12.5703125" style="2" customWidth="1"/>
    <col min="16118" max="16118" width="5.140625" style="2" customWidth="1"/>
    <col min="16119" max="16119" width="9.140625" style="2"/>
    <col min="16120" max="16120" width="4.85546875" style="2" customWidth="1"/>
    <col min="16121" max="16121" width="30.5703125" style="2" customWidth="1"/>
    <col min="16122" max="16122" width="33.85546875" style="2" customWidth="1"/>
    <col min="16123" max="16123" width="5.140625" style="2" customWidth="1"/>
    <col min="16124" max="16125" width="17.5703125" style="2" customWidth="1"/>
    <col min="16126" max="16384" width="9.140625" style="2"/>
  </cols>
  <sheetData>
    <row r="1" spans="1:3" ht="48" customHeight="1">
      <c r="A1" s="1"/>
      <c r="B1" s="147" t="s">
        <v>0</v>
      </c>
      <c r="C1" s="147"/>
    </row>
    <row r="2" spans="1:3">
      <c r="A2" s="3"/>
      <c r="B2" s="4" t="s">
        <v>1</v>
      </c>
      <c r="C2" s="5">
        <v>45317</v>
      </c>
    </row>
    <row r="3" spans="1:3">
      <c r="A3" s="3"/>
      <c r="B3" s="6" t="s">
        <v>2</v>
      </c>
    </row>
    <row r="4" spans="1:3" ht="25.5">
      <c r="A4" s="8"/>
      <c r="B4" s="9" t="str">
        <f>[26]И1!D13</f>
        <v>Субъект Российской Федерации</v>
      </c>
      <c r="C4" s="10" t="str">
        <f>[26]И1!E13</f>
        <v>Новосибирская область</v>
      </c>
    </row>
    <row r="5" spans="1:3" ht="38.25">
      <c r="A5" s="8"/>
      <c r="B5" s="9" t="str">
        <f>[26]И1!D14</f>
        <v>Тип муниципального образования (выберите из списка)</v>
      </c>
      <c r="C5" s="10" t="str">
        <f>[26]И1!E14</f>
        <v>село Ярково, Новосибирский муниципальный район</v>
      </c>
    </row>
    <row r="6" spans="1:3">
      <c r="A6" s="8"/>
      <c r="B6" s="9" t="str">
        <f>IF([26]И1!E15="","",[26]И1!D15)</f>
        <v/>
      </c>
      <c r="C6" s="10" t="str">
        <f>IF([26]И1!E15="","",[26]И1!E15)</f>
        <v/>
      </c>
    </row>
    <row r="7" spans="1:3">
      <c r="A7" s="8"/>
      <c r="B7" s="9" t="str">
        <f>[26]И1!D16</f>
        <v>Код ОКТМО</v>
      </c>
      <c r="C7" s="11" t="str">
        <f>[26]И1!E16</f>
        <v xml:space="preserve"> 50640446101</v>
      </c>
    </row>
    <row r="8" spans="1:3">
      <c r="A8" s="8"/>
      <c r="B8" s="12" t="str">
        <f>[26]И1!D17</f>
        <v>Система теплоснабжения</v>
      </c>
      <c r="C8" s="13">
        <f>[26]И1!E17</f>
        <v>0</v>
      </c>
    </row>
    <row r="9" spans="1:3">
      <c r="A9" s="8"/>
      <c r="B9" s="9" t="str">
        <f>[26]И1!D8</f>
        <v>Период регулирования (i)-й</v>
      </c>
      <c r="C9" s="14">
        <f>[26]И1!E8</f>
        <v>2024</v>
      </c>
    </row>
    <row r="10" spans="1:3">
      <c r="A10" s="8"/>
      <c r="B10" s="9" t="str">
        <f>[26]И1!D9</f>
        <v>Период регулирования (i-1)-й</v>
      </c>
      <c r="C10" s="14">
        <f>[26]И1!E9</f>
        <v>2023</v>
      </c>
    </row>
    <row r="11" spans="1:3">
      <c r="A11" s="8"/>
      <c r="B11" s="9" t="str">
        <f>[26]И1!D10</f>
        <v>Период регулирования (i-2)-й</v>
      </c>
      <c r="C11" s="14">
        <f>[26]И1!E10</f>
        <v>2022</v>
      </c>
    </row>
    <row r="12" spans="1:3">
      <c r="A12" s="8"/>
      <c r="B12" s="9" t="str">
        <f>[26]И1!D11</f>
        <v>Базовый год (б)</v>
      </c>
      <c r="C12" s="14">
        <f>[26]И1!E11</f>
        <v>2019</v>
      </c>
    </row>
    <row r="13" spans="1:3" ht="38.25">
      <c r="A13" s="8"/>
      <c r="B13" s="9" t="str">
        <f>[26]И1!D18</f>
        <v>Вид топлива, использование которого преобладает в системе теплоснабжения</v>
      </c>
      <c r="C13" s="15" t="str">
        <f>[26]С1.1!E13</f>
        <v>уголь (вид угля не указан в топливном балансе)</v>
      </c>
    </row>
    <row r="14" spans="1:3" ht="31.7" customHeight="1" thickBot="1">
      <c r="A14" s="151" t="s">
        <v>3</v>
      </c>
      <c r="B14" s="151"/>
      <c r="C14" s="151"/>
    </row>
    <row r="15" spans="1:3">
      <c r="A15" s="16" t="s">
        <v>4</v>
      </c>
      <c r="B15" s="17" t="s">
        <v>5</v>
      </c>
      <c r="C15" s="18" t="s">
        <v>6</v>
      </c>
    </row>
    <row r="16" spans="1:3">
      <c r="A16" s="19">
        <v>1</v>
      </c>
      <c r="B16" s="20">
        <v>2</v>
      </c>
      <c r="C16" s="21">
        <v>3</v>
      </c>
    </row>
    <row r="17" spans="1:3">
      <c r="A17" s="22">
        <v>1</v>
      </c>
      <c r="B17" s="23" t="s">
        <v>7</v>
      </c>
      <c r="C17" s="24">
        <f>SUM(C18:C22)</f>
        <v>3608.0995910630722</v>
      </c>
    </row>
    <row r="18" spans="1:3" ht="42.75">
      <c r="A18" s="22" t="s">
        <v>8</v>
      </c>
      <c r="B18" s="25" t="s">
        <v>9</v>
      </c>
      <c r="C18" s="26">
        <f>[26]С1!F12</f>
        <v>602.5370654619162</v>
      </c>
    </row>
    <row r="19" spans="1:3" ht="42.75">
      <c r="A19" s="22" t="s">
        <v>10</v>
      </c>
      <c r="B19" s="25" t="s">
        <v>11</v>
      </c>
      <c r="C19" s="26">
        <f>[26]С2!F12</f>
        <v>1988.145782203278</v>
      </c>
    </row>
    <row r="20" spans="1:3" ht="30">
      <c r="A20" s="22" t="s">
        <v>12</v>
      </c>
      <c r="B20" s="25" t="s">
        <v>13</v>
      </c>
      <c r="C20" s="26">
        <f>[26]С3!F12</f>
        <v>472.46007696916996</v>
      </c>
    </row>
    <row r="21" spans="1:3" ht="42.75">
      <c r="A21" s="22" t="s">
        <v>14</v>
      </c>
      <c r="B21" s="25" t="s">
        <v>15</v>
      </c>
      <c r="C21" s="26">
        <f>[26]С4!F12</f>
        <v>474.20961562354915</v>
      </c>
    </row>
    <row r="22" spans="1:3" ht="30">
      <c r="A22" s="22" t="s">
        <v>16</v>
      </c>
      <c r="B22" s="25" t="s">
        <v>17</v>
      </c>
      <c r="C22" s="26">
        <f>[26]С5!F12</f>
        <v>70.747050805158281</v>
      </c>
    </row>
    <row r="23" spans="1:3" ht="43.5" thickBot="1">
      <c r="A23" s="27" t="s">
        <v>18</v>
      </c>
      <c r="B23" s="141" t="s">
        <v>19</v>
      </c>
      <c r="C23" s="28" t="str">
        <f>[26]С6!F12</f>
        <v>-</v>
      </c>
    </row>
    <row r="24" spans="1:3" ht="13.5" thickBot="1">
      <c r="A24" s="3"/>
    </row>
    <row r="25" spans="1:3">
      <c r="A25" s="16" t="s">
        <v>4</v>
      </c>
      <c r="B25" s="29" t="s">
        <v>5</v>
      </c>
      <c r="C25" s="30" t="s">
        <v>6</v>
      </c>
    </row>
    <row r="26" spans="1:3">
      <c r="A26" s="19">
        <v>1</v>
      </c>
      <c r="B26" s="31">
        <v>2</v>
      </c>
      <c r="C26" s="32">
        <v>3</v>
      </c>
    </row>
    <row r="27" spans="1:3" ht="30" customHeight="1">
      <c r="A27" s="22">
        <v>1</v>
      </c>
      <c r="B27" s="149" t="s">
        <v>20</v>
      </c>
      <c r="C27" s="149"/>
    </row>
    <row r="28" spans="1:3">
      <c r="A28" s="22" t="s">
        <v>8</v>
      </c>
      <c r="B28" s="33" t="s">
        <v>21</v>
      </c>
      <c r="C28" s="34">
        <f>[26]С1.1!E16</f>
        <v>5100</v>
      </c>
    </row>
    <row r="29" spans="1:3" ht="42.75">
      <c r="A29" s="22" t="s">
        <v>10</v>
      </c>
      <c r="B29" s="33" t="s">
        <v>22</v>
      </c>
      <c r="C29" s="34">
        <f>[26]С1.1!E27</f>
        <v>2707.2251864815084</v>
      </c>
    </row>
    <row r="30" spans="1:3" ht="17.25">
      <c r="A30" s="22" t="s">
        <v>12</v>
      </c>
      <c r="B30" s="33" t="s">
        <v>23</v>
      </c>
      <c r="C30" s="35">
        <f>[26]С1.1!E19</f>
        <v>-0.19900000000000001</v>
      </c>
    </row>
    <row r="31" spans="1:3" ht="17.25">
      <c r="A31" s="22" t="s">
        <v>14</v>
      </c>
      <c r="B31" s="33" t="s">
        <v>24</v>
      </c>
      <c r="C31" s="35">
        <f>[26]С1.1!E20</f>
        <v>5.7000000000000002E-2</v>
      </c>
    </row>
    <row r="32" spans="1:3" ht="30">
      <c r="A32" s="22" t="s">
        <v>16</v>
      </c>
      <c r="B32" s="36" t="s">
        <v>25</v>
      </c>
      <c r="C32" s="37">
        <f>[26]С1!F13</f>
        <v>176.4</v>
      </c>
    </row>
    <row r="33" spans="1:3">
      <c r="A33" s="22" t="s">
        <v>18</v>
      </c>
      <c r="B33" s="36" t="s">
        <v>26</v>
      </c>
      <c r="C33" s="38">
        <f>[26]С1!F16</f>
        <v>7000</v>
      </c>
    </row>
    <row r="34" spans="1:3" ht="14.25">
      <c r="A34" s="22" t="s">
        <v>27</v>
      </c>
      <c r="B34" s="39" t="s">
        <v>28</v>
      </c>
      <c r="C34" s="40">
        <f>[26]С1!F17</f>
        <v>0.72857142857142854</v>
      </c>
    </row>
    <row r="35" spans="1:3" ht="15.75">
      <c r="A35" s="41" t="s">
        <v>29</v>
      </c>
      <c r="B35" s="42" t="s">
        <v>30</v>
      </c>
      <c r="C35" s="40">
        <f>[26]С1!F20</f>
        <v>21.588411179999994</v>
      </c>
    </row>
    <row r="36" spans="1:3" ht="15.75">
      <c r="A36" s="41" t="s">
        <v>31</v>
      </c>
      <c r="B36" s="43" t="s">
        <v>32</v>
      </c>
      <c r="C36" s="40">
        <f>[26]С1!F21</f>
        <v>20.818139999999996</v>
      </c>
    </row>
    <row r="37" spans="1:3" ht="14.25">
      <c r="A37" s="41" t="s">
        <v>33</v>
      </c>
      <c r="B37" s="44" t="s">
        <v>34</v>
      </c>
      <c r="C37" s="40">
        <f>[26]С1!F22</f>
        <v>1.0369999999999999</v>
      </c>
    </row>
    <row r="38" spans="1:3" ht="53.25" thickBot="1">
      <c r="A38" s="27" t="s">
        <v>35</v>
      </c>
      <c r="B38" s="45" t="s">
        <v>36</v>
      </c>
      <c r="C38" s="46">
        <f>[26]С1!F23</f>
        <v>1.0469999999999999</v>
      </c>
    </row>
    <row r="39" spans="1:3" ht="13.5" thickBot="1">
      <c r="A39" s="47"/>
      <c r="B39" s="48"/>
      <c r="C39" s="49"/>
    </row>
    <row r="40" spans="1:3" ht="30" customHeight="1">
      <c r="A40" s="50" t="s">
        <v>37</v>
      </c>
      <c r="B40" s="145" t="s">
        <v>38</v>
      </c>
      <c r="C40" s="145"/>
    </row>
    <row r="41" spans="1:3" ht="25.5">
      <c r="A41" s="22" t="s">
        <v>39</v>
      </c>
      <c r="B41" s="36" t="s">
        <v>40</v>
      </c>
      <c r="C41" s="51" t="str">
        <f>[26]С2.1!E12</f>
        <v>V</v>
      </c>
    </row>
    <row r="42" spans="1:3" ht="25.5">
      <c r="A42" s="22" t="s">
        <v>41</v>
      </c>
      <c r="B42" s="33" t="s">
        <v>42</v>
      </c>
      <c r="C42" s="51" t="str">
        <f>[26]С2.1!E13</f>
        <v>6 и менее баллов</v>
      </c>
    </row>
    <row r="43" spans="1:3" ht="25.5">
      <c r="A43" s="22" t="s">
        <v>43</v>
      </c>
      <c r="B43" s="33" t="s">
        <v>44</v>
      </c>
      <c r="C43" s="51" t="str">
        <f>[26]С2.1!E14</f>
        <v>от 200 до 500</v>
      </c>
    </row>
    <row r="44" spans="1:3" ht="25.5">
      <c r="A44" s="22" t="s">
        <v>45</v>
      </c>
      <c r="B44" s="33" t="s">
        <v>46</v>
      </c>
      <c r="C44" s="52" t="str">
        <f>[26]С2.1!E15</f>
        <v>нет</v>
      </c>
    </row>
    <row r="45" spans="1:3" ht="30">
      <c r="A45" s="22" t="s">
        <v>47</v>
      </c>
      <c r="B45" s="33" t="s">
        <v>48</v>
      </c>
      <c r="C45" s="34">
        <f>[26]С2!F18</f>
        <v>35106.652004551666</v>
      </c>
    </row>
    <row r="46" spans="1:3" ht="30">
      <c r="A46" s="22" t="s">
        <v>49</v>
      </c>
      <c r="B46" s="53" t="s">
        <v>50</v>
      </c>
      <c r="C46" s="34">
        <f>IF([26]С2!F19&gt;0,[26]С2!F19,[26]С2!F20)</f>
        <v>23441.524932855718</v>
      </c>
    </row>
    <row r="47" spans="1:3" ht="25.5">
      <c r="A47" s="22" t="s">
        <v>51</v>
      </c>
      <c r="B47" s="54" t="s">
        <v>52</v>
      </c>
      <c r="C47" s="34">
        <f>[26]С2.1!E19</f>
        <v>-37</v>
      </c>
    </row>
    <row r="48" spans="1:3" ht="25.5">
      <c r="A48" s="22" t="s">
        <v>53</v>
      </c>
      <c r="B48" s="54" t="s">
        <v>54</v>
      </c>
      <c r="C48" s="34" t="str">
        <f>[26]С2.1!E22</f>
        <v>нет</v>
      </c>
    </row>
    <row r="49" spans="1:3" ht="38.25">
      <c r="A49" s="22" t="s">
        <v>55</v>
      </c>
      <c r="B49" s="55" t="s">
        <v>56</v>
      </c>
      <c r="C49" s="34">
        <f>[26]С2.2!E10</f>
        <v>1287</v>
      </c>
    </row>
    <row r="50" spans="1:3" ht="25.5">
      <c r="A50" s="22" t="s">
        <v>57</v>
      </c>
      <c r="B50" s="56" t="s">
        <v>58</v>
      </c>
      <c r="C50" s="34">
        <f>[26]С2.2!E12</f>
        <v>5.97</v>
      </c>
    </row>
    <row r="51" spans="1:3" ht="52.5">
      <c r="A51" s="22" t="s">
        <v>59</v>
      </c>
      <c r="B51" s="57" t="s">
        <v>60</v>
      </c>
      <c r="C51" s="34">
        <f>[26]С2.2!E13</f>
        <v>1</v>
      </c>
    </row>
    <row r="52" spans="1:3" ht="27.75">
      <c r="A52" s="22" t="s">
        <v>61</v>
      </c>
      <c r="B52" s="56" t="s">
        <v>62</v>
      </c>
      <c r="C52" s="34">
        <f>[26]С2.2!E14</f>
        <v>12104</v>
      </c>
    </row>
    <row r="53" spans="1:3" ht="25.5">
      <c r="A53" s="22" t="s">
        <v>63</v>
      </c>
      <c r="B53" s="57" t="s">
        <v>64</v>
      </c>
      <c r="C53" s="35">
        <f>[26]С2.2!E15</f>
        <v>4.8000000000000001E-2</v>
      </c>
    </row>
    <row r="54" spans="1:3">
      <c r="A54" s="22" t="s">
        <v>65</v>
      </c>
      <c r="B54" s="57" t="s">
        <v>66</v>
      </c>
      <c r="C54" s="34">
        <f>[26]С2.2!E16</f>
        <v>1</v>
      </c>
    </row>
    <row r="55" spans="1:3" ht="15.75">
      <c r="A55" s="22" t="s">
        <v>67</v>
      </c>
      <c r="B55" s="58" t="s">
        <v>68</v>
      </c>
      <c r="C55" s="34">
        <f>[26]С2!F21</f>
        <v>1</v>
      </c>
    </row>
    <row r="56" spans="1:3" ht="30">
      <c r="A56" s="59" t="s">
        <v>69</v>
      </c>
      <c r="B56" s="33" t="s">
        <v>70</v>
      </c>
      <c r="C56" s="34">
        <f>[26]С2!F13</f>
        <v>183796.83936385796</v>
      </c>
    </row>
    <row r="57" spans="1:3" ht="30">
      <c r="A57" s="59" t="s">
        <v>71</v>
      </c>
      <c r="B57" s="58" t="s">
        <v>72</v>
      </c>
      <c r="C57" s="34">
        <f>[26]С2!F14</f>
        <v>113455</v>
      </c>
    </row>
    <row r="58" spans="1:3" ht="15.75">
      <c r="A58" s="59" t="s">
        <v>73</v>
      </c>
      <c r="B58" s="60" t="s">
        <v>74</v>
      </c>
      <c r="C58" s="40">
        <f>[26]С2!F15</f>
        <v>1.071</v>
      </c>
    </row>
    <row r="59" spans="1:3" ht="15.75">
      <c r="A59" s="59" t="s">
        <v>75</v>
      </c>
      <c r="B59" s="60" t="s">
        <v>76</v>
      </c>
      <c r="C59" s="40">
        <f>[26]С2!F16</f>
        <v>1</v>
      </c>
    </row>
    <row r="60" spans="1:3" ht="17.25">
      <c r="A60" s="59" t="s">
        <v>77</v>
      </c>
      <c r="B60" s="58" t="s">
        <v>78</v>
      </c>
      <c r="C60" s="34">
        <f>[26]С2!F17</f>
        <v>1.01</v>
      </c>
    </row>
    <row r="61" spans="1:3" s="63" customFormat="1" ht="14.25">
      <c r="A61" s="59" t="s">
        <v>79</v>
      </c>
      <c r="B61" s="61" t="s">
        <v>80</v>
      </c>
      <c r="C61" s="62">
        <f>[26]С2!F33</f>
        <v>10</v>
      </c>
    </row>
    <row r="62" spans="1:3" ht="30">
      <c r="A62" s="59" t="s">
        <v>81</v>
      </c>
      <c r="B62" s="64" t="s">
        <v>82</v>
      </c>
      <c r="C62" s="34">
        <f>[26]С2!F26</f>
        <v>1189.8488364193513</v>
      </c>
    </row>
    <row r="63" spans="1:3" ht="17.25">
      <c r="A63" s="59" t="s">
        <v>83</v>
      </c>
      <c r="B63" s="53" t="s">
        <v>84</v>
      </c>
      <c r="C63" s="34">
        <f>[26]С2!F27</f>
        <v>0.18916419899999998</v>
      </c>
    </row>
    <row r="64" spans="1:3" ht="17.25">
      <c r="A64" s="59" t="s">
        <v>85</v>
      </c>
      <c r="B64" s="58" t="s">
        <v>86</v>
      </c>
      <c r="C64" s="62">
        <f>[26]С2!F28</f>
        <v>4200</v>
      </c>
    </row>
    <row r="65" spans="1:3" ht="42.75">
      <c r="A65" s="59" t="s">
        <v>87</v>
      </c>
      <c r="B65" s="33" t="s">
        <v>88</v>
      </c>
      <c r="C65" s="34">
        <f>[26]С2!F22</f>
        <v>38698.422798410109</v>
      </c>
    </row>
    <row r="66" spans="1:3" ht="30">
      <c r="A66" s="59" t="s">
        <v>89</v>
      </c>
      <c r="B66" s="60" t="s">
        <v>90</v>
      </c>
      <c r="C66" s="34">
        <f>[26]С2!F23</f>
        <v>1990</v>
      </c>
    </row>
    <row r="67" spans="1:3" ht="30">
      <c r="A67" s="59" t="s">
        <v>91</v>
      </c>
      <c r="B67" s="53" t="s">
        <v>92</v>
      </c>
      <c r="C67" s="34">
        <f>[26]С2.1!E27</f>
        <v>14307.876789999998</v>
      </c>
    </row>
    <row r="68" spans="1:3" ht="38.25">
      <c r="A68" s="59" t="s">
        <v>93</v>
      </c>
      <c r="B68" s="65" t="s">
        <v>94</v>
      </c>
      <c r="C68" s="52">
        <f>[26]С2.3!E21</f>
        <v>0</v>
      </c>
    </row>
    <row r="69" spans="1:3" ht="25.5">
      <c r="A69" s="59" t="s">
        <v>95</v>
      </c>
      <c r="B69" s="66" t="s">
        <v>96</v>
      </c>
      <c r="C69" s="67">
        <f>[26]С2.3!E11</f>
        <v>9.89</v>
      </c>
    </row>
    <row r="70" spans="1:3" ht="25.5">
      <c r="A70" s="59" t="s">
        <v>97</v>
      </c>
      <c r="B70" s="66" t="s">
        <v>98</v>
      </c>
      <c r="C70" s="62">
        <f>[26]С2.3!E13</f>
        <v>300</v>
      </c>
    </row>
    <row r="71" spans="1:3" ht="25.5">
      <c r="A71" s="59" t="s">
        <v>99</v>
      </c>
      <c r="B71" s="65" t="s">
        <v>100</v>
      </c>
      <c r="C71" s="68">
        <f>IF([26]С2.3!E22&gt;0,[26]С2.3!E22,[26]С2.3!E14)</f>
        <v>61211</v>
      </c>
    </row>
    <row r="72" spans="1:3" ht="38.25">
      <c r="A72" s="59" t="s">
        <v>101</v>
      </c>
      <c r="B72" s="65" t="s">
        <v>102</v>
      </c>
      <c r="C72" s="68">
        <f>IF([26]С2.3!E23&gt;0,[26]С2.3!E23,[26]С2.3!E15)</f>
        <v>45675</v>
      </c>
    </row>
    <row r="73" spans="1:3" ht="30">
      <c r="A73" s="59" t="s">
        <v>103</v>
      </c>
      <c r="B73" s="53" t="s">
        <v>104</v>
      </c>
      <c r="C73" s="34">
        <f>[26]С2.1!E28</f>
        <v>9541.9567200000001</v>
      </c>
    </row>
    <row r="74" spans="1:3" ht="38.25">
      <c r="A74" s="59" t="s">
        <v>105</v>
      </c>
      <c r="B74" s="65" t="s">
        <v>106</v>
      </c>
      <c r="C74" s="52">
        <f>[26]С2.3!E25</f>
        <v>0</v>
      </c>
    </row>
    <row r="75" spans="1:3" ht="25.5">
      <c r="A75" s="59" t="s">
        <v>107</v>
      </c>
      <c r="B75" s="66" t="s">
        <v>108</v>
      </c>
      <c r="C75" s="67">
        <f>[26]С2.3!E12</f>
        <v>0.56000000000000005</v>
      </c>
    </row>
    <row r="76" spans="1:3" ht="25.5">
      <c r="A76" s="59" t="s">
        <v>109</v>
      </c>
      <c r="B76" s="66" t="s">
        <v>98</v>
      </c>
      <c r="C76" s="62">
        <f>[26]С2.3!E13</f>
        <v>300</v>
      </c>
    </row>
    <row r="77" spans="1:3" ht="25.5">
      <c r="A77" s="59" t="s">
        <v>110</v>
      </c>
      <c r="B77" s="69" t="s">
        <v>111</v>
      </c>
      <c r="C77" s="68">
        <f>IF([26]С2.3!E26&gt;0,[26]С2.3!E26,[26]С2.3!E16)</f>
        <v>65637</v>
      </c>
    </row>
    <row r="78" spans="1:3" ht="38.25">
      <c r="A78" s="59" t="s">
        <v>112</v>
      </c>
      <c r="B78" s="69" t="s">
        <v>113</v>
      </c>
      <c r="C78" s="68">
        <f>IF([26]С2.3!E27&gt;0,[26]С2.3!E27,[26]С2.3!E17)</f>
        <v>31684</v>
      </c>
    </row>
    <row r="79" spans="1:3" ht="17.25">
      <c r="A79" s="59" t="s">
        <v>114</v>
      </c>
      <c r="B79" s="33" t="s">
        <v>115</v>
      </c>
      <c r="C79" s="35">
        <f>[26]С2!F29</f>
        <v>9.5962865259740182E-2</v>
      </c>
    </row>
    <row r="80" spans="1:3" ht="30">
      <c r="A80" s="59" t="s">
        <v>116</v>
      </c>
      <c r="B80" s="53" t="s">
        <v>117</v>
      </c>
      <c r="C80" s="70">
        <f>[26]С2!F30</f>
        <v>8.4029304029304031E-2</v>
      </c>
    </row>
    <row r="81" spans="1:3" ht="17.25">
      <c r="A81" s="59" t="s">
        <v>118</v>
      </c>
      <c r="B81" s="71" t="s">
        <v>119</v>
      </c>
      <c r="C81" s="35">
        <f>[26]С2!F31</f>
        <v>0.13880000000000001</v>
      </c>
    </row>
    <row r="82" spans="1:3" s="63" customFormat="1" ht="18" thickBot="1">
      <c r="A82" s="72" t="s">
        <v>120</v>
      </c>
      <c r="B82" s="73" t="s">
        <v>121</v>
      </c>
      <c r="C82" s="74">
        <f>[26]С2!F32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[26]С3!F14</f>
        <v>6054.0090724656739</v>
      </c>
    </row>
    <row r="86" spans="1:3" s="63" customFormat="1" ht="42.75">
      <c r="A86" s="77" t="s">
        <v>126</v>
      </c>
      <c r="B86" s="53" t="s">
        <v>127</v>
      </c>
      <c r="C86" s="78">
        <f>[26]С3!F15</f>
        <v>0.2</v>
      </c>
    </row>
    <row r="87" spans="1:3" s="63" customFormat="1" ht="14.25">
      <c r="A87" s="77" t="s">
        <v>128</v>
      </c>
      <c r="B87" s="79" t="s">
        <v>129</v>
      </c>
      <c r="C87" s="62">
        <f>[26]С3!F18</f>
        <v>15</v>
      </c>
    </row>
    <row r="88" spans="1:3" s="63" customFormat="1" ht="17.25">
      <c r="A88" s="77" t="s">
        <v>130</v>
      </c>
      <c r="B88" s="33" t="s">
        <v>131</v>
      </c>
      <c r="C88" s="34">
        <f>[26]С3!F19</f>
        <v>3778.1614077800232</v>
      </c>
    </row>
    <row r="89" spans="1:3" s="63" customFormat="1" ht="55.5">
      <c r="A89" s="77" t="s">
        <v>132</v>
      </c>
      <c r="B89" s="53" t="s">
        <v>133</v>
      </c>
      <c r="C89" s="80">
        <f>[26]С3!F20</f>
        <v>2.1999999999999999E-2</v>
      </c>
    </row>
    <row r="90" spans="1:3" s="63" customFormat="1" ht="14.25">
      <c r="A90" s="77" t="s">
        <v>134</v>
      </c>
      <c r="B90" s="58" t="s">
        <v>80</v>
      </c>
      <c r="C90" s="62">
        <f>[26]С3!F21</f>
        <v>10</v>
      </c>
    </row>
    <row r="91" spans="1:3" s="63" customFormat="1" ht="17.25">
      <c r="A91" s="77" t="s">
        <v>135</v>
      </c>
      <c r="B91" s="33" t="s">
        <v>136</v>
      </c>
      <c r="C91" s="34">
        <f>[26]С3!F22</f>
        <v>3.5695465092580538</v>
      </c>
    </row>
    <row r="92" spans="1:3" s="63" customFormat="1" ht="55.5">
      <c r="A92" s="77" t="s">
        <v>137</v>
      </c>
      <c r="B92" s="53" t="s">
        <v>138</v>
      </c>
      <c r="C92" s="80">
        <f>[26]С3!F23</f>
        <v>3.0000000000000001E-3</v>
      </c>
    </row>
    <row r="93" spans="1:3" s="63" customFormat="1" ht="27.75" thickBot="1">
      <c r="A93" s="81" t="s">
        <v>139</v>
      </c>
      <c r="B93" s="82" t="s">
        <v>140</v>
      </c>
      <c r="C93" s="83">
        <f>[26]С3!F24</f>
        <v>1189.8488364193513</v>
      </c>
    </row>
    <row r="94" spans="1:3" ht="13.5" thickBot="1">
      <c r="A94" s="47"/>
      <c r="B94" s="75"/>
      <c r="C94" s="15"/>
    </row>
    <row r="95" spans="1:3" ht="30" customHeight="1">
      <c r="A95" s="84" t="s">
        <v>141</v>
      </c>
      <c r="B95" s="145" t="s">
        <v>142</v>
      </c>
      <c r="C95" s="145"/>
    </row>
    <row r="96" spans="1:3" ht="30">
      <c r="A96" s="59" t="s">
        <v>143</v>
      </c>
      <c r="B96" s="33" t="s">
        <v>144</v>
      </c>
      <c r="C96" s="34">
        <f>[26]С4!F16</f>
        <v>1652.5</v>
      </c>
    </row>
    <row r="97" spans="1:3" ht="30">
      <c r="A97" s="59" t="s">
        <v>145</v>
      </c>
      <c r="B97" s="58" t="s">
        <v>146</v>
      </c>
      <c r="C97" s="34">
        <f>[26]С4!F17</f>
        <v>73547</v>
      </c>
    </row>
    <row r="98" spans="1:3" ht="17.25">
      <c r="A98" s="59" t="s">
        <v>147</v>
      </c>
      <c r="B98" s="58" t="s">
        <v>148</v>
      </c>
      <c r="C98" s="40">
        <f>[26]С4!F18</f>
        <v>0.02</v>
      </c>
    </row>
    <row r="99" spans="1:3" ht="30">
      <c r="A99" s="59" t="s">
        <v>149</v>
      </c>
      <c r="B99" s="58" t="s">
        <v>150</v>
      </c>
      <c r="C99" s="34">
        <f>[26]С4!F19</f>
        <v>12104</v>
      </c>
    </row>
    <row r="100" spans="1:3" ht="31.5">
      <c r="A100" s="59" t="s">
        <v>151</v>
      </c>
      <c r="B100" s="58" t="s">
        <v>152</v>
      </c>
      <c r="C100" s="40">
        <f>[26]С4!F20</f>
        <v>1.4999999999999999E-2</v>
      </c>
    </row>
    <row r="101" spans="1:3" ht="30">
      <c r="A101" s="59" t="s">
        <v>153</v>
      </c>
      <c r="B101" s="33" t="s">
        <v>154</v>
      </c>
      <c r="C101" s="34">
        <f>[26]С4!F21</f>
        <v>1933.1949342509995</v>
      </c>
    </row>
    <row r="102" spans="1:3" ht="24" customHeight="1">
      <c r="A102" s="59" t="s">
        <v>155</v>
      </c>
      <c r="B102" s="53" t="s">
        <v>156</v>
      </c>
      <c r="C102" s="85">
        <f>IF([26]С4.2!F8="да",[26]С4.2!D21,[26]С4.2!D15)</f>
        <v>0</v>
      </c>
    </row>
    <row r="103" spans="1:3" ht="68.25">
      <c r="A103" s="59" t="s">
        <v>157</v>
      </c>
      <c r="B103" s="53" t="s">
        <v>158</v>
      </c>
      <c r="C103" s="34">
        <f>[26]С4!F22</f>
        <v>3.6112641666666665</v>
      </c>
    </row>
    <row r="104" spans="1:3" ht="30">
      <c r="A104" s="59" t="s">
        <v>159</v>
      </c>
      <c r="B104" s="58" t="s">
        <v>160</v>
      </c>
      <c r="C104" s="34">
        <f>[26]С4!F23</f>
        <v>180</v>
      </c>
    </row>
    <row r="105" spans="1:3" ht="14.25">
      <c r="A105" s="59" t="s">
        <v>161</v>
      </c>
      <c r="B105" s="53" t="s">
        <v>162</v>
      </c>
      <c r="C105" s="34">
        <f>[26]С4!F24</f>
        <v>8497.1999999999989</v>
      </c>
    </row>
    <row r="106" spans="1:3" ht="14.25">
      <c r="A106" s="59" t="s">
        <v>163</v>
      </c>
      <c r="B106" s="58" t="s">
        <v>164</v>
      </c>
      <c r="C106" s="40">
        <f>[26]С4!F25</f>
        <v>0.35</v>
      </c>
    </row>
    <row r="107" spans="1:3" ht="17.25">
      <c r="A107" s="59" t="s">
        <v>165</v>
      </c>
      <c r="B107" s="33" t="s">
        <v>166</v>
      </c>
      <c r="C107" s="34">
        <f>[26]С4!F26</f>
        <v>51.363479999999996</v>
      </c>
    </row>
    <row r="108" spans="1:3" ht="25.5">
      <c r="A108" s="59" t="s">
        <v>167</v>
      </c>
      <c r="B108" s="53" t="s">
        <v>94</v>
      </c>
      <c r="C108" s="85">
        <f>[26]С4.3!E16</f>
        <v>0</v>
      </c>
    </row>
    <row r="109" spans="1:3" ht="25.5">
      <c r="A109" s="59" t="s">
        <v>168</v>
      </c>
      <c r="B109" s="53" t="s">
        <v>169</v>
      </c>
      <c r="C109" s="34">
        <f>[26]С4.3!E17</f>
        <v>14.08</v>
      </c>
    </row>
    <row r="110" spans="1:3" ht="38.25">
      <c r="A110" s="59" t="s">
        <v>170</v>
      </c>
      <c r="B110" s="53" t="s">
        <v>106</v>
      </c>
      <c r="C110" s="85">
        <f>[26]С4.3!E18</f>
        <v>0</v>
      </c>
    </row>
    <row r="111" spans="1:3">
      <c r="A111" s="59" t="s">
        <v>171</v>
      </c>
      <c r="B111" s="53" t="s">
        <v>172</v>
      </c>
      <c r="C111" s="34">
        <f>[26]С4.3!E19</f>
        <v>9.73</v>
      </c>
    </row>
    <row r="112" spans="1:3">
      <c r="A112" s="59" t="s">
        <v>173</v>
      </c>
      <c r="B112" s="58" t="s">
        <v>174</v>
      </c>
      <c r="C112" s="34">
        <f>[26]С4.3!E11</f>
        <v>1871</v>
      </c>
    </row>
    <row r="113" spans="1:3">
      <c r="A113" s="59" t="s">
        <v>175</v>
      </c>
      <c r="B113" s="58" t="s">
        <v>176</v>
      </c>
      <c r="C113" s="52">
        <f>[26]С4.3!E12</f>
        <v>1636</v>
      </c>
    </row>
    <row r="114" spans="1:3">
      <c r="A114" s="59" t="s">
        <v>177</v>
      </c>
      <c r="B114" s="58" t="s">
        <v>178</v>
      </c>
      <c r="C114" s="52">
        <f>[26]С4.3!E13</f>
        <v>204</v>
      </c>
    </row>
    <row r="115" spans="1:3" ht="30">
      <c r="A115" s="59" t="s">
        <v>179</v>
      </c>
      <c r="B115" s="33" t="s">
        <v>180</v>
      </c>
      <c r="C115" s="34">
        <f>[26]С4!F27</f>
        <v>1851.0127650478018</v>
      </c>
    </row>
    <row r="116" spans="1:3" ht="25.5">
      <c r="A116" s="59" t="s">
        <v>181</v>
      </c>
      <c r="B116" s="53" t="s">
        <v>182</v>
      </c>
      <c r="C116" s="34">
        <f>[26]С4!F28</f>
        <v>1421.6687903592947</v>
      </c>
    </row>
    <row r="117" spans="1:3" ht="42.75">
      <c r="A117" s="59" t="s">
        <v>183</v>
      </c>
      <c r="B117" s="53" t="s">
        <v>184</v>
      </c>
      <c r="C117" s="34">
        <f>[26]С4!F29</f>
        <v>429.3439746885071</v>
      </c>
    </row>
    <row r="118" spans="1:3" ht="30">
      <c r="A118" s="59" t="s">
        <v>185</v>
      </c>
      <c r="B118" s="39" t="s">
        <v>186</v>
      </c>
      <c r="C118" s="34">
        <f>[26]С4!F30</f>
        <v>1653.0806178940816</v>
      </c>
    </row>
    <row r="119" spans="1:3" ht="42.75">
      <c r="A119" s="59" t="s">
        <v>187</v>
      </c>
      <c r="B119" s="86" t="s">
        <v>188</v>
      </c>
      <c r="C119" s="34">
        <f>[26]С4!F33</f>
        <v>895.09974987827343</v>
      </c>
    </row>
    <row r="120" spans="1:3" ht="30">
      <c r="A120" s="59" t="s">
        <v>189</v>
      </c>
      <c r="B120" s="87" t="s">
        <v>190</v>
      </c>
      <c r="C120" s="34">
        <f>[26]С4!F35</f>
        <v>17.040680999999999</v>
      </c>
    </row>
    <row r="121" spans="1:3" ht="14.25">
      <c r="A121" s="59" t="s">
        <v>191</v>
      </c>
      <c r="B121" s="56" t="s">
        <v>192</v>
      </c>
      <c r="C121" s="34">
        <f>[26]С4!F36</f>
        <v>14319.9</v>
      </c>
    </row>
    <row r="122" spans="1:3" ht="28.5" thickBot="1">
      <c r="A122" s="72" t="s">
        <v>193</v>
      </c>
      <c r="B122" s="88" t="s">
        <v>194</v>
      </c>
      <c r="C122" s="83">
        <f>[26]С4!F37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[26]С5!F17</f>
        <v>0.02</v>
      </c>
    </row>
    <row r="126" spans="1:3" s="89" customFormat="1" ht="13.5" thickBot="1">
      <c r="A126" s="47"/>
      <c r="B126" s="75"/>
      <c r="C126" s="15"/>
    </row>
    <row r="127" spans="1:3" ht="42.75" customHeight="1">
      <c r="A127" s="84" t="s">
        <v>199</v>
      </c>
      <c r="B127" s="150" t="s">
        <v>200</v>
      </c>
      <c r="C127" s="15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[26]С2!F37</f>
        <v>20.818139999999996</v>
      </c>
    </row>
    <row r="136" spans="1:3" ht="14.25">
      <c r="A136" s="59" t="s">
        <v>216</v>
      </c>
      <c r="B136" s="101" t="s">
        <v>217</v>
      </c>
      <c r="C136" s="34">
        <f>[26]С2!F38</f>
        <v>7</v>
      </c>
    </row>
    <row r="137" spans="1:3" ht="17.25">
      <c r="A137" s="59" t="s">
        <v>218</v>
      </c>
      <c r="B137" s="101" t="s">
        <v>219</v>
      </c>
      <c r="C137" s="34">
        <f>[26]С2!F40</f>
        <v>0.97</v>
      </c>
    </row>
    <row r="138" spans="1:3" ht="15" thickBot="1">
      <c r="A138" s="72" t="s">
        <v>220</v>
      </c>
      <c r="B138" s="102" t="s">
        <v>221</v>
      </c>
      <c r="C138" s="46">
        <f>[26]С2!F42</f>
        <v>0.35</v>
      </c>
    </row>
    <row r="139" spans="1:3" s="89" customFormat="1" ht="13.5" thickBot="1">
      <c r="A139" s="47"/>
      <c r="B139" s="75"/>
      <c r="C139" s="15"/>
    </row>
    <row r="140" spans="1:3" ht="30">
      <c r="A140" s="84" t="s">
        <v>222</v>
      </c>
      <c r="B140" s="103" t="s">
        <v>223</v>
      </c>
      <c r="C140" s="104">
        <f>[26]С2!F35</f>
        <v>1.4976266307379205</v>
      </c>
    </row>
    <row r="141" spans="1:3" ht="22.7" customHeight="1" thickBot="1">
      <c r="A141" s="72" t="s">
        <v>224</v>
      </c>
      <c r="B141" s="146" t="s">
        <v>225</v>
      </c>
      <c r="C141" s="146"/>
    </row>
    <row r="142" spans="1:3" ht="13.5" thickBot="1">
      <c r="A142" s="105"/>
      <c r="B142" s="106" t="s">
        <v>226</v>
      </c>
      <c r="C142" s="107"/>
    </row>
    <row r="143" spans="1:3">
      <c r="A143" s="105"/>
      <c r="B143" s="108">
        <v>2020</v>
      </c>
      <c r="C143" s="109">
        <f>[26]С2.5!$E$11</f>
        <v>-2.9000000000000026E-2</v>
      </c>
    </row>
    <row r="144" spans="1:3">
      <c r="A144" s="105"/>
      <c r="B144" s="110">
        <f>B143+1</f>
        <v>2021</v>
      </c>
      <c r="C144" s="111">
        <f>[26]С2.5!$F$11</f>
        <v>0.245</v>
      </c>
    </row>
    <row r="145" spans="1:3">
      <c r="A145" s="105"/>
      <c r="B145" s="110">
        <f t="shared" ref="B145:B208" si="0">B144+1</f>
        <v>2022</v>
      </c>
      <c r="C145" s="111">
        <f>[26]С2.5!$G$11</f>
        <v>0.114</v>
      </c>
    </row>
    <row r="146" spans="1:3" ht="13.5" thickBot="1">
      <c r="A146" s="105"/>
      <c r="B146" s="112">
        <f t="shared" si="0"/>
        <v>2023</v>
      </c>
      <c r="C146" s="113">
        <f>[26]С2.5!$H$11</f>
        <v>2.4E-2</v>
      </c>
    </row>
    <row r="147" spans="1:3">
      <c r="A147" s="105"/>
      <c r="B147" s="114">
        <f t="shared" si="0"/>
        <v>2024</v>
      </c>
      <c r="C147" s="115">
        <f>[26]С2.5!$I$11</f>
        <v>8.5999999999999993E-2</v>
      </c>
    </row>
    <row r="148" spans="1:3" hidden="1">
      <c r="A148" s="105"/>
      <c r="B148" s="110">
        <f t="shared" si="0"/>
        <v>2025</v>
      </c>
      <c r="C148" s="111">
        <f>[26]С2.5!$J$11</f>
        <v>0.21215960863291</v>
      </c>
    </row>
    <row r="149" spans="1:3" hidden="1">
      <c r="A149" s="105"/>
      <c r="B149" s="110">
        <f t="shared" si="0"/>
        <v>2026</v>
      </c>
      <c r="C149" s="111">
        <f>[26]С2.5!$K$11</f>
        <v>3.5813361771260002E-2</v>
      </c>
    </row>
    <row r="150" spans="1:3" hidden="1">
      <c r="A150" s="105"/>
      <c r="B150" s="110">
        <f t="shared" si="0"/>
        <v>2027</v>
      </c>
      <c r="C150" s="111">
        <f>[26]С2.5!$L$11</f>
        <v>3.2682303599220003E-2</v>
      </c>
    </row>
    <row r="151" spans="1:3" hidden="1">
      <c r="A151" s="105"/>
      <c r="B151" s="110">
        <f t="shared" si="0"/>
        <v>2028</v>
      </c>
      <c r="C151" s="111">
        <f>[26]С2.5!$M$11</f>
        <v>0</v>
      </c>
    </row>
    <row r="152" spans="1:3" hidden="1">
      <c r="A152" s="105"/>
      <c r="B152" s="110">
        <f t="shared" si="0"/>
        <v>2029</v>
      </c>
      <c r="C152" s="111">
        <f>[26]С2.5!$N$11</f>
        <v>0</v>
      </c>
    </row>
    <row r="153" spans="1:3" hidden="1">
      <c r="A153" s="105"/>
      <c r="B153" s="110">
        <f t="shared" si="0"/>
        <v>2030</v>
      </c>
      <c r="C153" s="111">
        <f>[26]С2.5!$O$11</f>
        <v>0</v>
      </c>
    </row>
    <row r="154" spans="1:3" hidden="1">
      <c r="A154" s="105"/>
      <c r="B154" s="110">
        <f t="shared" si="0"/>
        <v>2031</v>
      </c>
      <c r="C154" s="111">
        <f>[26]С2.5!$P$11</f>
        <v>0</v>
      </c>
    </row>
    <row r="155" spans="1:3" hidden="1">
      <c r="A155" s="89"/>
      <c r="B155" s="110">
        <f t="shared" si="0"/>
        <v>2032</v>
      </c>
      <c r="C155" s="111">
        <f>[26]С2.5!$Q$11</f>
        <v>0</v>
      </c>
    </row>
    <row r="156" spans="1:3" hidden="1">
      <c r="A156" s="89"/>
      <c r="B156" s="110">
        <f t="shared" si="0"/>
        <v>2033</v>
      </c>
      <c r="C156" s="111">
        <f>[26]С2.5!$R$11</f>
        <v>0</v>
      </c>
    </row>
    <row r="157" spans="1:3" hidden="1">
      <c r="B157" s="110">
        <f t="shared" si="0"/>
        <v>2034</v>
      </c>
      <c r="C157" s="111">
        <f>[26]С2.5!$S$11</f>
        <v>0</v>
      </c>
    </row>
    <row r="158" spans="1:3" hidden="1">
      <c r="B158" s="110">
        <f t="shared" si="0"/>
        <v>2035</v>
      </c>
      <c r="C158" s="111">
        <f>[26]С2.5!$T$11</f>
        <v>0</v>
      </c>
    </row>
    <row r="159" spans="1:3" hidden="1">
      <c r="B159" s="110">
        <f t="shared" si="0"/>
        <v>2036</v>
      </c>
      <c r="C159" s="111">
        <f>[26]С2.5!$U$11</f>
        <v>0</v>
      </c>
    </row>
    <row r="160" spans="1:3" hidden="1">
      <c r="B160" s="110">
        <f t="shared" si="0"/>
        <v>2037</v>
      </c>
      <c r="C160" s="111">
        <f>[26]С2.5!$V$11</f>
        <v>0</v>
      </c>
    </row>
    <row r="161" spans="2:3" hidden="1">
      <c r="B161" s="110">
        <f t="shared" si="0"/>
        <v>2038</v>
      </c>
      <c r="C161" s="111">
        <f>[26]С2.5!$W$11</f>
        <v>0</v>
      </c>
    </row>
    <row r="162" spans="2:3" hidden="1">
      <c r="B162" s="110">
        <f t="shared" si="0"/>
        <v>2039</v>
      </c>
      <c r="C162" s="111">
        <f>[26]С2.5!$X$11</f>
        <v>0</v>
      </c>
    </row>
    <row r="163" spans="2:3" hidden="1">
      <c r="B163" s="110">
        <f t="shared" si="0"/>
        <v>2040</v>
      </c>
      <c r="C163" s="111">
        <f>[26]С2.5!$Y$11</f>
        <v>0</v>
      </c>
    </row>
    <row r="164" spans="2:3" hidden="1">
      <c r="B164" s="110">
        <f t="shared" si="0"/>
        <v>2041</v>
      </c>
      <c r="C164" s="111">
        <f>[26]С2.5!$Z$11</f>
        <v>0</v>
      </c>
    </row>
    <row r="165" spans="2:3" hidden="1">
      <c r="B165" s="110">
        <f t="shared" si="0"/>
        <v>2042</v>
      </c>
      <c r="C165" s="111">
        <f>[26]С2.5!$AA$11</f>
        <v>0</v>
      </c>
    </row>
    <row r="166" spans="2:3" hidden="1">
      <c r="B166" s="110">
        <f t="shared" si="0"/>
        <v>2043</v>
      </c>
      <c r="C166" s="111">
        <f>[26]С2.5!$AB$11</f>
        <v>0</v>
      </c>
    </row>
    <row r="167" spans="2:3" hidden="1">
      <c r="B167" s="110">
        <f t="shared" si="0"/>
        <v>2044</v>
      </c>
      <c r="C167" s="111">
        <f>[26]С2.5!$AC$11</f>
        <v>0</v>
      </c>
    </row>
    <row r="168" spans="2:3" hidden="1">
      <c r="B168" s="110">
        <f t="shared" si="0"/>
        <v>2045</v>
      </c>
      <c r="C168" s="111">
        <f>[26]С2.5!$AD$11</f>
        <v>0</v>
      </c>
    </row>
    <row r="169" spans="2:3" hidden="1">
      <c r="B169" s="110">
        <f t="shared" si="0"/>
        <v>2046</v>
      </c>
      <c r="C169" s="111">
        <f>[26]С2.5!$AE$11</f>
        <v>0</v>
      </c>
    </row>
    <row r="170" spans="2:3" hidden="1">
      <c r="B170" s="110">
        <f t="shared" si="0"/>
        <v>2047</v>
      </c>
      <c r="C170" s="111">
        <f>[26]С2.5!$AF$11</f>
        <v>0</v>
      </c>
    </row>
    <row r="171" spans="2:3" hidden="1">
      <c r="B171" s="110">
        <f t="shared" si="0"/>
        <v>2048</v>
      </c>
      <c r="C171" s="111">
        <f>[26]С2.5!$AG$11</f>
        <v>0</v>
      </c>
    </row>
    <row r="172" spans="2:3" hidden="1">
      <c r="B172" s="110">
        <f t="shared" si="0"/>
        <v>2049</v>
      </c>
      <c r="C172" s="111">
        <f>[26]С2.5!$AH$11</f>
        <v>0</v>
      </c>
    </row>
    <row r="173" spans="2:3" hidden="1">
      <c r="B173" s="110">
        <f t="shared" si="0"/>
        <v>2050</v>
      </c>
      <c r="C173" s="111">
        <f>[26]С2.5!$AI$11</f>
        <v>0</v>
      </c>
    </row>
    <row r="174" spans="2:3" hidden="1">
      <c r="B174" s="110">
        <f t="shared" si="0"/>
        <v>2051</v>
      </c>
      <c r="C174" s="111">
        <f>[26]С2.5!$AJ$11</f>
        <v>0</v>
      </c>
    </row>
    <row r="175" spans="2:3" hidden="1">
      <c r="B175" s="110">
        <f t="shared" si="0"/>
        <v>2052</v>
      </c>
      <c r="C175" s="111">
        <f>[26]С2.5!$AK$11</f>
        <v>0</v>
      </c>
    </row>
    <row r="176" spans="2:3" hidden="1">
      <c r="B176" s="110">
        <f t="shared" si="0"/>
        <v>2053</v>
      </c>
      <c r="C176" s="111">
        <f>[26]С2.5!$AL$11</f>
        <v>0</v>
      </c>
    </row>
    <row r="177" spans="2:3" hidden="1">
      <c r="B177" s="110">
        <f t="shared" si="0"/>
        <v>2054</v>
      </c>
      <c r="C177" s="111">
        <f>[26]С2.5!$AM$11</f>
        <v>0</v>
      </c>
    </row>
    <row r="178" spans="2:3" hidden="1">
      <c r="B178" s="110">
        <f t="shared" si="0"/>
        <v>2055</v>
      </c>
      <c r="C178" s="111">
        <f>[26]С2.5!$AN$11</f>
        <v>0</v>
      </c>
    </row>
    <row r="179" spans="2:3" hidden="1">
      <c r="B179" s="110">
        <f t="shared" si="0"/>
        <v>2056</v>
      </c>
      <c r="C179" s="111">
        <f>[26]С2.5!$AO$11</f>
        <v>0</v>
      </c>
    </row>
    <row r="180" spans="2:3" hidden="1">
      <c r="B180" s="110">
        <f t="shared" si="0"/>
        <v>2057</v>
      </c>
      <c r="C180" s="111">
        <f>[26]С2.5!$AP$11</f>
        <v>0</v>
      </c>
    </row>
    <row r="181" spans="2:3" hidden="1">
      <c r="B181" s="110">
        <f t="shared" si="0"/>
        <v>2058</v>
      </c>
      <c r="C181" s="111">
        <f>[26]С2.5!$AQ$11</f>
        <v>0</v>
      </c>
    </row>
    <row r="182" spans="2:3" hidden="1">
      <c r="B182" s="110">
        <f t="shared" si="0"/>
        <v>2059</v>
      </c>
      <c r="C182" s="111">
        <f>[26]С2.5!$AR$11</f>
        <v>0</v>
      </c>
    </row>
    <row r="183" spans="2:3" hidden="1">
      <c r="B183" s="110">
        <f t="shared" si="0"/>
        <v>2060</v>
      </c>
      <c r="C183" s="111">
        <f>[26]С2.5!$AS$11</f>
        <v>0</v>
      </c>
    </row>
    <row r="184" spans="2:3" hidden="1">
      <c r="B184" s="110">
        <f t="shared" si="0"/>
        <v>2061</v>
      </c>
      <c r="C184" s="111">
        <f>[26]С2.5!$AT$11</f>
        <v>0</v>
      </c>
    </row>
    <row r="185" spans="2:3" hidden="1">
      <c r="B185" s="110">
        <f t="shared" si="0"/>
        <v>2062</v>
      </c>
      <c r="C185" s="111">
        <f>[26]С2.5!$AU$11</f>
        <v>0</v>
      </c>
    </row>
    <row r="186" spans="2:3" hidden="1">
      <c r="B186" s="110">
        <f t="shared" si="0"/>
        <v>2063</v>
      </c>
      <c r="C186" s="111">
        <f>[26]С2.5!$AV$11</f>
        <v>0</v>
      </c>
    </row>
    <row r="187" spans="2:3" hidden="1">
      <c r="B187" s="110">
        <f t="shared" si="0"/>
        <v>2064</v>
      </c>
      <c r="C187" s="111">
        <f>[26]С2.5!$AW$11</f>
        <v>0</v>
      </c>
    </row>
    <row r="188" spans="2:3" hidden="1">
      <c r="B188" s="110">
        <f t="shared" si="0"/>
        <v>2065</v>
      </c>
      <c r="C188" s="111">
        <f>[26]С2.5!$AX$11</f>
        <v>0</v>
      </c>
    </row>
    <row r="189" spans="2:3" hidden="1">
      <c r="B189" s="110">
        <f t="shared" si="0"/>
        <v>2066</v>
      </c>
      <c r="C189" s="111">
        <f>[26]С2.5!$AY$11</f>
        <v>0</v>
      </c>
    </row>
    <row r="190" spans="2:3" hidden="1">
      <c r="B190" s="110">
        <f t="shared" si="0"/>
        <v>2067</v>
      </c>
      <c r="C190" s="111">
        <f>[26]С2.5!$AZ$11</f>
        <v>0</v>
      </c>
    </row>
    <row r="191" spans="2:3" hidden="1">
      <c r="B191" s="110">
        <f t="shared" si="0"/>
        <v>2068</v>
      </c>
      <c r="C191" s="111">
        <f>[26]С2.5!$BA$11</f>
        <v>0</v>
      </c>
    </row>
    <row r="192" spans="2:3" hidden="1">
      <c r="B192" s="110">
        <f t="shared" si="0"/>
        <v>2069</v>
      </c>
      <c r="C192" s="111">
        <f>[26]С2.5!$BB$11</f>
        <v>0</v>
      </c>
    </row>
    <row r="193" spans="2:3" hidden="1">
      <c r="B193" s="110">
        <f t="shared" si="0"/>
        <v>2070</v>
      </c>
      <c r="C193" s="111">
        <f>[26]С2.5!$BC$11</f>
        <v>0</v>
      </c>
    </row>
    <row r="194" spans="2:3" hidden="1">
      <c r="B194" s="110">
        <f t="shared" si="0"/>
        <v>2071</v>
      </c>
      <c r="C194" s="111">
        <f>[26]С2.5!$BD$11</f>
        <v>0</v>
      </c>
    </row>
    <row r="195" spans="2:3" hidden="1">
      <c r="B195" s="110">
        <f t="shared" si="0"/>
        <v>2072</v>
      </c>
      <c r="C195" s="111">
        <f>[26]С2.5!$BE$11</f>
        <v>0</v>
      </c>
    </row>
    <row r="196" spans="2:3" hidden="1">
      <c r="B196" s="110">
        <f t="shared" si="0"/>
        <v>2073</v>
      </c>
      <c r="C196" s="111">
        <f>[26]С2.5!$BF$11</f>
        <v>0</v>
      </c>
    </row>
    <row r="197" spans="2:3" hidden="1">
      <c r="B197" s="110">
        <f t="shared" si="0"/>
        <v>2074</v>
      </c>
      <c r="C197" s="111">
        <f>[26]С2.5!$BG$11</f>
        <v>0</v>
      </c>
    </row>
    <row r="198" spans="2:3" hidden="1">
      <c r="B198" s="110">
        <f t="shared" si="0"/>
        <v>2075</v>
      </c>
      <c r="C198" s="111">
        <f>[26]С2.5!$BH$11</f>
        <v>0</v>
      </c>
    </row>
    <row r="199" spans="2:3" hidden="1">
      <c r="B199" s="110">
        <f t="shared" si="0"/>
        <v>2076</v>
      </c>
      <c r="C199" s="111">
        <f>[26]С2.5!$BI$11</f>
        <v>0</v>
      </c>
    </row>
    <row r="200" spans="2:3" hidden="1">
      <c r="B200" s="110">
        <f t="shared" si="0"/>
        <v>2077</v>
      </c>
      <c r="C200" s="111">
        <f>[26]С2.5!$BJ$11</f>
        <v>0</v>
      </c>
    </row>
    <row r="201" spans="2:3" hidden="1">
      <c r="B201" s="110">
        <f t="shared" si="0"/>
        <v>2078</v>
      </c>
      <c r="C201" s="111">
        <f>[26]С2.5!$BK$11</f>
        <v>0</v>
      </c>
    </row>
    <row r="202" spans="2:3" hidden="1">
      <c r="B202" s="110">
        <f t="shared" si="0"/>
        <v>2079</v>
      </c>
      <c r="C202" s="111">
        <f>[26]С2.5!$BL$11</f>
        <v>0</v>
      </c>
    </row>
    <row r="203" spans="2:3" hidden="1">
      <c r="B203" s="110">
        <f t="shared" si="0"/>
        <v>2080</v>
      </c>
      <c r="C203" s="111">
        <f>[26]С2.5!$BM$11</f>
        <v>0</v>
      </c>
    </row>
    <row r="204" spans="2:3" hidden="1">
      <c r="B204" s="110">
        <f t="shared" si="0"/>
        <v>2081</v>
      </c>
      <c r="C204" s="111">
        <f>[26]С2.5!$BN$11</f>
        <v>0</v>
      </c>
    </row>
    <row r="205" spans="2:3" hidden="1">
      <c r="B205" s="110">
        <f t="shared" si="0"/>
        <v>2082</v>
      </c>
      <c r="C205" s="111">
        <f>[26]С2.5!$BO$11</f>
        <v>0</v>
      </c>
    </row>
    <row r="206" spans="2:3" hidden="1">
      <c r="B206" s="110">
        <f t="shared" si="0"/>
        <v>2083</v>
      </c>
      <c r="C206" s="111">
        <f>[26]С2.5!$BP$11</f>
        <v>0</v>
      </c>
    </row>
    <row r="207" spans="2:3" hidden="1">
      <c r="B207" s="110">
        <f t="shared" si="0"/>
        <v>2084</v>
      </c>
      <c r="C207" s="111">
        <f>[26]С2.5!$BQ$11</f>
        <v>0</v>
      </c>
    </row>
    <row r="208" spans="2:3" hidden="1">
      <c r="B208" s="110">
        <f t="shared" si="0"/>
        <v>2085</v>
      </c>
      <c r="C208" s="111">
        <f>[26]С2.5!$BR$11</f>
        <v>0</v>
      </c>
    </row>
    <row r="209" spans="2:3" hidden="1">
      <c r="B209" s="110">
        <f t="shared" ref="B209:B223" si="1">B208+1</f>
        <v>2086</v>
      </c>
      <c r="C209" s="111">
        <f>[26]С2.5!$BS$11</f>
        <v>0</v>
      </c>
    </row>
    <row r="210" spans="2:3" hidden="1">
      <c r="B210" s="110">
        <f t="shared" si="1"/>
        <v>2087</v>
      </c>
      <c r="C210" s="111">
        <f>[26]С2.5!$BT$11</f>
        <v>0</v>
      </c>
    </row>
    <row r="211" spans="2:3" hidden="1">
      <c r="B211" s="110">
        <f t="shared" si="1"/>
        <v>2088</v>
      </c>
      <c r="C211" s="111">
        <f>[26]С2.5!$BU$11</f>
        <v>0</v>
      </c>
    </row>
    <row r="212" spans="2:3" hidden="1">
      <c r="B212" s="110">
        <f t="shared" si="1"/>
        <v>2089</v>
      </c>
      <c r="C212" s="111">
        <f>[26]С2.5!$BV$11</f>
        <v>0</v>
      </c>
    </row>
    <row r="213" spans="2:3" hidden="1">
      <c r="B213" s="110">
        <f t="shared" si="1"/>
        <v>2090</v>
      </c>
      <c r="C213" s="111">
        <f>[26]С2.5!$BW$11</f>
        <v>0</v>
      </c>
    </row>
    <row r="214" spans="2:3" hidden="1">
      <c r="B214" s="110">
        <f t="shared" si="1"/>
        <v>2091</v>
      </c>
      <c r="C214" s="111">
        <f>[26]С2.5!$BX$11</f>
        <v>0</v>
      </c>
    </row>
    <row r="215" spans="2:3" hidden="1">
      <c r="B215" s="110">
        <f t="shared" si="1"/>
        <v>2092</v>
      </c>
      <c r="C215" s="111">
        <f>[26]С2.5!$BY$11</f>
        <v>0</v>
      </c>
    </row>
    <row r="216" spans="2:3" hidden="1">
      <c r="B216" s="110">
        <f t="shared" si="1"/>
        <v>2093</v>
      </c>
      <c r="C216" s="111">
        <f>[26]С2.5!$BZ$11</f>
        <v>0</v>
      </c>
    </row>
    <row r="217" spans="2:3" hidden="1">
      <c r="B217" s="110">
        <f t="shared" si="1"/>
        <v>2094</v>
      </c>
      <c r="C217" s="111">
        <f>[26]С2.5!$CA$11</f>
        <v>0</v>
      </c>
    </row>
    <row r="218" spans="2:3" hidden="1">
      <c r="B218" s="110">
        <f t="shared" si="1"/>
        <v>2095</v>
      </c>
      <c r="C218" s="111">
        <f>[26]С2.5!$CB$11</f>
        <v>0</v>
      </c>
    </row>
    <row r="219" spans="2:3" hidden="1">
      <c r="B219" s="110">
        <f t="shared" si="1"/>
        <v>2096</v>
      </c>
      <c r="C219" s="111">
        <f>[26]С2.5!$CC$11</f>
        <v>0</v>
      </c>
    </row>
    <row r="220" spans="2:3" hidden="1">
      <c r="B220" s="110">
        <f t="shared" si="1"/>
        <v>2097</v>
      </c>
      <c r="C220" s="111">
        <f>[26]С2.5!$CD$11</f>
        <v>0</v>
      </c>
    </row>
    <row r="221" spans="2:3" hidden="1">
      <c r="B221" s="110">
        <f t="shared" si="1"/>
        <v>2098</v>
      </c>
      <c r="C221" s="111">
        <f>[26]С2.5!$CE$11</f>
        <v>0</v>
      </c>
    </row>
    <row r="222" spans="2:3" hidden="1">
      <c r="B222" s="110">
        <f t="shared" si="1"/>
        <v>2099</v>
      </c>
      <c r="C222" s="111">
        <f>[26]С2.5!$CF$11</f>
        <v>0</v>
      </c>
    </row>
    <row r="223" spans="2:3" ht="13.5" hidden="1" thickBot="1">
      <c r="B223" s="112">
        <f t="shared" si="1"/>
        <v>2100</v>
      </c>
      <c r="C223" s="113">
        <f>[26]С2.5!$CG$11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22</vt:i4>
      </vt:variant>
    </vt:vector>
  </HeadingPairs>
  <TitlesOfParts>
    <vt:vector size="22" baseType="lpstr">
      <vt:lpstr>р.п. Краснообск</vt:lpstr>
      <vt:lpstr>Барышевский уголь</vt:lpstr>
      <vt:lpstr>Барышевский газ</vt:lpstr>
      <vt:lpstr>Березовский</vt:lpstr>
      <vt:lpstr>Боровской</vt:lpstr>
      <vt:lpstr>Верх-Тулинский газ</vt:lpstr>
      <vt:lpstr>Верх-Тулинский уголь</vt:lpstr>
      <vt:lpstr>Каменский</vt:lpstr>
      <vt:lpstr>Криводановский</vt:lpstr>
      <vt:lpstr>Кубовинский</vt:lpstr>
      <vt:lpstr>Кудряшовский</vt:lpstr>
      <vt:lpstr>Мичуринский</vt:lpstr>
      <vt:lpstr>Морской</vt:lpstr>
      <vt:lpstr>Мочищенский уголь</vt:lpstr>
      <vt:lpstr>Мочищенский газ</vt:lpstr>
      <vt:lpstr>Новолуговской</vt:lpstr>
      <vt:lpstr>Плотниковский</vt:lpstr>
      <vt:lpstr>Раздольненский</vt:lpstr>
      <vt:lpstr>Станционный газ</vt:lpstr>
      <vt:lpstr>Станционный уголь</vt:lpstr>
      <vt:lpstr>Толмачевский</vt:lpstr>
      <vt:lpstr>Ярковский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Саватеева</dc:creator>
  <cp:lastModifiedBy>Саватеева</cp:lastModifiedBy>
  <dcterms:created xsi:type="dcterms:W3CDTF">2024-01-10T09:43:13Z</dcterms:created>
  <dcterms:modified xsi:type="dcterms:W3CDTF">2024-01-26T02:11:43Z</dcterms:modified>
</cp:coreProperties>
</file>